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CONSULTING 22FEB24\PROYECTOS\YONDO\ESTACION DE BOMBEO\"/>
    </mc:Choice>
  </mc:AlternateContent>
  <xr:revisionPtr revIDLastSave="0" documentId="13_ncr:1_{935B3543-D4A9-4514-8F0C-5E11C7841708}" xr6:coauthVersionLast="45" xr6:coauthVersionMax="47" xr10:uidLastSave="{00000000-0000-0000-0000-000000000000}"/>
  <bookViews>
    <workbookView xWindow="2136" yWindow="108" windowWidth="19632" windowHeight="12144" xr2:uid="{00000000-000D-0000-FFFF-FFFF00000000}"/>
  </bookViews>
  <sheets>
    <sheet name="DATOS DE ENTRADA" sheetId="5" r:id="rId1"/>
    <sheet name="tanque" sheetId="4" r:id="rId2"/>
  </sheets>
  <definedNames>
    <definedName name="_xlnm.Print_Area" localSheetId="0">'DATOS DE ENTRADA'!$A$1:$D$55</definedName>
    <definedName name="_xlnm.Print_Area" localSheetId="1">tanque!$A$1:$G$92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4" i="5" l="1"/>
  <c r="C16" i="5"/>
  <c r="C10" i="5"/>
  <c r="C19" i="5"/>
  <c r="H34" i="5" l="1"/>
  <c r="H35" i="5" s="1"/>
  <c r="H36" i="5" s="1"/>
  <c r="H23" i="5" l="1"/>
  <c r="C76" i="4"/>
  <c r="C85" i="4" s="1"/>
  <c r="D85" i="4" s="1"/>
  <c r="C87" i="4"/>
  <c r="C82" i="4"/>
  <c r="C81" i="4"/>
  <c r="C66" i="4"/>
  <c r="C67" i="4" s="1"/>
  <c r="C72" i="4" s="1"/>
  <c r="C43" i="5" l="1"/>
  <c r="C44" i="5" s="1"/>
  <c r="C46" i="5"/>
  <c r="C47" i="5" s="1"/>
  <c r="D47" i="5" s="1"/>
  <c r="C18" i="5"/>
  <c r="C41" i="5" s="1"/>
  <c r="C90" i="4"/>
  <c r="C8" i="4" l="1"/>
  <c r="C28" i="5"/>
  <c r="C91" i="4"/>
  <c r="D91" i="4" s="1"/>
  <c r="D90" i="4"/>
  <c r="B29" i="5" l="1"/>
  <c r="B30" i="5" l="1"/>
  <c r="C30" i="5" s="1"/>
  <c r="C29" i="5"/>
  <c r="B31" i="5"/>
  <c r="B32" i="5" s="1"/>
  <c r="B33" i="5" s="1"/>
  <c r="B34" i="5" s="1"/>
  <c r="C47" i="4"/>
  <c r="C86" i="4" l="1"/>
  <c r="C88" i="4" s="1"/>
  <c r="H39" i="5"/>
  <c r="G39" i="5"/>
  <c r="C32" i="5"/>
  <c r="C31" i="5"/>
  <c r="C33" i="5"/>
  <c r="C34" i="5"/>
  <c r="C15" i="4" l="1"/>
  <c r="C17" i="4" s="1"/>
  <c r="C18" i="4" s="1"/>
  <c r="C41" i="4"/>
  <c r="C50" i="4" s="1"/>
  <c r="C46" i="4" l="1"/>
  <c r="D50" i="4"/>
  <c r="C51" i="4" l="1"/>
  <c r="C54" i="4" l="1"/>
  <c r="C52" i="4" l="1"/>
  <c r="C53" i="4" s="1"/>
  <c r="C89" i="4" s="1"/>
  <c r="C31" i="4" l="1"/>
  <c r="C32" i="4" s="1"/>
  <c r="C37" i="4" s="1"/>
  <c r="C55" i="4" s="1"/>
  <c r="C56" i="4" s="1"/>
  <c r="D56" i="4" s="1"/>
  <c r="D55" i="4" l="1"/>
</calcChain>
</file>

<file path=xl/sharedStrings.xml><?xml version="1.0" encoding="utf-8"?>
<sst xmlns="http://schemas.openxmlformats.org/spreadsheetml/2006/main" count="132" uniqueCount="92">
  <si>
    <t>m</t>
  </si>
  <si>
    <t>m/s</t>
  </si>
  <si>
    <t>1.  PARÁMETROS DE DISEÑO</t>
  </si>
  <si>
    <r>
      <t xml:space="preserve">2.  CANAL DE ENTRADA: </t>
    </r>
    <r>
      <rPr>
        <sz val="9"/>
        <rFont val="Verdana"/>
        <family val="2"/>
      </rPr>
      <t xml:space="preserve">  </t>
    </r>
  </si>
  <si>
    <t>L=</t>
  </si>
  <si>
    <t>AREA=</t>
  </si>
  <si>
    <r>
      <t>m</t>
    </r>
    <r>
      <rPr>
        <vertAlign val="superscript"/>
        <sz val="9"/>
        <rFont val="Verdana"/>
        <family val="2"/>
      </rPr>
      <t>2</t>
    </r>
  </si>
  <si>
    <t>a=</t>
  </si>
  <si>
    <t>h=</t>
  </si>
  <si>
    <t>Htotal=</t>
  </si>
  <si>
    <t xml:space="preserve">3. CRIBA:  </t>
  </si>
  <si>
    <t>Adoptar Platinas de espesor (mm) =</t>
  </si>
  <si>
    <t>Espacio entre Barras (mm) =</t>
  </si>
  <si>
    <t>Número de baras (Nb) =</t>
  </si>
  <si>
    <t>Número de espacios (Ne) =</t>
  </si>
  <si>
    <t>3.2 PORCENTAJE DE ESPACIOS LIBRES (% E.L)</t>
  </si>
  <si>
    <t>% E.L=</t>
  </si>
  <si>
    <t xml:space="preserve">3.3 VELOCIDADES Y ANCHO DE CANAL:  </t>
  </si>
  <si>
    <t>Utilizando la ecuación Kirschmer:</t>
  </si>
  <si>
    <r>
      <t>H = b x ( w / b )</t>
    </r>
    <r>
      <rPr>
        <vertAlign val="superscript"/>
        <sz val="9"/>
        <rFont val="Verdana"/>
        <family val="2"/>
      </rPr>
      <t>4/3</t>
    </r>
    <r>
      <rPr>
        <sz val="9"/>
        <rFont val="Verdana"/>
        <family val="2"/>
      </rPr>
      <t xml:space="preserve"> x h</t>
    </r>
    <r>
      <rPr>
        <vertAlign val="subscript"/>
        <sz val="9"/>
        <rFont val="Verdana"/>
        <family val="2"/>
      </rPr>
      <t>v</t>
    </r>
    <r>
      <rPr>
        <sz val="9"/>
        <rFont val="Verdana"/>
        <family val="2"/>
      </rPr>
      <t xml:space="preserve"> * sen a</t>
    </r>
  </si>
  <si>
    <t>Ec 4.01 RAS 2000</t>
  </si>
  <si>
    <t>H = Pérdida de energía</t>
  </si>
  <si>
    <r>
      <t>h</t>
    </r>
    <r>
      <rPr>
        <vertAlign val="subscript"/>
        <sz val="9"/>
        <rFont val="Verdana"/>
        <family val="2"/>
      </rPr>
      <t>v</t>
    </r>
    <r>
      <rPr>
        <sz val="9"/>
        <rFont val="Verdana"/>
        <family val="2"/>
      </rPr>
      <t xml:space="preserve"> = Energía de velocidad</t>
    </r>
  </si>
  <si>
    <t>a = Angulo de la rejilla</t>
  </si>
  <si>
    <r>
      <t>A(m</t>
    </r>
    <r>
      <rPr>
        <vertAlign val="superscript"/>
        <sz val="9"/>
        <rFont val="Verdana"/>
        <family val="2"/>
      </rPr>
      <t>2</t>
    </r>
    <r>
      <rPr>
        <sz val="9"/>
        <rFont val="Verdana"/>
        <family val="2"/>
      </rPr>
      <t>)=</t>
    </r>
  </si>
  <si>
    <t>Altura de la lámina de agua =</t>
  </si>
  <si>
    <t>Longitud de la rejilla L =</t>
  </si>
  <si>
    <t>Velocidad a través de la reja =</t>
  </si>
  <si>
    <t>Caudal de Diseño</t>
  </si>
  <si>
    <t>Velocidad de Entrada:</t>
  </si>
  <si>
    <t xml:space="preserve"> PRETRATAMIENTO</t>
  </si>
  <si>
    <t>Angulo de Inclinacion (º)=</t>
  </si>
  <si>
    <t>velocidad de aproximación  Va (m/s)</t>
  </si>
  <si>
    <r>
      <t xml:space="preserve">b = </t>
    </r>
    <r>
      <rPr>
        <sz val="8"/>
        <rFont val="Verdana"/>
        <family val="2"/>
      </rPr>
      <t>Factor de forma de las barras rectangulares</t>
    </r>
  </si>
  <si>
    <t xml:space="preserve">Pérdida con reja limpia (Cm) </t>
  </si>
  <si>
    <r>
      <rPr>
        <sz val="8"/>
        <rFont val="Verdana"/>
        <family val="2"/>
      </rPr>
      <t xml:space="preserve">Perdida de carga con reja colmatada al </t>
    </r>
    <r>
      <rPr>
        <sz val="9"/>
        <rFont val="Verdana"/>
        <family val="2"/>
      </rPr>
      <t>50% =</t>
    </r>
  </si>
  <si>
    <t>w = Ancho de la barra (mm)</t>
  </si>
  <si>
    <t>b = Separación de las barras (mm)</t>
  </si>
  <si>
    <t>Ancho del Canal (m)</t>
  </si>
  <si>
    <t>Ancho del canal (m) =</t>
  </si>
  <si>
    <t>Ancho  de la barra (mm) =</t>
  </si>
  <si>
    <t>Densidad poblacional</t>
  </si>
  <si>
    <t xml:space="preserve">Dotación </t>
  </si>
  <si>
    <t>Coefiiente de retorno</t>
  </si>
  <si>
    <t>2.  CAUDALES DE DISEÑO</t>
  </si>
  <si>
    <t>Caudal medio diario residual</t>
  </si>
  <si>
    <t>Qmd</t>
  </si>
  <si>
    <t>Qinf</t>
  </si>
  <si>
    <t>Res 0330 Art. 134</t>
  </si>
  <si>
    <t>Qce</t>
  </si>
  <si>
    <t xml:space="preserve">Caudal de infiltraciónes </t>
  </si>
  <si>
    <t>Caudal de Conexiones erradas</t>
  </si>
  <si>
    <t xml:space="preserve">Factor de Mayoración </t>
  </si>
  <si>
    <t>Caudal Maximo horario tiempo seco</t>
  </si>
  <si>
    <t>Caudal Maximo horario tiempo Humedo</t>
  </si>
  <si>
    <t>QMH ts</t>
  </si>
  <si>
    <t>QMH th</t>
  </si>
  <si>
    <t>1.  INFORMACIÓN BASICA DE DISEÑO</t>
  </si>
  <si>
    <t>Res 0330 Art. 160</t>
  </si>
  <si>
    <t xml:space="preserve">Tiempo maximo de retención </t>
  </si>
  <si>
    <t>Tiempo</t>
  </si>
  <si>
    <t>Volumen Total pozo humedo -QMH th</t>
  </si>
  <si>
    <t>Numero de bombas</t>
  </si>
  <si>
    <t xml:space="preserve"> para QMH th</t>
  </si>
  <si>
    <t xml:space="preserve">Volumen diario de aguas residuales </t>
  </si>
  <si>
    <t>Total ciclos Arranque por dia</t>
  </si>
  <si>
    <t>tiempo maximo de retencion para tiempo seco</t>
  </si>
  <si>
    <t xml:space="preserve">Arranque por hora de las  bombas </t>
  </si>
  <si>
    <t>Ciclos por hora de una bomba</t>
  </si>
  <si>
    <t>Volumen Total pozo humedo X ciclos</t>
  </si>
  <si>
    <t>Volumen Total  asumido del pozo humedo</t>
  </si>
  <si>
    <t>m2</t>
  </si>
  <si>
    <t>Caudal Promedio tiempo humedo</t>
  </si>
  <si>
    <t>0,3-0,6 m/s RAS 0330 ART 160</t>
  </si>
  <si>
    <t>100 mm RAS 0330 art 160</t>
  </si>
  <si>
    <t>&lt; 15 cm RAS 0330 Art. 160</t>
  </si>
  <si>
    <t>3.4 Selección de barras y su espaciamiento  rejilla 2</t>
  </si>
  <si>
    <t>3.1 Selección de barras y su espaciamiento rejilla 1</t>
  </si>
  <si>
    <t>0,3-0,6 m/s RAS 0330 ART 186</t>
  </si>
  <si>
    <t xml:space="preserve"> Tiempo humedo</t>
  </si>
  <si>
    <t>3. PARAMETROS DE DISEÑO POZO HUMEDO</t>
  </si>
  <si>
    <t>DIMENSIONES POZO DE BOMBEO</t>
  </si>
  <si>
    <t>NUMERO DE POZOS DE BOMBEO</t>
  </si>
  <si>
    <t>LONGITUD (m)</t>
  </si>
  <si>
    <t>ANCHO (m)</t>
  </si>
  <si>
    <t>PROFUNDIDAD UTIL (m)</t>
  </si>
  <si>
    <t>PROFUNDIDAD TOTAL (m)</t>
  </si>
  <si>
    <t>50 mm RAS 0330 art 160</t>
  </si>
  <si>
    <t xml:space="preserve"> Ecuación de Florez</t>
  </si>
  <si>
    <t xml:space="preserve">Poblacion proyectada </t>
  </si>
  <si>
    <t>Se adopta un sistema de 2  rejas en serie, en la caja de entrada entes del Pozo Ebar, 1 en operación  y 1 en stand-by, para que garantice la continuidad en la operación en el momento de realizar cualquier tipo de mantenimiento.</t>
  </si>
  <si>
    <t xml:space="preserve">DISEÑO HIDRAULICO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</si>
</sst>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\ _€_-;\-* #,##0\ _€_-;_-* &quot;-&quot;\ _€_-;_-@_-"/>
    <numFmt numFmtId="165" formatCode="0.00000"/>
    <numFmt numFmtId="166" formatCode="0.000"/>
    <numFmt numFmtId="167" formatCode="0.0"/>
    <numFmt numFmtId="169" formatCode="0.00\ &quot;l/s&quot;"/>
    <numFmt numFmtId="170" formatCode="0\ &quot;º&quot;"/>
    <numFmt numFmtId="171" formatCode="0.00\ &quot;cm&quot;"/>
    <numFmt numFmtId="172" formatCode="0.00\ &quot;m&quot;"/>
    <numFmt numFmtId="173" formatCode="0.00\ &quot;m/s&quot;"/>
    <numFmt numFmtId="178" formatCode="0.00\ &quot;Ha&quot;"/>
    <numFmt numFmtId="179" formatCode="0.00\ &quot;Hab/viv&quot;"/>
    <numFmt numFmtId="181" formatCode="0\ &quot;L/Hab-dia&quot;"/>
    <numFmt numFmtId="182" formatCode="0.00\ &quot;L/s&quot;"/>
    <numFmt numFmtId="183" formatCode="0\ &quot;min&quot;"/>
    <numFmt numFmtId="184" formatCode="0.0\ &quot;min&quot;"/>
    <numFmt numFmtId="185" formatCode="0.0000000000000"/>
    <numFmt numFmtId="186" formatCode="0.0&quot;m3&quot;"/>
    <numFmt numFmtId="187" formatCode="0.00\ &quot;min&quot;"/>
    <numFmt numFmtId="191" formatCode="0\ &quot;Hab&quot;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vertAlign val="subscript"/>
      <sz val="9"/>
      <name val="Verdana"/>
      <family val="2"/>
    </font>
    <font>
      <vertAlign val="superscript"/>
      <sz val="9"/>
      <name val="Verdana"/>
      <family val="2"/>
    </font>
    <font>
      <sz val="8"/>
      <name val="Verdan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90">
    <xf numFmtId="0" fontId="0" fillId="0" borderId="0" xfId="0"/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169" fontId="3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166" fontId="4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justify" vertical="center" wrapText="1"/>
    </xf>
    <xf numFmtId="0" fontId="4" fillId="2" borderId="8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2" fontId="4" fillId="2" borderId="0" xfId="0" applyNumberFormat="1" applyFont="1" applyFill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70" fontId="4" fillId="2" borderId="10" xfId="0" applyNumberFormat="1" applyFont="1" applyFill="1" applyBorder="1" applyAlignment="1">
      <alignment horizontal="center" vertical="center"/>
    </xf>
    <xf numFmtId="171" fontId="4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172" fontId="4" fillId="2" borderId="11" xfId="0" applyNumberFormat="1" applyFont="1" applyFill="1" applyBorder="1" applyAlignment="1">
      <alignment horizontal="center" vertical="center"/>
    </xf>
    <xf numFmtId="172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173" fontId="4" fillId="2" borderId="0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0" fillId="0" borderId="1" xfId="0" applyBorder="1"/>
    <xf numFmtId="179" fontId="3" fillId="2" borderId="1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82" fontId="3" fillId="2" borderId="1" xfId="0" applyNumberFormat="1" applyFont="1" applyFill="1" applyBorder="1" applyAlignment="1">
      <alignment horizontal="center" vertical="center"/>
    </xf>
    <xf numFmtId="178" fontId="0" fillId="0" borderId="0" xfId="0" applyNumberFormat="1"/>
    <xf numFmtId="0" fontId="9" fillId="0" borderId="0" xfId="0" applyFont="1"/>
    <xf numFmtId="183" fontId="3" fillId="2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8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85" fontId="0" fillId="0" borderId="0" xfId="0" applyNumberFormat="1"/>
    <xf numFmtId="0" fontId="0" fillId="0" borderId="1" xfId="0" applyBorder="1" applyAlignment="1">
      <alignment horizontal="left"/>
    </xf>
    <xf numFmtId="186" fontId="8" fillId="0" borderId="1" xfId="0" applyNumberFormat="1" applyFont="1" applyBorder="1" applyAlignment="1">
      <alignment horizontal="center" vertical="center"/>
    </xf>
    <xf numFmtId="187" fontId="3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191" fontId="3" fillId="2" borderId="1" xfId="0" applyNumberFormat="1" applyFont="1" applyFill="1" applyBorder="1" applyAlignment="1">
      <alignment horizontal="center" vertical="center"/>
    </xf>
    <xf numFmtId="186" fontId="8" fillId="4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4" fillId="5" borderId="5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</cellXfs>
  <cellStyles count="5">
    <cellStyle name="Millares [0] 2" xfId="1" xr:uid="{00000000-0005-0000-0000-000000000000}"/>
    <cellStyle name="Normal" xfId="0" builtinId="0"/>
    <cellStyle name="Normal 2" xfId="4" xr:uid="{D89B3D1A-C54D-4E2E-95C5-AE441AC0B265}"/>
    <cellStyle name="Normal 3" xfId="3" xr:uid="{00000000-0005-0000-0000-000002000000}"/>
    <cellStyle name="Porcentaj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485775</xdr:colOff>
      <xdr:row>1</xdr:row>
      <xdr:rowOff>0</xdr:rowOff>
    </xdr:from>
    <xdr:to>
      <xdr:col>15</xdr:col>
      <xdr:colOff>2228850</xdr:colOff>
      <xdr:row>1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3630275" y="142875"/>
          <a:ext cx="1800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CO" sz="13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Estudios y diseños Plan Maestro de Acueducto y Alcantarillado Municipio de Ciudad Bolivar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54"/>
  <sheetViews>
    <sheetView tabSelected="1" view="pageBreakPreview" zoomScaleNormal="100" zoomScaleSheetLayoutView="100" workbookViewId="0">
      <selection activeCell="D6" sqref="D6"/>
    </sheetView>
  </sheetViews>
  <sheetFormatPr baseColWidth="10" defaultRowHeight="14.4" x14ac:dyDescent="0.3"/>
  <cols>
    <col min="2" max="2" width="43.109375" bestFit="1" customWidth="1"/>
    <col min="3" max="3" width="15.44140625" bestFit="1" customWidth="1"/>
    <col min="4" max="4" width="19.33203125" customWidth="1"/>
    <col min="5" max="5" width="16.109375" bestFit="1" customWidth="1"/>
    <col min="6" max="6" width="16.6640625" bestFit="1" customWidth="1"/>
  </cols>
  <sheetData>
    <row r="2" spans="2:7" ht="15" thickBot="1" x14ac:dyDescent="0.35"/>
    <row r="3" spans="2:7" ht="15" thickBot="1" x14ac:dyDescent="0.35">
      <c r="B3" s="74" t="s">
        <v>91</v>
      </c>
      <c r="C3" s="75"/>
    </row>
    <row r="4" spans="2:7" ht="15" thickBot="1" x14ac:dyDescent="0.35">
      <c r="B4" s="48"/>
      <c r="C4" s="48"/>
    </row>
    <row r="5" spans="2:7" ht="15" thickBot="1" x14ac:dyDescent="0.35">
      <c r="B5" s="76" t="s">
        <v>57</v>
      </c>
      <c r="C5" s="77"/>
    </row>
    <row r="6" spans="2:7" x14ac:dyDescent="0.3">
      <c r="B6" s="54"/>
      <c r="C6" s="3"/>
    </row>
    <row r="7" spans="2:7" x14ac:dyDescent="0.3">
      <c r="B7" s="49" t="s">
        <v>41</v>
      </c>
      <c r="C7" s="51">
        <v>4</v>
      </c>
      <c r="G7" s="56"/>
    </row>
    <row r="8" spans="2:7" x14ac:dyDescent="0.3">
      <c r="B8" s="49" t="s">
        <v>42</v>
      </c>
      <c r="C8" s="52">
        <v>140</v>
      </c>
    </row>
    <row r="9" spans="2:7" x14ac:dyDescent="0.3">
      <c r="B9" s="49" t="s">
        <v>43</v>
      </c>
      <c r="C9" s="53">
        <v>0.85</v>
      </c>
    </row>
    <row r="10" spans="2:7" x14ac:dyDescent="0.3">
      <c r="B10" s="49" t="s">
        <v>89</v>
      </c>
      <c r="C10" s="84">
        <f>350*4</f>
        <v>1400</v>
      </c>
    </row>
    <row r="11" spans="2:7" ht="15" thickBot="1" x14ac:dyDescent="0.35"/>
    <row r="12" spans="2:7" ht="15" thickBot="1" x14ac:dyDescent="0.35">
      <c r="B12" s="76" t="s">
        <v>44</v>
      </c>
      <c r="C12" s="77"/>
    </row>
    <row r="14" spans="2:7" x14ac:dyDescent="0.3">
      <c r="B14" s="49" t="s">
        <v>45</v>
      </c>
      <c r="C14" s="55">
        <v>2.41</v>
      </c>
      <c r="D14" t="s">
        <v>46</v>
      </c>
    </row>
    <row r="15" spans="2:7" x14ac:dyDescent="0.3">
      <c r="B15" s="49" t="s">
        <v>50</v>
      </c>
      <c r="C15" s="55">
        <v>0.92600000000000005</v>
      </c>
      <c r="D15" t="s">
        <v>47</v>
      </c>
      <c r="E15" s="57" t="s">
        <v>48</v>
      </c>
    </row>
    <row r="16" spans="2:7" x14ac:dyDescent="0.3">
      <c r="B16" s="49" t="s">
        <v>51</v>
      </c>
      <c r="C16" s="55">
        <f>C15</f>
        <v>0.92600000000000005</v>
      </c>
      <c r="D16" t="s">
        <v>49</v>
      </c>
      <c r="E16" s="57" t="s">
        <v>48</v>
      </c>
    </row>
    <row r="17" spans="2:8" x14ac:dyDescent="0.3">
      <c r="B17" s="49" t="s">
        <v>52</v>
      </c>
      <c r="C17" s="53">
        <v>4</v>
      </c>
      <c r="E17" s="57" t="s">
        <v>48</v>
      </c>
      <c r="F17" s="70" t="s">
        <v>88</v>
      </c>
    </row>
    <row r="18" spans="2:8" x14ac:dyDescent="0.3">
      <c r="B18" s="49" t="s">
        <v>53</v>
      </c>
      <c r="C18" s="55">
        <f>+C17*C14+C15</f>
        <v>10.566000000000001</v>
      </c>
      <c r="D18" t="s">
        <v>55</v>
      </c>
    </row>
    <row r="19" spans="2:8" x14ac:dyDescent="0.3">
      <c r="B19" s="49" t="s">
        <v>54</v>
      </c>
      <c r="C19" s="55">
        <f>11.5</f>
        <v>11.5</v>
      </c>
      <c r="D19" t="s">
        <v>56</v>
      </c>
    </row>
    <row r="22" spans="2:8" ht="15" thickBot="1" x14ac:dyDescent="0.35"/>
    <row r="23" spans="2:8" ht="15" thickBot="1" x14ac:dyDescent="0.35">
      <c r="B23" s="76" t="s">
        <v>80</v>
      </c>
      <c r="C23" s="77"/>
      <c r="H23">
        <f>10*45/75</f>
        <v>6</v>
      </c>
    </row>
    <row r="25" spans="2:8" x14ac:dyDescent="0.3">
      <c r="B25" s="49" t="s">
        <v>59</v>
      </c>
      <c r="C25" s="58">
        <v>20</v>
      </c>
      <c r="E25" s="57" t="s">
        <v>58</v>
      </c>
    </row>
    <row r="27" spans="2:8" ht="43.2" x14ac:dyDescent="0.3">
      <c r="B27" s="64" t="s">
        <v>60</v>
      </c>
      <c r="C27" s="63" t="s">
        <v>61</v>
      </c>
    </row>
    <row r="28" spans="2:8" x14ac:dyDescent="0.3">
      <c r="B28" s="58">
        <v>5</v>
      </c>
      <c r="C28" s="67">
        <f>+B28*$C$19*60/1000</f>
        <v>3.45</v>
      </c>
    </row>
    <row r="29" spans="2:8" x14ac:dyDescent="0.3">
      <c r="B29" s="60">
        <f>+B28+2.5</f>
        <v>7.5</v>
      </c>
      <c r="C29" s="67">
        <f>+B29*$C$19*60/1000</f>
        <v>5.1749999999999998</v>
      </c>
      <c r="F29" s="65"/>
    </row>
    <row r="30" spans="2:8" x14ac:dyDescent="0.3">
      <c r="B30" s="60">
        <f t="shared" ref="B30:B33" si="0">+B29+2.5</f>
        <v>10</v>
      </c>
      <c r="C30" s="67">
        <f>+B30*$C$19*60/1000</f>
        <v>6.9</v>
      </c>
      <c r="E30" s="59"/>
    </row>
    <row r="31" spans="2:8" x14ac:dyDescent="0.3">
      <c r="B31" s="60">
        <f t="shared" si="0"/>
        <v>12.5</v>
      </c>
      <c r="C31" s="67">
        <f t="shared" ref="C31:C34" si="1">+B31*$C$19*60/1000</f>
        <v>8.625</v>
      </c>
      <c r="E31" s="59"/>
    </row>
    <row r="32" spans="2:8" x14ac:dyDescent="0.3">
      <c r="B32" s="60">
        <f t="shared" si="0"/>
        <v>15</v>
      </c>
      <c r="C32" s="67">
        <f t="shared" si="1"/>
        <v>10.35</v>
      </c>
      <c r="E32" s="59"/>
    </row>
    <row r="33" spans="2:9" x14ac:dyDescent="0.3">
      <c r="B33" s="60">
        <f t="shared" si="0"/>
        <v>17.5</v>
      </c>
      <c r="C33" s="67">
        <f t="shared" si="1"/>
        <v>12.074999999999999</v>
      </c>
      <c r="E33" s="59"/>
    </row>
    <row r="34" spans="2:9" x14ac:dyDescent="0.3">
      <c r="B34" s="60">
        <f>+B33+2.5</f>
        <v>20</v>
      </c>
      <c r="C34" s="67">
        <f t="shared" si="1"/>
        <v>13.8</v>
      </c>
      <c r="E34" s="59"/>
      <c r="H34">
        <f>0.4*0.4*PI()*0.25</f>
        <v>0.12566370614359174</v>
      </c>
      <c r="I34" t="s">
        <v>71</v>
      </c>
    </row>
    <row r="35" spans="2:9" x14ac:dyDescent="0.3">
      <c r="H35">
        <f>+H34*1.1</f>
        <v>0.13823007675795093</v>
      </c>
    </row>
    <row r="36" spans="2:9" x14ac:dyDescent="0.3">
      <c r="H36">
        <f>+H35*1000</f>
        <v>138.23007675795094</v>
      </c>
    </row>
    <row r="37" spans="2:9" x14ac:dyDescent="0.3">
      <c r="B37" s="66" t="s">
        <v>68</v>
      </c>
      <c r="C37" s="61">
        <v>6</v>
      </c>
      <c r="D37" s="72" t="s">
        <v>63</v>
      </c>
    </row>
    <row r="38" spans="2:9" x14ac:dyDescent="0.3">
      <c r="B38" s="66" t="s">
        <v>67</v>
      </c>
      <c r="C38" s="61">
        <v>6</v>
      </c>
      <c r="D38" s="72" t="s">
        <v>63</v>
      </c>
    </row>
    <row r="39" spans="2:9" x14ac:dyDescent="0.3">
      <c r="B39" s="66" t="s">
        <v>62</v>
      </c>
      <c r="C39" s="61">
        <v>2</v>
      </c>
      <c r="D39" s="72"/>
      <c r="G39">
        <f>+C19*15.85</f>
        <v>182.27500000000001</v>
      </c>
      <c r="H39">
        <f>+C19*3.6</f>
        <v>41.4</v>
      </c>
    </row>
    <row r="40" spans="2:9" x14ac:dyDescent="0.3">
      <c r="D40" s="72"/>
    </row>
    <row r="41" spans="2:9" x14ac:dyDescent="0.3">
      <c r="B41" s="50" t="s">
        <v>69</v>
      </c>
      <c r="C41" s="67">
        <f>+C19*3.6/C38</f>
        <v>6.8999999999999995</v>
      </c>
      <c r="D41" s="72"/>
    </row>
    <row r="42" spans="2:9" x14ac:dyDescent="0.3">
      <c r="B42" s="69" t="s">
        <v>70</v>
      </c>
      <c r="C42" s="85">
        <v>20</v>
      </c>
      <c r="D42" s="72"/>
    </row>
    <row r="43" spans="2:9" x14ac:dyDescent="0.3">
      <c r="B43" s="49" t="s">
        <v>72</v>
      </c>
      <c r="C43" s="55">
        <f>+C14+C15+C16</f>
        <v>4.2620000000000005</v>
      </c>
      <c r="D43" s="72" t="s">
        <v>46</v>
      </c>
    </row>
    <row r="44" spans="2:9" x14ac:dyDescent="0.3">
      <c r="B44" s="50" t="s">
        <v>66</v>
      </c>
      <c r="C44" s="68">
        <f>+C42/(C43*0.06)</f>
        <v>78.210542781166907</v>
      </c>
      <c r="D44" s="72"/>
    </row>
    <row r="45" spans="2:9" x14ac:dyDescent="0.3">
      <c r="D45" s="72"/>
    </row>
    <row r="46" spans="2:9" x14ac:dyDescent="0.3">
      <c r="B46" s="49" t="s">
        <v>64</v>
      </c>
      <c r="C46" s="67">
        <f>+(C15+C14+C16)*86.4</f>
        <v>368.23680000000007</v>
      </c>
      <c r="D46" s="72" t="s">
        <v>79</v>
      </c>
    </row>
    <row r="47" spans="2:9" x14ac:dyDescent="0.3">
      <c r="B47" s="66" t="s">
        <v>65</v>
      </c>
      <c r="C47" s="62">
        <f>+INT(C46/C42)</f>
        <v>18</v>
      </c>
      <c r="D47" s="86" t="str">
        <f>+IF(C47&gt;C37*24,"VERIFICAR CALCULOS","CUMPLE")</f>
        <v>CUMPLE</v>
      </c>
    </row>
    <row r="48" spans="2:9" ht="15" thickBot="1" x14ac:dyDescent="0.35"/>
    <row r="49" spans="2:3" ht="15" thickBot="1" x14ac:dyDescent="0.35">
      <c r="B49" s="74" t="s">
        <v>81</v>
      </c>
      <c r="C49" s="75"/>
    </row>
    <row r="50" spans="2:3" x14ac:dyDescent="0.3">
      <c r="B50" s="50" t="s">
        <v>82</v>
      </c>
      <c r="C50" s="73">
        <v>1</v>
      </c>
    </row>
    <row r="51" spans="2:3" x14ac:dyDescent="0.3">
      <c r="B51" s="50" t="s">
        <v>83</v>
      </c>
      <c r="C51" s="73">
        <v>4.5</v>
      </c>
    </row>
    <row r="52" spans="2:3" x14ac:dyDescent="0.3">
      <c r="B52" s="50" t="s">
        <v>84</v>
      </c>
      <c r="C52" s="73">
        <v>4.5</v>
      </c>
    </row>
    <row r="53" spans="2:3" x14ac:dyDescent="0.3">
      <c r="B53" s="50" t="s">
        <v>85</v>
      </c>
      <c r="C53" s="73">
        <v>1</v>
      </c>
    </row>
    <row r="54" spans="2:3" x14ac:dyDescent="0.3">
      <c r="B54" s="50" t="s">
        <v>86</v>
      </c>
      <c r="C54" s="73">
        <f>+C51*C52*C53</f>
        <v>20.25</v>
      </c>
    </row>
  </sheetData>
  <mergeCells count="5">
    <mergeCell ref="B3:C3"/>
    <mergeCell ref="B5:C5"/>
    <mergeCell ref="B12:C12"/>
    <mergeCell ref="B23:C23"/>
    <mergeCell ref="B49:C49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view="pageBreakPreview" topLeftCell="A49" zoomScale="85" zoomScaleNormal="100" zoomScaleSheetLayoutView="85" workbookViewId="0">
      <selection activeCell="C66" sqref="C66"/>
    </sheetView>
  </sheetViews>
  <sheetFormatPr baseColWidth="10" defaultColWidth="11.44140625" defaultRowHeight="11.4" x14ac:dyDescent="0.3"/>
  <cols>
    <col min="1" max="1" width="5.88671875" style="3" customWidth="1"/>
    <col min="2" max="2" width="35.109375" style="3" customWidth="1"/>
    <col min="3" max="3" width="18.33203125" style="3" customWidth="1"/>
    <col min="4" max="4" width="18.5546875" style="3" customWidth="1"/>
    <col min="5" max="5" width="16.33203125" style="3" customWidth="1"/>
    <col min="6" max="6" width="25.44140625" style="3" customWidth="1"/>
    <col min="7" max="7" width="15.33203125" style="3" customWidth="1"/>
    <col min="8" max="8" width="12.5546875" style="3" customWidth="1"/>
    <col min="9" max="16384" width="11.44140625" style="3"/>
  </cols>
  <sheetData>
    <row r="1" spans="2:8" x14ac:dyDescent="0.3">
      <c r="B1" s="1"/>
      <c r="C1" s="2"/>
      <c r="D1" s="2"/>
      <c r="E1" s="2"/>
      <c r="F1" s="2"/>
      <c r="G1" s="2"/>
    </row>
    <row r="2" spans="2:8" x14ac:dyDescent="0.3">
      <c r="B2" s="78"/>
      <c r="C2" s="78"/>
      <c r="D2" s="78"/>
      <c r="E2" s="78"/>
      <c r="F2" s="78"/>
      <c r="G2" s="78"/>
      <c r="H2" s="4"/>
    </row>
    <row r="3" spans="2:8" x14ac:dyDescent="0.3">
      <c r="B3" s="4"/>
      <c r="C3" s="4"/>
      <c r="D3" s="4"/>
      <c r="E3" s="4"/>
      <c r="F3" s="4"/>
      <c r="G3" s="4"/>
      <c r="H3" s="4"/>
    </row>
    <row r="4" spans="2:8" ht="12" thickBot="1" x14ac:dyDescent="0.35">
      <c r="B4" s="4"/>
      <c r="C4" s="4"/>
      <c r="D4" s="4"/>
      <c r="E4" s="4"/>
      <c r="F4" s="4"/>
      <c r="G4" s="4"/>
      <c r="H4" s="4"/>
    </row>
    <row r="5" spans="2:8" ht="12.75" customHeight="1" thickBot="1" x14ac:dyDescent="0.35">
      <c r="B5" s="76" t="s">
        <v>30</v>
      </c>
      <c r="C5" s="77"/>
      <c r="D5" s="6"/>
      <c r="E5" s="6"/>
      <c r="F5" s="6"/>
      <c r="G5" s="6"/>
      <c r="H5" s="4"/>
    </row>
    <row r="6" spans="2:8" ht="12.75" customHeight="1" thickBot="1" x14ac:dyDescent="0.35">
      <c r="B6" s="4"/>
      <c r="C6" s="4"/>
      <c r="D6" s="4"/>
      <c r="E6" s="4"/>
      <c r="F6" s="4"/>
      <c r="G6" s="4"/>
      <c r="H6" s="4"/>
    </row>
    <row r="7" spans="2:8" ht="12.75" customHeight="1" thickBot="1" x14ac:dyDescent="0.35">
      <c r="B7" s="5" t="s">
        <v>2</v>
      </c>
    </row>
    <row r="8" spans="2:8" ht="12.75" customHeight="1" thickBot="1" x14ac:dyDescent="0.35">
      <c r="B8" s="7" t="s">
        <v>28</v>
      </c>
      <c r="C8" s="8">
        <f>+'DATOS DE ENTRADA'!C19</f>
        <v>11.5</v>
      </c>
      <c r="D8" s="9"/>
    </row>
    <row r="9" spans="2:8" ht="12.75" customHeight="1" x14ac:dyDescent="0.3">
      <c r="G9" s="6"/>
    </row>
    <row r="10" spans="2:8" ht="12.75" customHeight="1" thickBot="1" x14ac:dyDescent="0.35"/>
    <row r="11" spans="2:8" ht="12.75" customHeight="1" thickBot="1" x14ac:dyDescent="0.35">
      <c r="B11" s="76" t="s">
        <v>3</v>
      </c>
      <c r="C11" s="77"/>
    </row>
    <row r="12" spans="2:8" ht="12.75" customHeight="1" thickBot="1" x14ac:dyDescent="0.35"/>
    <row r="13" spans="2:8" ht="12.75" customHeight="1" thickBot="1" x14ac:dyDescent="0.35">
      <c r="B13" s="10" t="s">
        <v>29</v>
      </c>
      <c r="C13" s="11">
        <v>0.45</v>
      </c>
      <c r="D13" s="12" t="s">
        <v>1</v>
      </c>
      <c r="E13" s="13" t="s">
        <v>73</v>
      </c>
    </row>
    <row r="14" spans="2:8" ht="12.75" customHeight="1" thickBot="1" x14ac:dyDescent="0.35">
      <c r="B14" s="14" t="s">
        <v>4</v>
      </c>
      <c r="C14" s="15">
        <v>2</v>
      </c>
      <c r="D14" s="16" t="s">
        <v>0</v>
      </c>
    </row>
    <row r="15" spans="2:8" ht="12.75" customHeight="1" thickBot="1" x14ac:dyDescent="0.35">
      <c r="B15" s="17" t="s">
        <v>5</v>
      </c>
      <c r="C15" s="18">
        <f>$C$8/1000/$C$13</f>
        <v>2.5555555555555554E-2</v>
      </c>
      <c r="D15" s="19" t="s">
        <v>6</v>
      </c>
    </row>
    <row r="16" spans="2:8" ht="12.75" customHeight="1" thickBot="1" x14ac:dyDescent="0.35">
      <c r="B16" s="14" t="s">
        <v>7</v>
      </c>
      <c r="C16" s="15">
        <v>1</v>
      </c>
      <c r="D16" s="16" t="s">
        <v>0</v>
      </c>
      <c r="E16" s="20"/>
    </row>
    <row r="17" spans="2:8" ht="12.75" customHeight="1" thickBot="1" x14ac:dyDescent="0.35">
      <c r="B17" s="17" t="s">
        <v>8</v>
      </c>
      <c r="C17" s="18">
        <f>C15/C16</f>
        <v>2.5555555555555554E-2</v>
      </c>
      <c r="D17" s="19" t="s">
        <v>0</v>
      </c>
    </row>
    <row r="18" spans="2:8" ht="12.75" customHeight="1" thickBot="1" x14ac:dyDescent="0.35">
      <c r="B18" s="21" t="s">
        <v>9</v>
      </c>
      <c r="C18" s="22">
        <f>ROUNDUP((C17+0.24)/0.05,0)*0.05</f>
        <v>0.30000000000000004</v>
      </c>
      <c r="D18" s="23" t="s">
        <v>0</v>
      </c>
    </row>
    <row r="19" spans="2:8" ht="12.75" customHeight="1" thickBot="1" x14ac:dyDescent="0.35">
      <c r="F19" s="71"/>
    </row>
    <row r="20" spans="2:8" ht="12.75" customHeight="1" thickBot="1" x14ac:dyDescent="0.35">
      <c r="B20" s="82" t="s">
        <v>10</v>
      </c>
      <c r="C20" s="83"/>
      <c r="D20" s="24"/>
      <c r="E20" s="24"/>
      <c r="F20" s="24"/>
      <c r="G20" s="24"/>
      <c r="H20" s="25"/>
    </row>
    <row r="21" spans="2:8" ht="39" customHeight="1" thickBot="1" x14ac:dyDescent="0.35">
      <c r="B21" s="79" t="s">
        <v>90</v>
      </c>
      <c r="C21" s="80"/>
      <c r="D21" s="80"/>
      <c r="E21" s="80"/>
      <c r="F21" s="80"/>
      <c r="G21" s="81"/>
    </row>
    <row r="22" spans="2:8" ht="16.5" customHeight="1" x14ac:dyDescent="0.3"/>
    <row r="23" spans="2:8" ht="16.5" customHeight="1" x14ac:dyDescent="0.3"/>
    <row r="24" spans="2:8" ht="12" thickBot="1" x14ac:dyDescent="0.35"/>
    <row r="25" spans="2:8" ht="13.5" customHeight="1" thickBot="1" x14ac:dyDescent="0.35">
      <c r="B25" s="76" t="s">
        <v>77</v>
      </c>
      <c r="C25" s="77"/>
    </row>
    <row r="26" spans="2:8" ht="13.5" customHeight="1" thickBot="1" x14ac:dyDescent="0.35"/>
    <row r="27" spans="2:8" ht="13.5" customHeight="1" thickBot="1" x14ac:dyDescent="0.35">
      <c r="B27" s="27" t="s">
        <v>38</v>
      </c>
      <c r="C27" s="15">
        <v>1</v>
      </c>
    </row>
    <row r="28" spans="2:8" ht="13.5" customHeight="1" thickBot="1" x14ac:dyDescent="0.35">
      <c r="B28" s="26" t="s">
        <v>31</v>
      </c>
      <c r="C28" s="11">
        <v>45</v>
      </c>
    </row>
    <row r="29" spans="2:8" ht="13.5" customHeight="1" thickBot="1" x14ac:dyDescent="0.35">
      <c r="B29" s="27" t="s">
        <v>11</v>
      </c>
      <c r="C29" s="28">
        <v>25</v>
      </c>
    </row>
    <row r="30" spans="2:8" ht="13.5" customHeight="1" thickBot="1" x14ac:dyDescent="0.35">
      <c r="B30" s="29" t="s">
        <v>12</v>
      </c>
      <c r="C30" s="28">
        <v>100</v>
      </c>
      <c r="D30" s="13" t="s">
        <v>74</v>
      </c>
    </row>
    <row r="31" spans="2:8" ht="13.5" customHeight="1" thickBot="1" x14ac:dyDescent="0.35">
      <c r="B31" s="27" t="s">
        <v>13</v>
      </c>
      <c r="C31" s="30">
        <f>+ROUND((C27*1000+C33)/(C33+C30),0)</f>
        <v>10</v>
      </c>
      <c r="E31" s="13"/>
    </row>
    <row r="32" spans="2:8" ht="13.5" customHeight="1" thickBot="1" x14ac:dyDescent="0.35">
      <c r="B32" s="29" t="s">
        <v>14</v>
      </c>
      <c r="C32" s="28">
        <f>+C31+1</f>
        <v>11</v>
      </c>
      <c r="E32" s="13"/>
    </row>
    <row r="33" spans="2:6" ht="12" thickBot="1" x14ac:dyDescent="0.35">
      <c r="B33" s="31" t="s">
        <v>40</v>
      </c>
      <c r="C33" s="32">
        <v>3.1749999999999998</v>
      </c>
      <c r="D33" s="9"/>
      <c r="F33" s="47"/>
    </row>
    <row r="34" spans="2:6" ht="15" customHeight="1" thickBot="1" x14ac:dyDescent="0.35">
      <c r="C34" s="33"/>
      <c r="D34" s="9"/>
      <c r="F34" s="47"/>
    </row>
    <row r="35" spans="2:6" ht="13.5" customHeight="1" thickBot="1" x14ac:dyDescent="0.35">
      <c r="B35" s="76" t="s">
        <v>15</v>
      </c>
      <c r="C35" s="77"/>
    </row>
    <row r="36" spans="2:6" ht="13.5" customHeight="1" thickBot="1" x14ac:dyDescent="0.35">
      <c r="B36" s="6"/>
    </row>
    <row r="37" spans="2:6" ht="13.5" customHeight="1" thickBot="1" x14ac:dyDescent="0.35">
      <c r="B37" s="31" t="s">
        <v>16</v>
      </c>
      <c r="C37" s="15">
        <f>((C32*C30)/(C32*C30+C31*C33))*100</f>
        <v>97.194610117075328</v>
      </c>
    </row>
    <row r="38" spans="2:6" ht="13.5" customHeight="1" thickBot="1" x14ac:dyDescent="0.35">
      <c r="B38" s="34"/>
      <c r="C38" s="35"/>
    </row>
    <row r="39" spans="2:6" ht="13.5" customHeight="1" thickBot="1" x14ac:dyDescent="0.35">
      <c r="B39" s="76" t="s">
        <v>17</v>
      </c>
      <c r="C39" s="77"/>
    </row>
    <row r="40" spans="2:6" ht="13.5" customHeight="1" thickBot="1" x14ac:dyDescent="0.35">
      <c r="B40" s="6"/>
    </row>
    <row r="41" spans="2:6" ht="13.5" customHeight="1" thickBot="1" x14ac:dyDescent="0.35">
      <c r="B41" s="27" t="s">
        <v>32</v>
      </c>
      <c r="C41" s="28">
        <f>+C13</f>
        <v>0.45</v>
      </c>
      <c r="D41" s="13" t="s">
        <v>73</v>
      </c>
    </row>
    <row r="42" spans="2:6" ht="13.5" customHeight="1" x14ac:dyDescent="0.3">
      <c r="B42" s="36" t="s">
        <v>18</v>
      </c>
      <c r="D42" s="37"/>
      <c r="E42" s="13"/>
    </row>
    <row r="43" spans="2:6" ht="13.5" customHeight="1" thickBot="1" x14ac:dyDescent="0.35">
      <c r="B43" s="38" t="s">
        <v>19</v>
      </c>
      <c r="C43" s="6" t="s">
        <v>20</v>
      </c>
      <c r="D43" s="37"/>
    </row>
    <row r="44" spans="2:6" ht="13.5" customHeight="1" thickBot="1" x14ac:dyDescent="0.35">
      <c r="B44" s="27" t="s">
        <v>21</v>
      </c>
      <c r="D44" s="37"/>
      <c r="E44" s="9"/>
      <c r="F44" s="13"/>
    </row>
    <row r="45" spans="2:6" ht="13.5" customHeight="1" thickBot="1" x14ac:dyDescent="0.35">
      <c r="B45" s="27" t="s">
        <v>33</v>
      </c>
      <c r="C45" s="28">
        <v>2.42</v>
      </c>
      <c r="E45" s="9"/>
    </row>
    <row r="46" spans="2:6" ht="13.5" customHeight="1" thickBot="1" x14ac:dyDescent="0.35">
      <c r="B46" s="36" t="s">
        <v>36</v>
      </c>
      <c r="C46" s="11">
        <f>+C33</f>
        <v>3.1749999999999998</v>
      </c>
      <c r="D46" s="37"/>
      <c r="E46" s="9"/>
      <c r="F46" s="13"/>
    </row>
    <row r="47" spans="2:6" ht="13.5" customHeight="1" thickBot="1" x14ac:dyDescent="0.35">
      <c r="B47" s="27" t="s">
        <v>37</v>
      </c>
      <c r="C47" s="28">
        <f>+C30</f>
        <v>100</v>
      </c>
      <c r="D47" s="37"/>
      <c r="E47" s="9"/>
      <c r="F47" s="13"/>
    </row>
    <row r="48" spans="2:6" ht="13.5" customHeight="1" thickBot="1" x14ac:dyDescent="0.35">
      <c r="B48" s="39" t="s">
        <v>22</v>
      </c>
      <c r="C48" s="38"/>
      <c r="D48" s="37"/>
      <c r="E48" s="9"/>
      <c r="F48" s="13"/>
    </row>
    <row r="49" spans="2:8" ht="13.5" customHeight="1" thickBot="1" x14ac:dyDescent="0.35">
      <c r="B49" s="27" t="s">
        <v>23</v>
      </c>
      <c r="C49" s="40">
        <v>45</v>
      </c>
      <c r="F49" s="13"/>
    </row>
    <row r="50" spans="2:8" ht="13.5" customHeight="1" thickBot="1" x14ac:dyDescent="0.35">
      <c r="B50" s="27" t="s">
        <v>34</v>
      </c>
      <c r="C50" s="41">
        <f>100*C45*(C33/C30)^(4/3)*(C41^2/2*9.8)*SIN(C49*PI()/180)</f>
        <v>1.707050812264268</v>
      </c>
      <c r="D50" s="87" t="str">
        <f>+IF(C50&lt;75,"OK","NO CUMPLE")</f>
        <v>OK</v>
      </c>
      <c r="E50" s="6" t="s">
        <v>75</v>
      </c>
    </row>
    <row r="51" spans="2:8" ht="13.5" customHeight="1" thickBot="1" x14ac:dyDescent="0.35">
      <c r="B51" s="27" t="s">
        <v>24</v>
      </c>
      <c r="C51" s="15">
        <f>(C8/1000)/C41</f>
        <v>2.5555555555555554E-2</v>
      </c>
    </row>
    <row r="52" spans="2:8" ht="20.25" customHeight="1" thickBot="1" x14ac:dyDescent="0.35">
      <c r="B52" s="26" t="s">
        <v>39</v>
      </c>
      <c r="C52" s="22">
        <f>+C27</f>
        <v>1</v>
      </c>
      <c r="E52" s="42"/>
      <c r="F52" s="42"/>
      <c r="G52" s="42"/>
      <c r="H52" s="42"/>
    </row>
    <row r="53" spans="2:8" ht="13.5" customHeight="1" thickBot="1" x14ac:dyDescent="0.35">
      <c r="B53" s="27" t="s">
        <v>25</v>
      </c>
      <c r="C53" s="43">
        <f>+C51/C52</f>
        <v>2.5555555555555554E-2</v>
      </c>
      <c r="E53" s="42"/>
      <c r="F53" s="42"/>
      <c r="G53" s="42"/>
      <c r="H53" s="42"/>
    </row>
    <row r="54" spans="2:8" ht="13.5" customHeight="1" thickBot="1" x14ac:dyDescent="0.35">
      <c r="B54" s="29" t="s">
        <v>26</v>
      </c>
      <c r="C54" s="44">
        <f>+C18/SIN(C49*PI()/180)</f>
        <v>0.42426406871192862</v>
      </c>
      <c r="E54" s="42"/>
      <c r="F54" s="42"/>
      <c r="G54" s="42"/>
      <c r="H54" s="42"/>
    </row>
    <row r="55" spans="2:8" ht="13.5" customHeight="1" thickBot="1" x14ac:dyDescent="0.35">
      <c r="B55" s="27" t="s">
        <v>27</v>
      </c>
      <c r="C55" s="46">
        <f>(C41/C37)*100</f>
        <v>0.46298863636363641</v>
      </c>
      <c r="D55" s="87" t="str">
        <f>+IF(AND(C55&lt;0.6,C55&gt;0.3),"OK","NO CUMPLE")</f>
        <v>OK</v>
      </c>
      <c r="E55" s="13" t="s">
        <v>78</v>
      </c>
      <c r="H55" s="42"/>
    </row>
    <row r="56" spans="2:8" ht="13.5" customHeight="1" thickBot="1" x14ac:dyDescent="0.35">
      <c r="B56" s="45" t="s">
        <v>35</v>
      </c>
      <c r="C56" s="41">
        <f>1/0.7*((C55/0.5)^2-C41^2)/19.6*100</f>
        <v>4.7735707697335137</v>
      </c>
      <c r="D56" s="88" t="str">
        <f>+IF(C56&lt;7.5,"OK","NO CUMPLE")</f>
        <v>OK</v>
      </c>
      <c r="E56" s="6" t="s">
        <v>75</v>
      </c>
      <c r="H56" s="42"/>
    </row>
    <row r="57" spans="2:8" ht="13.5" customHeight="1" x14ac:dyDescent="0.3">
      <c r="B57" s="34"/>
      <c r="C57" s="34"/>
      <c r="D57" s="9"/>
    </row>
    <row r="58" spans="2:8" ht="13.5" customHeight="1" x14ac:dyDescent="0.3">
      <c r="B58" s="34"/>
      <c r="C58" s="34"/>
      <c r="D58" s="9"/>
    </row>
    <row r="59" spans="2:8" ht="13.5" customHeight="1" thickBot="1" x14ac:dyDescent="0.35">
      <c r="B59" s="34"/>
      <c r="C59" s="34"/>
      <c r="D59" s="9"/>
    </row>
    <row r="60" spans="2:8" ht="13.5" customHeight="1" thickBot="1" x14ac:dyDescent="0.35">
      <c r="B60" s="76" t="s">
        <v>76</v>
      </c>
      <c r="C60" s="77"/>
    </row>
    <row r="61" spans="2:8" ht="13.5" customHeight="1" thickBot="1" x14ac:dyDescent="0.35"/>
    <row r="62" spans="2:8" ht="13.5" customHeight="1" thickBot="1" x14ac:dyDescent="0.35">
      <c r="B62" s="27" t="s">
        <v>38</v>
      </c>
      <c r="C62" s="15">
        <v>0.6</v>
      </c>
    </row>
    <row r="63" spans="2:8" ht="13.5" customHeight="1" thickBot="1" x14ac:dyDescent="0.35">
      <c r="B63" s="26" t="s">
        <v>31</v>
      </c>
      <c r="C63" s="11">
        <v>45</v>
      </c>
    </row>
    <row r="64" spans="2:8" ht="13.5" customHeight="1" thickBot="1" x14ac:dyDescent="0.35">
      <c r="B64" s="27" t="s">
        <v>11</v>
      </c>
      <c r="C64" s="28">
        <v>25</v>
      </c>
    </row>
    <row r="65" spans="2:6" ht="13.5" customHeight="1" thickBot="1" x14ac:dyDescent="0.35">
      <c r="B65" s="29" t="s">
        <v>12</v>
      </c>
      <c r="C65" s="28">
        <v>50</v>
      </c>
      <c r="D65" s="13" t="s">
        <v>87</v>
      </c>
    </row>
    <row r="66" spans="2:6" ht="13.5" customHeight="1" thickBot="1" x14ac:dyDescent="0.35">
      <c r="B66" s="27" t="s">
        <v>13</v>
      </c>
      <c r="C66" s="30">
        <f>+ROUND((C62*1000+C68)/(C68+C65),0)</f>
        <v>11</v>
      </c>
      <c r="E66" s="13"/>
    </row>
    <row r="67" spans="2:6" ht="13.5" customHeight="1" thickBot="1" x14ac:dyDescent="0.35">
      <c r="B67" s="29" t="s">
        <v>14</v>
      </c>
      <c r="C67" s="28">
        <f>+C66+1</f>
        <v>12</v>
      </c>
      <c r="E67" s="13"/>
    </row>
    <row r="68" spans="2:6" ht="13.5" customHeight="1" thickBot="1" x14ac:dyDescent="0.35">
      <c r="B68" s="31" t="s">
        <v>40</v>
      </c>
      <c r="C68" s="32">
        <v>3.1749999999999998</v>
      </c>
      <c r="D68" s="9"/>
      <c r="F68" s="47"/>
    </row>
    <row r="69" spans="2:6" ht="13.5" customHeight="1" thickBot="1" x14ac:dyDescent="0.35">
      <c r="C69" s="33"/>
      <c r="D69" s="9"/>
      <c r="F69" s="47"/>
    </row>
    <row r="70" spans="2:6" ht="13.5" customHeight="1" thickBot="1" x14ac:dyDescent="0.35">
      <c r="B70" s="76" t="s">
        <v>15</v>
      </c>
      <c r="C70" s="77"/>
    </row>
    <row r="71" spans="2:6" ht="13.5" customHeight="1" thickBot="1" x14ac:dyDescent="0.35">
      <c r="B71" s="6"/>
    </row>
    <row r="72" spans="2:6" ht="13.5" customHeight="1" thickBot="1" x14ac:dyDescent="0.35">
      <c r="B72" s="31" t="s">
        <v>16</v>
      </c>
      <c r="C72" s="15">
        <f>((C67*C65)/(C67*C65+C66*C68))*100</f>
        <v>94.499350316966584</v>
      </c>
    </row>
    <row r="73" spans="2:6" ht="13.5" customHeight="1" thickBot="1" x14ac:dyDescent="0.35">
      <c r="B73" s="34"/>
      <c r="C73" s="35"/>
    </row>
    <row r="74" spans="2:6" ht="13.5" customHeight="1" thickBot="1" x14ac:dyDescent="0.35">
      <c r="B74" s="76" t="s">
        <v>17</v>
      </c>
      <c r="C74" s="77"/>
    </row>
    <row r="75" spans="2:6" ht="13.5" customHeight="1" thickBot="1" x14ac:dyDescent="0.35">
      <c r="B75" s="6"/>
    </row>
    <row r="76" spans="2:6" ht="13.5" customHeight="1" thickBot="1" x14ac:dyDescent="0.35">
      <c r="B76" s="27" t="s">
        <v>32</v>
      </c>
      <c r="C76" s="89">
        <f>+C13</f>
        <v>0.45</v>
      </c>
      <c r="D76" s="13" t="s">
        <v>73</v>
      </c>
    </row>
    <row r="77" spans="2:6" ht="13.5" customHeight="1" x14ac:dyDescent="0.3">
      <c r="B77" s="36" t="s">
        <v>18</v>
      </c>
      <c r="D77" s="37"/>
      <c r="E77" s="13"/>
    </row>
    <row r="78" spans="2:6" ht="13.5" customHeight="1" thickBot="1" x14ac:dyDescent="0.35">
      <c r="B78" s="38" t="s">
        <v>19</v>
      </c>
      <c r="C78" s="6" t="s">
        <v>20</v>
      </c>
      <c r="D78" s="37"/>
    </row>
    <row r="79" spans="2:6" ht="13.5" customHeight="1" thickBot="1" x14ac:dyDescent="0.35">
      <c r="B79" s="27" t="s">
        <v>21</v>
      </c>
      <c r="D79" s="37"/>
      <c r="E79" s="9"/>
      <c r="F79" s="13"/>
    </row>
    <row r="80" spans="2:6" ht="13.5" customHeight="1" thickBot="1" x14ac:dyDescent="0.35">
      <c r="B80" s="27" t="s">
        <v>33</v>
      </c>
      <c r="C80" s="28">
        <v>2.42</v>
      </c>
      <c r="E80" s="9"/>
    </row>
    <row r="81" spans="2:7" ht="13.5" customHeight="1" thickBot="1" x14ac:dyDescent="0.35">
      <c r="B81" s="36" t="s">
        <v>36</v>
      </c>
      <c r="C81" s="11">
        <f>+C68</f>
        <v>3.1749999999999998</v>
      </c>
      <c r="D81" s="37"/>
      <c r="E81" s="9"/>
      <c r="F81" s="13"/>
    </row>
    <row r="82" spans="2:7" ht="13.5" customHeight="1" thickBot="1" x14ac:dyDescent="0.35">
      <c r="B82" s="27" t="s">
        <v>37</v>
      </c>
      <c r="C82" s="28">
        <f>+C65</f>
        <v>50</v>
      </c>
      <c r="D82" s="37"/>
      <c r="E82" s="9"/>
      <c r="F82" s="13"/>
    </row>
    <row r="83" spans="2:7" ht="13.5" customHeight="1" thickBot="1" x14ac:dyDescent="0.35">
      <c r="B83" s="39" t="s">
        <v>22</v>
      </c>
      <c r="C83" s="38"/>
      <c r="D83" s="37"/>
      <c r="E83" s="9"/>
      <c r="F83" s="13"/>
    </row>
    <row r="84" spans="2:7" ht="13.5" customHeight="1" thickBot="1" x14ac:dyDescent="0.35">
      <c r="B84" s="27" t="s">
        <v>23</v>
      </c>
      <c r="C84" s="40">
        <v>45</v>
      </c>
      <c r="F84" s="13"/>
    </row>
    <row r="85" spans="2:7" ht="13.5" customHeight="1" thickBot="1" x14ac:dyDescent="0.35">
      <c r="B85" s="27" t="s">
        <v>34</v>
      </c>
      <c r="C85" s="41">
        <f>100*C80*(C68/C65)^(4/3)*(C76^2/2*9.8)*SIN(C84*PI()/180)</f>
        <v>4.3014985032237849</v>
      </c>
      <c r="D85" s="87" t="str">
        <f>+IF(C85&lt;75,"OK","NO CUMPLE")</f>
        <v>OK</v>
      </c>
      <c r="E85" s="6" t="s">
        <v>75</v>
      </c>
    </row>
    <row r="86" spans="2:7" ht="13.5" customHeight="1" thickBot="1" x14ac:dyDescent="0.35">
      <c r="B86" s="27" t="s">
        <v>24</v>
      </c>
      <c r="C86" s="15">
        <f>(C8/1000)/C76</f>
        <v>2.5555555555555554E-2</v>
      </c>
    </row>
    <row r="87" spans="2:7" ht="13.5" customHeight="1" thickBot="1" x14ac:dyDescent="0.35">
      <c r="B87" s="26" t="s">
        <v>39</v>
      </c>
      <c r="C87" s="22">
        <f>+C62</f>
        <v>0.6</v>
      </c>
      <c r="E87" s="42"/>
      <c r="F87" s="42"/>
      <c r="G87" s="42"/>
    </row>
    <row r="88" spans="2:7" ht="13.5" customHeight="1" thickBot="1" x14ac:dyDescent="0.35">
      <c r="B88" s="27" t="s">
        <v>25</v>
      </c>
      <c r="C88" s="43">
        <f>+C86/C87</f>
        <v>4.2592592592592592E-2</v>
      </c>
      <c r="E88" s="42"/>
      <c r="F88" s="42"/>
      <c r="G88" s="42"/>
    </row>
    <row r="89" spans="2:7" ht="13.5" customHeight="1" thickBot="1" x14ac:dyDescent="0.35">
      <c r="B89" s="29" t="s">
        <v>26</v>
      </c>
      <c r="C89" s="44">
        <f>+C53/SIN(C84*PI()/180)</f>
        <v>3.6141013260645762E-2</v>
      </c>
      <c r="E89" s="42"/>
      <c r="F89" s="42"/>
      <c r="G89" s="42"/>
    </row>
    <row r="90" spans="2:7" ht="13.5" customHeight="1" thickBot="1" x14ac:dyDescent="0.35">
      <c r="B90" s="27" t="s">
        <v>27</v>
      </c>
      <c r="C90" s="46">
        <f>(C76/C72)*100</f>
        <v>0.47619374999999997</v>
      </c>
      <c r="D90" s="87" t="str">
        <f>+IF(AND(C90&lt;0.6,C90&gt;0.3),"OK","NO CUMPLE")</f>
        <v>OK</v>
      </c>
      <c r="E90" s="13" t="s">
        <v>78</v>
      </c>
    </row>
    <row r="91" spans="2:7" ht="13.5" customHeight="1" thickBot="1" x14ac:dyDescent="0.35">
      <c r="B91" s="45" t="s">
        <v>35</v>
      </c>
      <c r="C91" s="41">
        <f>1/0.7*((C90/0.5)^2-C76^2)/19.6*100</f>
        <v>5.1351454093021127</v>
      </c>
      <c r="D91" s="88" t="str">
        <f>+IF(C91&lt;7.5,"OK","NO CUMPLE")</f>
        <v>OK</v>
      </c>
      <c r="E91" s="6" t="s">
        <v>75</v>
      </c>
    </row>
    <row r="92" spans="2:7" ht="13.5" customHeight="1" x14ac:dyDescent="0.3">
      <c r="B92" s="34"/>
      <c r="C92" s="34"/>
      <c r="D92" s="9"/>
    </row>
  </sheetData>
  <mergeCells count="11">
    <mergeCell ref="B35:C35"/>
    <mergeCell ref="B39:C39"/>
    <mergeCell ref="B2:G2"/>
    <mergeCell ref="B5:C5"/>
    <mergeCell ref="B11:C11"/>
    <mergeCell ref="B21:G21"/>
    <mergeCell ref="B20:C20"/>
    <mergeCell ref="B60:C60"/>
    <mergeCell ref="B70:C70"/>
    <mergeCell ref="B74:C74"/>
    <mergeCell ref="B25:C25"/>
  </mergeCells>
  <pageMargins left="0.7" right="0.7" top="0.75" bottom="0.75" header="0.3" footer="0.3"/>
  <pageSetup paperSize="9" scale="57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DATOS DE ENTRADA</vt:lpstr>
      <vt:lpstr>tanque</vt:lpstr>
      <vt:lpstr>'DATOS DE ENTRADA'!Área_de_impresión</vt:lpstr>
      <vt:lpstr>tanque!Área_de_impresión</vt:lpstr>
    </vt:vector>
  </TitlesOfParts>
  <Company>RATOMO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Asus</cp:lastModifiedBy>
  <cp:lastPrinted>2013-02-09T20:59:51Z</cp:lastPrinted>
  <dcterms:created xsi:type="dcterms:W3CDTF">2012-11-16T15:13:25Z</dcterms:created>
  <dcterms:modified xsi:type="dcterms:W3CDTF">2025-01-17T11:39:57Z</dcterms:modified>
</cp:coreProperties>
</file>