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80" yWindow="1215" windowWidth="17955" windowHeight="10710"/>
  </bookViews>
  <sheets>
    <sheet name="LINEA BASE" sheetId="1" r:id="rId1"/>
  </sheets>
  <definedNames>
    <definedName name="_xlnm._FilterDatabase" localSheetId="0" hidden="1">'LINEA BASE'!$A$1:$I$425</definedName>
    <definedName name="_xlnm.Print_Area" localSheetId="0">'LINEA BASE'!$A$1:$I$401</definedName>
    <definedName name="_xlnm.Print_Titles" localSheetId="0">'LINEA BASE'!$1:$1</definedName>
  </definedNames>
  <calcPr calcId="145621"/>
</workbook>
</file>

<file path=xl/calcChain.xml><?xml version="1.0" encoding="utf-8"?>
<calcChain xmlns="http://schemas.openxmlformats.org/spreadsheetml/2006/main">
  <c r="E317" i="1" l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<sst xmlns="http://schemas.openxmlformats.org/spreadsheetml/2006/main" count="3084" uniqueCount="1235">
  <si>
    <t>CODIGO RMN</t>
  </si>
  <si>
    <t>CODIGO EXPEDIENTE</t>
  </si>
  <si>
    <t>TITULARES</t>
  </si>
  <si>
    <t>AREA Has.Mts2</t>
  </si>
  <si>
    <t>MODALIDAD</t>
  </si>
  <si>
    <t>MINERALES</t>
  </si>
  <si>
    <t>MUNICIPIOS</t>
  </si>
  <si>
    <t>SUBREGIÓN</t>
  </si>
  <si>
    <t>HCHB-05</t>
  </si>
  <si>
    <t>E3630005</t>
  </si>
  <si>
    <t>(70504677) LUIS ARIAS VALENCIA\ (70503059) RODRIGO ALBERTO BOLIVAR LONDO?O</t>
  </si>
  <si>
    <t>LICENCIA ESPECIAL DE MATERIALES DE CONSTRUCCION</t>
  </si>
  <si>
    <t>MATERIALES DE CONSTRUCCION</t>
  </si>
  <si>
    <t>AMAGA-ANTIOQUIA</t>
  </si>
  <si>
    <t>Suroeste</t>
  </si>
  <si>
    <t>HJBN-05</t>
  </si>
  <si>
    <t>(8110252544) CERAMICAS ARAGON S.A.</t>
  </si>
  <si>
    <t>CONTRATO DE CONCESION (L 685)</t>
  </si>
  <si>
    <t>ARCILLA</t>
  </si>
  <si>
    <t>FJGN-01</t>
  </si>
  <si>
    <t>T13748011</t>
  </si>
  <si>
    <t>(8000352902) EUROCERAMICA S A</t>
  </si>
  <si>
    <t>LICENCIA DE EXPLOTACION</t>
  </si>
  <si>
    <t>HEQJ-05</t>
  </si>
  <si>
    <t>H6169005</t>
  </si>
  <si>
    <t>(15253986) ANTONIO GARCIA ALBETO</t>
  </si>
  <si>
    <t>DEMAS_CONCESIBLES\ ARENA SILICEA</t>
  </si>
  <si>
    <t>HEPO-01</t>
  </si>
  <si>
    <t>H5761005</t>
  </si>
  <si>
    <t>(8000470069) LADRILLERA ALCARRAZA LTDA</t>
  </si>
  <si>
    <t>ARCILLAS MICELANEAS</t>
  </si>
  <si>
    <t>HCGO-01</t>
  </si>
  <si>
    <t>(9003140651) COMERCIALIZADORA CARBOSURA S.A.S\ (8110296821) TRUJILLO GONZALEZ Y CIA. SC.S</t>
  </si>
  <si>
    <t>ARCILLA\ TERMICO</t>
  </si>
  <si>
    <t>HHCE-12</t>
  </si>
  <si>
    <t>(3400206) CARLOS ANDRES MOLINA CORREA</t>
  </si>
  <si>
    <t>GRAVA\ ARENA</t>
  </si>
  <si>
    <t>HHII-03</t>
  </si>
  <si>
    <t>(9002367701) ASOMICSI</t>
  </si>
  <si>
    <t>CARBON</t>
  </si>
  <si>
    <t>FFGK-01</t>
  </si>
  <si>
    <t>C11262011</t>
  </si>
  <si>
    <t>(8909035392) INDUSTRIAL HULLERA S A</t>
  </si>
  <si>
    <t>CONTRATO DE CONCESION (D 2655)</t>
  </si>
  <si>
    <t>GASJ-01</t>
  </si>
  <si>
    <t>T62005</t>
  </si>
  <si>
    <t>(800095094) CERAMITEC LTDA.</t>
  </si>
  <si>
    <t>FFKG-01</t>
  </si>
  <si>
    <t>C11338011</t>
  </si>
  <si>
    <t>(8909033579) CARBONES SAN FERNANDO S A</t>
  </si>
  <si>
    <t>HGGD-13</t>
  </si>
  <si>
    <t>H5874005</t>
  </si>
  <si>
    <t>(8305124209) CARCILLAS LTDA</t>
  </si>
  <si>
    <t>METALES PRECIOSOS\ ASOCIADOS</t>
  </si>
  <si>
    <t>CJQ-151</t>
  </si>
  <si>
    <t>(3366874) LUIS ALONSO GRANADOS HURTADO</t>
  </si>
  <si>
    <t>HFMM-01</t>
  </si>
  <si>
    <t>(9003184527) SOLUCIONES URBANISTICAS S.A.S.\ (98479776) JHON__FREDDY DE_OSSA ZAPATA</t>
  </si>
  <si>
    <t>HBWM-01</t>
  </si>
  <si>
    <t>T5145005</t>
  </si>
  <si>
    <t>(8002301551) LADRILLERA CALIFORNIA LTDA</t>
  </si>
  <si>
    <t>ASOCIADOS\ ARCILLA</t>
  </si>
  <si>
    <t>GBIH-01</t>
  </si>
  <si>
    <t>T241005</t>
  </si>
  <si>
    <t>LICENCIA DE EXPLORACION</t>
  </si>
  <si>
    <t>GFIC-04</t>
  </si>
  <si>
    <t>T2385005</t>
  </si>
  <si>
    <t>(8909068598) ALFARERA BUENA VISTA LTDA</t>
  </si>
  <si>
    <t>FEWN-01</t>
  </si>
  <si>
    <t>T11120011</t>
  </si>
  <si>
    <t>(7777700271) LADRILLERA SAN FERNANDO LTDA.</t>
  </si>
  <si>
    <t>ARCILLA\ ARENA</t>
  </si>
  <si>
    <t>GBFE-02</t>
  </si>
  <si>
    <t>T193005</t>
  </si>
  <si>
    <t>(70561975) HARRY HOYOS ARTURO\ (8000903477) AMBALA LTDA.</t>
  </si>
  <si>
    <t>HGGD-16</t>
  </si>
  <si>
    <t>H6338005</t>
  </si>
  <si>
    <t>(71050182) SANTIAGO DE JESUS CANO RESTREPO\ (98601660) TORO VELEZ HERNAN DARIO</t>
  </si>
  <si>
    <t>EISF-01</t>
  </si>
  <si>
    <t>C8069011</t>
  </si>
  <si>
    <t>(8901109850) C.I. CARBONES DEL CARIBE S.A</t>
  </si>
  <si>
    <t>CONTRATO DE CONCESION (D 2655)\ CONTRATO DE CONCESION (L 685)</t>
  </si>
  <si>
    <t>AMAGA-ANTIOQUIA\ FREDONIA-ANTIOQUIA</t>
  </si>
  <si>
    <t>GGHG-10</t>
  </si>
  <si>
    <t>J050295011</t>
  </si>
  <si>
    <t>(8909188149) C.I. CARMINALES S A</t>
  </si>
  <si>
    <t>CONTRATO EN VIRTUD DE APORTE</t>
  </si>
  <si>
    <t>EJR-151</t>
  </si>
  <si>
    <t>(21340060) DE ARISTIZABAL LUZ ELENA VILLA VIUDA</t>
  </si>
  <si>
    <t>AMAGA-ANTIOQUIA\ VENECIA-ANTIOQUIA</t>
  </si>
  <si>
    <t>HHCE-07</t>
  </si>
  <si>
    <t>H7084005</t>
  </si>
  <si>
    <t>(98465319) FRANCISCO EDUARDO DUQUE OSORIO\ (9001488236) CARBONES FILADELFIA S.A</t>
  </si>
  <si>
    <t>FFVL-01</t>
  </si>
  <si>
    <t>(8909034624) EMPRESA ANTIOQUENA DE ENERGIA S. A. E.S.P.</t>
  </si>
  <si>
    <t>RECONOCIMIENTO PROPIEDAD PRIVADA</t>
  </si>
  <si>
    <t>B7430B005</t>
  </si>
  <si>
    <t>(811041103-8) NEGOCIOS MINEROS S.A</t>
  </si>
  <si>
    <t>CARBON TERMICO</t>
  </si>
  <si>
    <t>AMAGA-ANTIOQUIA\ VENECIA-ANTIOQUIA\ FREDONIA-ANTIOQUIA</t>
  </si>
  <si>
    <t>HFJH-02</t>
  </si>
  <si>
    <t>H6274005</t>
  </si>
  <si>
    <t>(9003752057) SOCIEDAD MINERA RIO PORCE S.A.S.</t>
  </si>
  <si>
    <t>AMALFI-ANTIOQUIA\ SEGOVIA-ANTIOQUIA\ ANORI-ANTIOQUIA</t>
  </si>
  <si>
    <t xml:space="preserve">Nordeste </t>
  </si>
  <si>
    <t>(9001666877) CONTINENTAL GOLD LTD</t>
  </si>
  <si>
    <t>MINERAL DE ZINC\ ASOCIADOS\ ORO\ MINERAL DE PLOMO\ COBRE\ PLATA</t>
  </si>
  <si>
    <t>CFJ-083</t>
  </si>
  <si>
    <t>(8110152430) EMPRESA ASOCIATIVA DE TRABAJO DE CARBONES CARBOANDES\ (3509133) ERNESTO JOSE CARVAJAL QUICENO</t>
  </si>
  <si>
    <t>ANDES-ANTIOQUIA</t>
  </si>
  <si>
    <t>HIBJ-18</t>
  </si>
  <si>
    <t>(8301270767) ANGLOGOLD ASHANTI COLOMBIA S.A.</t>
  </si>
  <si>
    <t>MINERAL DE ZINC\ ASOCIADOS\ ORO\ PLATINO\ MINERAL DE MOLIBDENO\ COBRE\ PLATA</t>
  </si>
  <si>
    <t>HJBL-04</t>
  </si>
  <si>
    <t>(8110411038) NEGOCIOS MINEROS S.A</t>
  </si>
  <si>
    <t>DEMAS_CONCESIBLES\ ORO</t>
  </si>
  <si>
    <t>HIBJ-17</t>
  </si>
  <si>
    <t>FIOJ-02</t>
  </si>
  <si>
    <t>P8717011</t>
  </si>
  <si>
    <t>(3303824) NICANOR MARIA RESTREPO RESTREPO</t>
  </si>
  <si>
    <t>PERMISO</t>
  </si>
  <si>
    <t>ORO</t>
  </si>
  <si>
    <t>IEV-10121X</t>
  </si>
  <si>
    <t>(830127076-7) ANGLOGOLD ASHANTI COLOMBIA S.A.</t>
  </si>
  <si>
    <t>MINERALES DE COBRE Y SUS CONCENTRADOS\ MINERALES DE PLATA Y SUS CONCENTRADOS\ MINERALES DE ORO Y SUS CONCENTRADOS\ MINERALES DE PLATINO Y SUS CONCENTRADOS\ MINERALES DE PLOMO Y SUS CONCENTRADOS\ MINERALES DE ZINC Y SUS CONCENTRADOS\ MINERALES DE MOLIBDENO Y SUS CONCENTRADOS</t>
  </si>
  <si>
    <t>B7538005</t>
  </si>
  <si>
    <t>MINERALES DE ORO Y SUS CONCENTRADOS</t>
  </si>
  <si>
    <t>HIBJ-10</t>
  </si>
  <si>
    <t>HCIF-07</t>
  </si>
  <si>
    <t>L4632005</t>
  </si>
  <si>
    <t>(70518715) JOHN JAIRO VILLEGAS CA?AS\ (3430253) SEGUNDO IBARRA FERRO\ (3375026) ORLANDO DE JESUS RESTREPO GARCIA</t>
  </si>
  <si>
    <t>ORO VETA</t>
  </si>
  <si>
    <t>HINB-03</t>
  </si>
  <si>
    <t>HCIO-48</t>
  </si>
  <si>
    <t>T5630005</t>
  </si>
  <si>
    <t>(3596934) ANDRES_ELIAS RUIZ BALBIN</t>
  </si>
  <si>
    <t>METALES PRECIOSOS\ DEMAS_CONCESIBLES</t>
  </si>
  <si>
    <t>ICQ-0800144X</t>
  </si>
  <si>
    <t>(15526747) NICOLAS ESTEBAN MEJIA RESTREPO</t>
  </si>
  <si>
    <t>ARENAS Y GRAVAS NATURALES Y SILICEAS\ MINERALES DE METALES PRECIOSOS Y SUS CONCENTRADOS</t>
  </si>
  <si>
    <t>HINC-03</t>
  </si>
  <si>
    <t>(8002491571) COSTA S.O.M.</t>
  </si>
  <si>
    <t>DEMAS_CONCESIBLES\ ORO\ PLATA</t>
  </si>
  <si>
    <t>ANDES-ANTIOQUIA\ BETANIA-ANTIOQUIA</t>
  </si>
  <si>
    <t>FEQ-141</t>
  </si>
  <si>
    <t>(70720363) HERNAN LOAIZA VALENCIA</t>
  </si>
  <si>
    <t>ANDES-ANTIOQUIA\ HISPANIA-ANTIOQUIA</t>
  </si>
  <si>
    <t>HIDK-03</t>
  </si>
  <si>
    <t>(8110275594) ALIANZA MINERA LIMITADA</t>
  </si>
  <si>
    <t>ASOCIADOS\ ORO\ COBRE</t>
  </si>
  <si>
    <t>ANDES-ANTIOQUIA\ PUEBLORRICO-ANTIOQUIA\ JERICO-ANTIOQUIA</t>
  </si>
  <si>
    <t>HHJP-04</t>
  </si>
  <si>
    <t>(9001568333) MINERA QUEBRADONA COLOMBIA S.A</t>
  </si>
  <si>
    <t>METALES PRECIOSOS\ MINERAL DE ZINC\ ASOCIADOS\ MINERAL DE MOLIBDENO\ COBRE</t>
  </si>
  <si>
    <t>ANDES-ANTIOQUIA\ TAMESIS-ANTIOQUIA\ JARDIN-ANTIOQUIA\ JERICO-ANTIOQUIA</t>
  </si>
  <si>
    <t>ECS-082</t>
  </si>
  <si>
    <t>(8110091121) CARBONES LA BONITA EMPRESA ASOCIATIVA DE TRABAJO</t>
  </si>
  <si>
    <t>ANGELOPOLIS-ANTIOQUIA</t>
  </si>
  <si>
    <t>HIDK-01</t>
  </si>
  <si>
    <t>(9000341260) CARBONES EL TUNEL BELLAVISTA S.A</t>
  </si>
  <si>
    <t>HCVN-01</t>
  </si>
  <si>
    <t>05-013-01</t>
  </si>
  <si>
    <t>(8110085278) CARBONES BELLAVISTA EMPRESA ASOCIATIVA DE TRABAJO</t>
  </si>
  <si>
    <t>AI3-161</t>
  </si>
  <si>
    <t>(32464437) CECILIA DEL SOCORRO FERNANDEZ BOLIVAR</t>
  </si>
  <si>
    <t>HGOB-10</t>
  </si>
  <si>
    <t>H6931005</t>
  </si>
  <si>
    <t>(98671872) JUAN FELIPE CAMPUZANO ZULUAGA</t>
  </si>
  <si>
    <t>HIDJ-03</t>
  </si>
  <si>
    <t>(71386828) JUAN DAVID SEPULVEDA VALLEJO</t>
  </si>
  <si>
    <t>SERPENTINA</t>
  </si>
  <si>
    <t>HJID-07</t>
  </si>
  <si>
    <t>ASOCIADOS\ ORO\ TERMICO</t>
  </si>
  <si>
    <t>DBF-101</t>
  </si>
  <si>
    <t>(8110218695) CARBONES LOS ANGELES E A T</t>
  </si>
  <si>
    <t>GAOA-04</t>
  </si>
  <si>
    <t>T5005</t>
  </si>
  <si>
    <t>(8909269853) MEJISULFATOS S.A.</t>
  </si>
  <si>
    <t>ASBESTO O CRISOTILO\ BRONCITA</t>
  </si>
  <si>
    <t>HDKJ-04</t>
  </si>
  <si>
    <t>L4506005</t>
  </si>
  <si>
    <t>(70102360) RUBEN DARIO SEPULVEDA VILLADA\ (8309710) FABIO GUTIERREZ PIEDRAHITA</t>
  </si>
  <si>
    <t>MAGNESIO</t>
  </si>
  <si>
    <t>GEWB-06</t>
  </si>
  <si>
    <t>T1723005</t>
  </si>
  <si>
    <t>(3382677) ROMAN DE JESUS FLOREZ RIVERA</t>
  </si>
  <si>
    <t>ARENA SILICEA</t>
  </si>
  <si>
    <t>FEFO-01</t>
  </si>
  <si>
    <t>T10862011</t>
  </si>
  <si>
    <t>(8909001221) MINERALES DE COLOMBIA S.A. MINECOL</t>
  </si>
  <si>
    <t>DEMAS_CONCESIBLES\ ARCILLA\ LUTITA\ ARENISCAS</t>
  </si>
  <si>
    <t>HGKM-01</t>
  </si>
  <si>
    <t>H6887005</t>
  </si>
  <si>
    <t>(70220149) ELKIN SALDARRIAGA BERMUDEZ\ (3455865) CARLOS MARIO ZAPATA ZAPATA\ (3584537) ROBERTO QUINTANA RAMIREZ\ (3382693) NORBERTO AGUDELO BOLIVAR</t>
  </si>
  <si>
    <t>HFQL-03</t>
  </si>
  <si>
    <t>H6767005</t>
  </si>
  <si>
    <t>(70220672) OSCAR ALBERTO ARREDONDO MONTA?O\ (70509611) GUSTAVO DE JESUS MEJIA ARBOLEDA</t>
  </si>
  <si>
    <t>CARBON\ TERMICO</t>
  </si>
  <si>
    <t>EDCN-02</t>
  </si>
  <si>
    <t>T4809011</t>
  </si>
  <si>
    <t>(890900120) SUMINISTROS DE COLOMBIA S.A</t>
  </si>
  <si>
    <t>DEMAS_CONCESIBLES\ LIMONITA\ LUTITA\ ARENISCAS</t>
  </si>
  <si>
    <t>HGOD-14</t>
  </si>
  <si>
    <t>H6619005</t>
  </si>
  <si>
    <t>(70072537) FELIX MARIA ZAPATA VELASQUEZ</t>
  </si>
  <si>
    <t>HJBM-06</t>
  </si>
  <si>
    <t>(9004436194) RCT MINING CORPORATION S.A.S</t>
  </si>
  <si>
    <t>CARBON\ ASOCIADOS\ ORO</t>
  </si>
  <si>
    <t>ANGELOPOLIS-ANTIOQUIA\ AMAGA-ANTIOQUIA</t>
  </si>
  <si>
    <t>HIDJ-01</t>
  </si>
  <si>
    <t>B7603005</t>
  </si>
  <si>
    <t>(98477163) JORGE ANTONIO GIRALDO OSSA\ (8435023) ALIRIO DE JESUS GIRALDO OSSA\ (3367138) GUILLERMO CANO CORREA</t>
  </si>
  <si>
    <t>DB8-142</t>
  </si>
  <si>
    <t>(8040162676) EUROCASA S.A\ (8000352902) EUROCERAMICA S A</t>
  </si>
  <si>
    <t>TERMICO</t>
  </si>
  <si>
    <t>BKU-131</t>
  </si>
  <si>
    <t>(71649453) TAYRON ALEXANDER BUILES SEPULVEDA</t>
  </si>
  <si>
    <t>HCIO-32</t>
  </si>
  <si>
    <t>E5562005</t>
  </si>
  <si>
    <t>(563948) FABIO ENRIQUE ZAPATA HOLGUIN\ (21435007) LUZ MARINA GOMEZ DE ZAPATA</t>
  </si>
  <si>
    <t>GFCF-01</t>
  </si>
  <si>
    <t>J050194011</t>
  </si>
  <si>
    <t>B6999B005</t>
  </si>
  <si>
    <t>(8600693786) CERRO MATOSO SA</t>
  </si>
  <si>
    <t>MINERALES DE NIQUEL Y SUS CONCENTRADOS</t>
  </si>
  <si>
    <t>ARMENIA-ANTIOQUIA\ ANGELOPOLIS-ANTIOQUIA\ HELICONIA-ANTIOQUIA</t>
  </si>
  <si>
    <t>Occidente</t>
  </si>
  <si>
    <t>HJLI-01</t>
  </si>
  <si>
    <t>(71612271) LUIS JAVIER VELEZ GONZALEZ\ (70122495) HONORIO VELEZ GONZALEZ</t>
  </si>
  <si>
    <t>ARMENIA-ANTIOQUIA\ TITIRIBI-ANTIOQUIA</t>
  </si>
  <si>
    <t>HEPO-05</t>
  </si>
  <si>
    <t>H5835005</t>
  </si>
  <si>
    <t>(8001917047) MINERA LA APERTURA Y COMPA?IA LIMITADA</t>
  </si>
  <si>
    <t>ORO\ PLATA\ GRAVA\ ARENA</t>
  </si>
  <si>
    <t>HCPN-02</t>
  </si>
  <si>
    <t>H5765005</t>
  </si>
  <si>
    <t>HIIN-07</t>
  </si>
  <si>
    <t>(9003213481) GOLDPLATA RESOURCES LIMITADA, SUCURSAL COLOMBIA</t>
  </si>
  <si>
    <t>ASOCIADOS\ ORO</t>
  </si>
  <si>
    <t>HFSG-01</t>
  </si>
  <si>
    <t>H5954005</t>
  </si>
  <si>
    <t>(4974048) EZEQUIEL ALEJANDRO LLANES COTES</t>
  </si>
  <si>
    <t>ARMENIA-ANTIOQUIA\ TITIRIBI-ANTIOQUIA\ ANGELOPOLIS-ANTIOQUIA</t>
  </si>
  <si>
    <t>IJN-14221</t>
  </si>
  <si>
    <t>MINERALES DE COBRE Y SUS CONCENTRADOS\ MINERALES DE METALES PRECIOSOS Y SUS CONCENTRADOS\ MINERALES DE PLOMO Y SUS CONCENTRADOS\ MINERALES DE ZINC Y SUS CONCENTRADOS\ MINERALES DE MOLIBDENO Y SUS CONCENTRADOS</t>
  </si>
  <si>
    <t>CAICEDO-ANTIOQUIA\ URRAO-ANTIOQUIA\ ANZA-ANTIOQUIA</t>
  </si>
  <si>
    <t>GABA-01</t>
  </si>
  <si>
    <t>C13977011</t>
  </si>
  <si>
    <t>(800005236) CONCREARENAS LTDA.</t>
  </si>
  <si>
    <t>CALDAS-ANTIOQUIA\ AMAGA-ANTIOQUIA</t>
  </si>
  <si>
    <t>Valle de Aburrá</t>
  </si>
  <si>
    <t>HFQL-05</t>
  </si>
  <si>
    <t>H6602005</t>
  </si>
  <si>
    <t>(9004243174) MARMATO GOLD S.A. SUCURSAL COLOMBIA.</t>
  </si>
  <si>
    <t>METALES PRECIOSOS\ MINERAL DE ZINC\ ASOCIADOS\ COBRE</t>
  </si>
  <si>
    <t>CARAMANTA-ANTIOQUIA</t>
  </si>
  <si>
    <t>B6418C005</t>
  </si>
  <si>
    <t>MINERALES DE COBRE Y SUS CONCENTRADOS\ MINERALES DE METALES PRECIOSOS Y SUS CONCENTRADOS\ MINERALES DE ZINC Y SUS CONCENTRADOS\ MINERALES DE MOLIBDENO Y SUS CONCENTRADOS</t>
  </si>
  <si>
    <t>HFQL-04</t>
  </si>
  <si>
    <t>H6329005</t>
  </si>
  <si>
    <t>HHPO-01</t>
  </si>
  <si>
    <t>(9003274073) COLOMBIA MINES S.A.S.</t>
  </si>
  <si>
    <t>HEUC-12</t>
  </si>
  <si>
    <t>L5591005</t>
  </si>
  <si>
    <t>(70850816) DUVAN ANTONIO CASTA?O RUIZ</t>
  </si>
  <si>
    <t>HGOB-03</t>
  </si>
  <si>
    <t>H6170005</t>
  </si>
  <si>
    <t>(9000399989) MINERALES ANDINOS DE OCCIDENTE S.A.</t>
  </si>
  <si>
    <t>HDBL-01</t>
  </si>
  <si>
    <t>H5773005</t>
  </si>
  <si>
    <t>(9000760778) CORPORACION MINERA DE COLOMBIA S.A.S.</t>
  </si>
  <si>
    <t>FIFI-01</t>
  </si>
  <si>
    <t>T14889011</t>
  </si>
  <si>
    <t>HHMM-03</t>
  </si>
  <si>
    <t>B6821005</t>
  </si>
  <si>
    <t>(8110414191) COMPA?IA SERVICIOS LOGISTICOS DE COLOMBIA LTDA</t>
  </si>
  <si>
    <t>MINERALES DE COBRE Y SUS CONCENTRADOS\ MINERALES DE METALES PRECIOSOS Y SUS CONCENTRADOS\ MINERALES DE ZINC Y SUS CONCENTRADOS</t>
  </si>
  <si>
    <t>H5956005</t>
  </si>
  <si>
    <t>(30310384) MONICA MARIA URIBE PEREZ</t>
  </si>
  <si>
    <t>MINERALES DE METALES PRECIOSOS Y SUS CONCENTRADOS</t>
  </si>
  <si>
    <t>HHNK-09</t>
  </si>
  <si>
    <t>(98550675) RUBEN DARIO ARANGO MONTOYA\ (71635982) CARLOS ALBERTO YEPES GIRALDO\ (9003152233) CARBONES EL CINCO S.A.S.</t>
  </si>
  <si>
    <t>FREDONIA-ANTIOQUIA</t>
  </si>
  <si>
    <t>GHUK-03</t>
  </si>
  <si>
    <t>J050198011</t>
  </si>
  <si>
    <t>JG4-15291</t>
  </si>
  <si>
    <t>(70062006) BENJAMIN SANCHEZ RAMIREZ</t>
  </si>
  <si>
    <t>MINERALES DE MANGANESO ( Y SUS CONCENTRADOS)</t>
  </si>
  <si>
    <t>AFP-152</t>
  </si>
  <si>
    <t>(3367429) ARISTIZABAL SOTO RAMON ALBEIRO</t>
  </si>
  <si>
    <t>HCIN-35</t>
  </si>
  <si>
    <t>L5218005</t>
  </si>
  <si>
    <t>(70099535) LUIS ANIBAL GALEANO LOPEZ\ (70095664) ELKIN HORACIO HERNANDEZ VELASQUEZ</t>
  </si>
  <si>
    <t>GRAVAS NATURALES\ ARENA</t>
  </si>
  <si>
    <t>B7430D005</t>
  </si>
  <si>
    <t>CARBON TERMICO\ MINERALES DE ORO Y SUS CONCENTRADOS</t>
  </si>
  <si>
    <t>HGMK-02</t>
  </si>
  <si>
    <t>H6984005</t>
  </si>
  <si>
    <t>(9003143545) CARBONES POBLANCO S.A.S</t>
  </si>
  <si>
    <t>GGDM-02</t>
  </si>
  <si>
    <t>H1491005</t>
  </si>
  <si>
    <t>(8909211927) LADRILLERA SAN CRISTOBAL S.A.</t>
  </si>
  <si>
    <t>HGSF-13</t>
  </si>
  <si>
    <t>H6991005</t>
  </si>
  <si>
    <t>(43502764) CASTRILLON TRUJILLO ESNEDA MARIA\ (98601456) DISNEY DE JESUS RICO</t>
  </si>
  <si>
    <t>JKI-08122</t>
  </si>
  <si>
    <t>(9001937396) EXPLORACIONES CHOCO COLOMBIA SA</t>
  </si>
  <si>
    <t>FRONTINO-ANTIOQUIA\ URRAO-ANTIOQUIA</t>
  </si>
  <si>
    <t>HIBJ-01</t>
  </si>
  <si>
    <t>METALES PRECIOSOS\ MINERAL DE ZINC\ ASOCIADOS\ MINERAL DE PLOMO\ MINERAL DE MOLIBDENO\ COBRE</t>
  </si>
  <si>
    <t>B6778005</t>
  </si>
  <si>
    <t>MINERALES DE METALES PRECIOSOS Y SUS CONCENTRADOS\ MINERALES DE ZINC Y SUS CONCENTRADOS\ MINERALES DE MOLIBDENO Y SUS CONCENTRADOS</t>
  </si>
  <si>
    <t>HHBP-05</t>
  </si>
  <si>
    <t>H6787005</t>
  </si>
  <si>
    <t>METALES PRECIOSOS\ MINERAL DE COBRE\ MINERAL DE ZINC\ MINERAL DE MOLIBDENO</t>
  </si>
  <si>
    <t>L4794005</t>
  </si>
  <si>
    <t>(8110174450) JUPITER S.O.M</t>
  </si>
  <si>
    <t>JARDIN-ANTIOQUIA</t>
  </si>
  <si>
    <t>B4794B005</t>
  </si>
  <si>
    <t>MINERALES DE PLATA Y SUS CONCENTRADOS\ MINERALES DE ORO Y SUS CONCENTRADOS</t>
  </si>
  <si>
    <t>JHK-08053X</t>
  </si>
  <si>
    <t>(8110119526) COSTA S.O.M</t>
  </si>
  <si>
    <t>MINERALES DE ORO Y PLATINO, Y SUS CONCENTRADOS</t>
  </si>
  <si>
    <t>JERICO-ANTIOQUIA</t>
  </si>
  <si>
    <t>HHTI-11</t>
  </si>
  <si>
    <t>HJCE-03</t>
  </si>
  <si>
    <t>LA PINTADA-ANTIOQUIA\ TAMESIS-ANTIOQUIA\ FREDONIA-ANTIOQUIA</t>
  </si>
  <si>
    <t>HDBL-02</t>
  </si>
  <si>
    <t>H5810005</t>
  </si>
  <si>
    <t>(8909015229) FUNDACION BERTA ARIAS DE BOTERO</t>
  </si>
  <si>
    <t>LA PINTADA-ANTIOQUIA\ TAMESIS-ANTIOQUIA\ JERICO-ANTIOQUIA\ FREDONIA-ANTIOQUIA</t>
  </si>
  <si>
    <t>HCIC-49</t>
  </si>
  <si>
    <t>L4533005</t>
  </si>
  <si>
    <t>(9003752405) SOCIEDAD MINERA SOLVISTA COLOMBIA S.A.S.</t>
  </si>
  <si>
    <t>DEMAS_CONCESIBLES\ ORO\ COBRE\ PLATA</t>
  </si>
  <si>
    <t>LA PINTADA-ANTIOQUIA\ VALPARAISO-ANTIOQUIA</t>
  </si>
  <si>
    <t>FFSA-01</t>
  </si>
  <si>
    <t>C11417011</t>
  </si>
  <si>
    <t>(8909173981) MINERALES INDUSTRIALES S.A.</t>
  </si>
  <si>
    <t>LA UNION-ANTIOQUIA</t>
  </si>
  <si>
    <t>Oriente</t>
  </si>
  <si>
    <t>GESJ-03</t>
  </si>
  <si>
    <t>T256005</t>
  </si>
  <si>
    <t>(8909001207) SUMINISTROS DE COLOMBIA S.A.</t>
  </si>
  <si>
    <t>AFINES\ ARCILLA\ CAOLIN</t>
  </si>
  <si>
    <t>FFPE-03</t>
  </si>
  <si>
    <t>T11399011</t>
  </si>
  <si>
    <t>ARCILLA\ CAOLIN</t>
  </si>
  <si>
    <t>HIIN-06</t>
  </si>
  <si>
    <t>L243005</t>
  </si>
  <si>
    <t>(8901002510) CEMENTOS ARGOS S.A</t>
  </si>
  <si>
    <t>DEMAS_CONCESIBLES\ CAOLIN</t>
  </si>
  <si>
    <t>EILE-01</t>
  </si>
  <si>
    <t>T7763011</t>
  </si>
  <si>
    <t>LICENCIA DE EXPLOTACION\ CONTRATO DE CONCESION (L 685)</t>
  </si>
  <si>
    <t>G6425005</t>
  </si>
  <si>
    <t>(15355179) JESUS MARIA PAVAS RIVERA</t>
  </si>
  <si>
    <t>ARENAS Y GRAVAS SILICEAS</t>
  </si>
  <si>
    <t>FFRI-01</t>
  </si>
  <si>
    <t>C11414B011</t>
  </si>
  <si>
    <t>(8909004448) MATERIALES INDUSTRIALES S A</t>
  </si>
  <si>
    <t>JBS-14421</t>
  </si>
  <si>
    <t>EILE-02</t>
  </si>
  <si>
    <t>T7764011</t>
  </si>
  <si>
    <t>ARCILLA CAOLINITICA</t>
  </si>
  <si>
    <t>LA UNION-ANTIOQUIA\ ABEJORRAL-ANTIOQUIA</t>
  </si>
  <si>
    <t>EAVB-01</t>
  </si>
  <si>
    <t>C3924011</t>
  </si>
  <si>
    <t>JBS-11151</t>
  </si>
  <si>
    <t>HGKM-02</t>
  </si>
  <si>
    <t>H6975005</t>
  </si>
  <si>
    <t>(32413104) BEATRIZ MARTINEZ VELASQUEZ</t>
  </si>
  <si>
    <t>CAOLIN</t>
  </si>
  <si>
    <t>LA UNION-ANTIOQUIA\ CARMEN DE VIBORAL-ANTIOQUIA</t>
  </si>
  <si>
    <t>JBS-14341</t>
  </si>
  <si>
    <t>GBNB-04</t>
  </si>
  <si>
    <t>L227005</t>
  </si>
  <si>
    <t>(8000218330) COLOMBIANA DE COLOIDALES S. A.</t>
  </si>
  <si>
    <t>GBGE-07</t>
  </si>
  <si>
    <t>L204005</t>
  </si>
  <si>
    <t>FBOC-02</t>
  </si>
  <si>
    <t>T9760011</t>
  </si>
  <si>
    <t>(71618167) SANTIAGO RESTREPO VELEZ\ (70095267) JUAN GONZALO RESTREPO VELEZ\ (43023885) CLARA INES RESTREPO VELEZ\ (3352566) EDUARDO JOSE RESTREPO VELEZ</t>
  </si>
  <si>
    <t>LA UNION-ANTIOQUIA\ CARMEN DE VIBORAL-ANTIOQUIA\ ABEJORRAL-ANTIOQUIA</t>
  </si>
  <si>
    <t>ICT-16151</t>
  </si>
  <si>
    <t>LA UNION-ANTIOQUIA\ LA CEJA-ANTIOQUIA</t>
  </si>
  <si>
    <t>GHOM-02</t>
  </si>
  <si>
    <t>C4035005</t>
  </si>
  <si>
    <t>(9000188721) CANTERA LA CEJA S.A.\ (70566447) CARLOS MARIO GOMEZ RESTREPO</t>
  </si>
  <si>
    <t>JBS-11131</t>
  </si>
  <si>
    <t>LICENCIA DE EXPLORACION\ CONTRATO DE CONCESION (L 685)</t>
  </si>
  <si>
    <t>REMEDIOS-ANTIOQUIA</t>
  </si>
  <si>
    <t>HCIO-06</t>
  </si>
  <si>
    <t>T5342005</t>
  </si>
  <si>
    <t>(43578970) ANGELA MARIA RUA CANO\ (98533476) EDILBERTO ACEVEDO ECHAVARRIA</t>
  </si>
  <si>
    <t>ORO VETA\ PLATA</t>
  </si>
  <si>
    <t>(9002033491) CARLA RESOURCES S A</t>
  </si>
  <si>
    <t>HEQI-01</t>
  </si>
  <si>
    <t>H5974005</t>
  </si>
  <si>
    <t>(8305069205) MINERA POMA ROSA LTDA</t>
  </si>
  <si>
    <t>P7299B011</t>
  </si>
  <si>
    <t>(9000957998) SOCIEDAD MINERA NORDESTE S.A</t>
  </si>
  <si>
    <t>ORO\ MINERALES DE PLATA Y SUS CONCENTRADOS</t>
  </si>
  <si>
    <t>B7155005</t>
  </si>
  <si>
    <t>(8909145257) MINEROS S.A</t>
  </si>
  <si>
    <t>GHXB-02</t>
  </si>
  <si>
    <t>T4161005</t>
  </si>
  <si>
    <t>(8269396) JAVIER URIBE MEJIA\ (8267547) RODRIGO URIBE MEJIA\ (2706141) MARTIN EMILIO URIBE MEJIA</t>
  </si>
  <si>
    <t>CALIZA</t>
  </si>
  <si>
    <t>ASOCIADOS\ ORO\ PLATA</t>
  </si>
  <si>
    <t>HESG-01</t>
  </si>
  <si>
    <t>L4799005</t>
  </si>
  <si>
    <t>HCIJ-42</t>
  </si>
  <si>
    <t>L5003005</t>
  </si>
  <si>
    <t>(7777705154) ORIEL ORIEL ALFREDO CA?AS CORREA</t>
  </si>
  <si>
    <t>HEPO-16</t>
  </si>
  <si>
    <t>H5978005</t>
  </si>
  <si>
    <t>(3609589) CESAR AUGUSTO MESA MESA</t>
  </si>
  <si>
    <t>HCDE-01</t>
  </si>
  <si>
    <t>T4131005</t>
  </si>
  <si>
    <t>(43544246) CLARA EUGENIA VALLEJO RESTREPO</t>
  </si>
  <si>
    <t>METALES PRECIOSOS</t>
  </si>
  <si>
    <t>HCII-21</t>
  </si>
  <si>
    <t>T4815005</t>
  </si>
  <si>
    <t>(9000543841) SOCIEDAD MINERA LOS AMIGOS S.A</t>
  </si>
  <si>
    <t>HFBP-03</t>
  </si>
  <si>
    <t>H5953005</t>
  </si>
  <si>
    <t>(15539545) JHON MARIO BEDOYA LOPEZ</t>
  </si>
  <si>
    <t>MARMOL\ ORO\ CALIZA</t>
  </si>
  <si>
    <t>HGPJ-05</t>
  </si>
  <si>
    <t>H6717005</t>
  </si>
  <si>
    <t>MINERAL DE PLATA\ ORO\ PLATA</t>
  </si>
  <si>
    <t>JJE-08037X</t>
  </si>
  <si>
    <t>(9004297829) MINERALES OTU S.A.S</t>
  </si>
  <si>
    <t>IHF-08411</t>
  </si>
  <si>
    <t>(8403439) ALEXIS ZAPATA GARCIA</t>
  </si>
  <si>
    <t>MINERALES DE COBRE Y SUS CONCENTRADOS\ MINERALES DE PLATA Y SUS CONCENTRADOS\ MINERALES DE ORO Y SUS CONCENTRADOS</t>
  </si>
  <si>
    <t>HCIO-58</t>
  </si>
  <si>
    <t>L5663005</t>
  </si>
  <si>
    <t>(32515844) CARIDAD DE JESUS GIRALDO</t>
  </si>
  <si>
    <t>DEMAS_CONCESIBLES\ PIROFILITA</t>
  </si>
  <si>
    <t>GCTH-02</t>
  </si>
  <si>
    <t>T745005</t>
  </si>
  <si>
    <t>(8247041) PEDRO PABLO ZAPATA GIL\ (9003818305) EATON GOLD S.A.S.</t>
  </si>
  <si>
    <t>HCHC-24</t>
  </si>
  <si>
    <t>L3855005</t>
  </si>
  <si>
    <t>(9003063091) ZANDOR CAPITAL S.A.</t>
  </si>
  <si>
    <t>ORO\ PLATA</t>
  </si>
  <si>
    <t>HFJH-04</t>
  </si>
  <si>
    <t>H5814005</t>
  </si>
  <si>
    <t>HCIJ-11</t>
  </si>
  <si>
    <t>L4926005</t>
  </si>
  <si>
    <t>(8350578) MAXIMILIANO JARABA OCHOA</t>
  </si>
  <si>
    <t>JAU-16061</t>
  </si>
  <si>
    <t>(3609872) ANTONIO ACHURY PEDRO</t>
  </si>
  <si>
    <t>HCIB-22</t>
  </si>
  <si>
    <t>T4352005</t>
  </si>
  <si>
    <t>(71080078) LUIS HERMAN ARANGO VILLA\ (8229010) JOSE RAMIRO PE?A GOMEZ\ (8390822) LUIS HERNANDO GOMEZ GONZALEZ</t>
  </si>
  <si>
    <t>HFSF-02</t>
  </si>
  <si>
    <t>H6337005</t>
  </si>
  <si>
    <t>(22086496) MARIA ROSAURA POSADA GUERRA</t>
  </si>
  <si>
    <t>MINERAL DE PLATA\ ASOCIADOS\ ORO</t>
  </si>
  <si>
    <t>HFHD-14</t>
  </si>
  <si>
    <t>H6173005</t>
  </si>
  <si>
    <t>(9002047206) SOCIEDAD QUINTANA S.A</t>
  </si>
  <si>
    <t>DEMAS_CONCESIBLES\ ORO VETA</t>
  </si>
  <si>
    <t>ARCILLA\ MINERAL METALICO\ ARENA\ ROCAS</t>
  </si>
  <si>
    <t>H7156005</t>
  </si>
  <si>
    <t>HCIC-05</t>
  </si>
  <si>
    <t>T4436005</t>
  </si>
  <si>
    <t>(79120825) DAVID FRANCISCO QUI?ONES YOUNES</t>
  </si>
  <si>
    <t>HFCD-04</t>
  </si>
  <si>
    <t>H6336005</t>
  </si>
  <si>
    <t>HCIJ-38</t>
  </si>
  <si>
    <t>C4998005</t>
  </si>
  <si>
    <t>JAU-16081</t>
  </si>
  <si>
    <t>HCGO-14</t>
  </si>
  <si>
    <t>L1358005</t>
  </si>
  <si>
    <t>(8285514) OSCAR DE JESUS TOBON BUILES</t>
  </si>
  <si>
    <t>DEMAS_CONCESIBLES\ MINERAL DE ZINC\ ORO\ MINERAL DE PLOMO\ COBRE\ PLATA</t>
  </si>
  <si>
    <t>B7395005</t>
  </si>
  <si>
    <t>(8110092443) COMERCIALIZADORA INTERNACIONAL DE METALES PRECIOSOS Y METALES COMUNES INVERSIONES GENERALES S.A. CIIGSA.</t>
  </si>
  <si>
    <t>B7216B005</t>
  </si>
  <si>
    <t>IKK-08003X</t>
  </si>
  <si>
    <t>B6411005</t>
  </si>
  <si>
    <t>(8110437122) ASOCIACION DE PLANTAS DE BENEFICIO AUROARGENTIFERO DE ANTIOQUIA APLABAS</t>
  </si>
  <si>
    <t>B7181C005</t>
  </si>
  <si>
    <t>MINERALES DE COBRE Y SUS CONCENTRADOS\ MINERALES DE PLATA Y SUS CONCENTRADOS\ MINERALES DE ORO Y SUS CONCENTRADOS\ MINERALES DE PLOMO Y SUS CONCENTRADOS\ MINERALES DE ZINC Y SUS CONCENTRADOS</t>
  </si>
  <si>
    <t>HDIF-01</t>
  </si>
  <si>
    <t>H5895005</t>
  </si>
  <si>
    <t>(1243030) ALVARO SOTELO AHUMADA\ (71082422) ARTURO DE JESUS RODRIGUEZ ARANGO\ (15535903) MARIANO DE JESUS BEDOYA QUIRAMA</t>
  </si>
  <si>
    <t>HCIO-68</t>
  </si>
  <si>
    <t>L5698005</t>
  </si>
  <si>
    <t>(9003563237) INVERDESARROLLO SAS</t>
  </si>
  <si>
    <t>B6833005</t>
  </si>
  <si>
    <t>KF9-15151</t>
  </si>
  <si>
    <t>(9002099918) MIDRAE GOLD S.A.S</t>
  </si>
  <si>
    <t>HCIJ-09</t>
  </si>
  <si>
    <t>L4921005</t>
  </si>
  <si>
    <t>(8286148) CESAR AUGUSTO GRACIA JIMENEZ\ (71616774) IVAN DARIO ROJAS OCHOA\ (3610362) JESUS MARIA ZAPATA B</t>
  </si>
  <si>
    <t>HCIN-11</t>
  </si>
  <si>
    <t>T5170005</t>
  </si>
  <si>
    <t>HCIH-06</t>
  </si>
  <si>
    <t>L4671005</t>
  </si>
  <si>
    <t>JAU-16062X</t>
  </si>
  <si>
    <t>B7181G005</t>
  </si>
  <si>
    <t>(333801) O'PREY MILLER</t>
  </si>
  <si>
    <t>LCQ-14081</t>
  </si>
  <si>
    <t>ARENAS Y GRAVAS NATURALES Y SILICEAS\ MINERALES DE ORO Y SUS CONCENTRADOS</t>
  </si>
  <si>
    <t>JG1-15352</t>
  </si>
  <si>
    <t>IIP-15161</t>
  </si>
  <si>
    <t>(9001090417) MINERA REMEDIOS LTDA.\ (71081375) CARLOS MARIO RESTREPO SAMPEDRO\ (3609935) JAIR DE JESUS ORTIZ CANO\ (71623198) CARLOS FERNANDO CORREA VELASQUEZ</t>
  </si>
  <si>
    <t>REMEDIOS-ANTIOQUIA\ SEGOVIA-ANTIOQUIA</t>
  </si>
  <si>
    <t>JJE-08031</t>
  </si>
  <si>
    <t>(18603514) JORGE ARIEL ISAZA CANO\ (9003937538) SAINT MIGUEL MINING S.A.S.</t>
  </si>
  <si>
    <t>HHBA-12</t>
  </si>
  <si>
    <t>H6700005</t>
  </si>
  <si>
    <t>(8027294) JUAN GUILLERMO PEREZ MORENO\ (1018345017) CARLOS PEREZ MORENO</t>
  </si>
  <si>
    <t>KFJ-10561</t>
  </si>
  <si>
    <t>REMEDIOS-ANTIOQUIA\ VEGACHI-ANTIOQUIA</t>
  </si>
  <si>
    <t>HEPO-06</t>
  </si>
  <si>
    <t>H5952005</t>
  </si>
  <si>
    <t>(79368937) JORGE ENRIQUE CALDERON HERRERA</t>
  </si>
  <si>
    <t>H7122005</t>
  </si>
  <si>
    <t>HHII-08</t>
  </si>
  <si>
    <t>(8463347) RODOLFO BOLIVAR LOPEZ\ (8460459) EVELIO ARBOLEDA CORTES\ (3412756) JUAN GUILLERMO GUTIERREZ RESTREPO\ (70851088) JUAN JOSE MORENO NARANJO</t>
  </si>
  <si>
    <t>SANTA BARBARA-ANTIOQUIA\ FREDONIA-ANTIOQUIA</t>
  </si>
  <si>
    <t>HCIJ-15</t>
  </si>
  <si>
    <t>T4941005</t>
  </si>
  <si>
    <t>(71080239) GILBERTO ENRIQUE QUESADA RESTREPO</t>
  </si>
  <si>
    <t>SEGOVIA-ANTIOQUIA</t>
  </si>
  <si>
    <t>HCIN-02</t>
  </si>
  <si>
    <t>L5083005</t>
  </si>
  <si>
    <t>(21267360) JAEL VIVARES DE GOMEZ\ (21400413) MARIA HELENA GOMEZ VIVARES</t>
  </si>
  <si>
    <t>MARMOL</t>
  </si>
  <si>
    <t>MINERALES NO FERROSOS Y SUS CONCENTRADOS NCP</t>
  </si>
  <si>
    <t>JCQ-14471</t>
  </si>
  <si>
    <t>(15318032) JOAQUIN GUILLERMO RUIZ MEJIA\ (9004015331) CONSECIONES UNITED GOLD S.A.S</t>
  </si>
  <si>
    <t>HGIE-05</t>
  </si>
  <si>
    <t>H6013005</t>
  </si>
  <si>
    <t>(9003531513) GRUPO MINEROS DEL CARIBE S.A.S.</t>
  </si>
  <si>
    <t>HCIC-72</t>
  </si>
  <si>
    <t>T4578005</t>
  </si>
  <si>
    <t>(8002328920) ASOCIACION MUTUAL DE MINEROS "EL COGOTE</t>
  </si>
  <si>
    <t>HCIJ-29</t>
  </si>
  <si>
    <t>T4974005</t>
  </si>
  <si>
    <t>(7777705148) MIRYAM BOHORQUEZ CORREA\ (7777705147) CRISTOBAL BOHORQUEZ CORREA</t>
  </si>
  <si>
    <t>HCIN-09</t>
  </si>
  <si>
    <t>T5163B05</t>
  </si>
  <si>
    <t>(9002158147) SOCIEDAD MINERA UNIFAMILIAR LAS PALMERAS LTDA</t>
  </si>
  <si>
    <t>HIEK-03</t>
  </si>
  <si>
    <t>B6492B005</t>
  </si>
  <si>
    <t>HCIO-33</t>
  </si>
  <si>
    <t>T5570005</t>
  </si>
  <si>
    <t>(10169914) LUIS_ALFONSO GUTIERREZ BUSTAMANTE\ (71657611) JORGE ANDRES CASTELLANOS DOMINGUEZ</t>
  </si>
  <si>
    <t>HEPP-01</t>
  </si>
  <si>
    <t>H5990005</t>
  </si>
  <si>
    <t>HDVM-05</t>
  </si>
  <si>
    <t>H6023005</t>
  </si>
  <si>
    <t>(22087372) GARCIA OCHOA GLADIS HORTENCIA\ (71080562) DE JESUS GUERRA RAMIRO\ (42941387) CARDE?O GARCIA BRAYA LORENA</t>
  </si>
  <si>
    <t>B6728005</t>
  </si>
  <si>
    <t>JAF-16101</t>
  </si>
  <si>
    <t>HHBA-13</t>
  </si>
  <si>
    <t>H1291005</t>
  </si>
  <si>
    <t>(8110333481) COOPERATIVA DE MINEROS DEL NORDESTE ANTIOQUE?O</t>
  </si>
  <si>
    <t>HDVM-01</t>
  </si>
  <si>
    <t>H5997005</t>
  </si>
  <si>
    <t>(71082827) LUIS CARLOS RESTREPO CARDE?O\ (71081047) ELICEO ANTONIO CASTA?O\ (15537174) JAIRO HUGO ESCOBAR CATA?O</t>
  </si>
  <si>
    <t>HDNH-02</t>
  </si>
  <si>
    <t>T4571005</t>
  </si>
  <si>
    <t>(8305026908) EMPRESA MINERA LA CAMPANA LIMITADA\ (2706282) ELKIN MAYA OSPINA</t>
  </si>
  <si>
    <t>IEG-10161</t>
  </si>
  <si>
    <t>(71703321) LUIS FERNANDO ALZATE ESPINOSA</t>
  </si>
  <si>
    <t>GCSF-02</t>
  </si>
  <si>
    <t>L710005</t>
  </si>
  <si>
    <t>(9849362) JOHNJAN CARMONA</t>
  </si>
  <si>
    <t>HEUD-02</t>
  </si>
  <si>
    <t>H6107005</t>
  </si>
  <si>
    <t>(4826021) JOSE MOSQUERA</t>
  </si>
  <si>
    <t>HEPP-02</t>
  </si>
  <si>
    <t>H6011005</t>
  </si>
  <si>
    <t>(9003216190) SEGOVIA MINERA GOLD S.A.S.</t>
  </si>
  <si>
    <t>GGNB-02</t>
  </si>
  <si>
    <t>T3098005</t>
  </si>
  <si>
    <t>AFINES\ CALIZA</t>
  </si>
  <si>
    <t>HGHD-03</t>
  </si>
  <si>
    <t>H6910005</t>
  </si>
  <si>
    <t>(9003818305) EATON GOLD S.A.S.\ (9002492438) SOCIEDAD MINERA YAMANA COLOMBIA.</t>
  </si>
  <si>
    <t>B7774C005</t>
  </si>
  <si>
    <t>HEQJ-02</t>
  </si>
  <si>
    <t>H6046005</t>
  </si>
  <si>
    <t>HFPD-04</t>
  </si>
  <si>
    <t>H6116005</t>
  </si>
  <si>
    <t>(8110369889) ASOCIACION COMUNITARIA DE MINEROS MARMAJITO "ASOMARMAJITO</t>
  </si>
  <si>
    <t>B7774005</t>
  </si>
  <si>
    <t>JD8-16531</t>
  </si>
  <si>
    <t>(9002099918) MIDRAE GOLD S.A.S\ (9004015331) CONSECIONES UNITED GOLD S.A.S</t>
  </si>
  <si>
    <t>B6307005</t>
  </si>
  <si>
    <t>TAMESIS-ANTIOQUIA</t>
  </si>
  <si>
    <t>HCIF-01</t>
  </si>
  <si>
    <t>E4621005</t>
  </si>
  <si>
    <t>(3629240) SILVIO DE JESUS MONTOYA SANCHEZ</t>
  </si>
  <si>
    <t>HHVD-05</t>
  </si>
  <si>
    <t>HGSF-25</t>
  </si>
  <si>
    <t>H6291005</t>
  </si>
  <si>
    <t>JI8-08121</t>
  </si>
  <si>
    <t>(3629340) SILVIO DE JESUS MONTOYA SANCHEZ</t>
  </si>
  <si>
    <t>HHII-06</t>
  </si>
  <si>
    <t>HCIH-20</t>
  </si>
  <si>
    <t>L4730005</t>
  </si>
  <si>
    <t>(9004160501) CARAMANTA CONDE MINES S.A.S.</t>
  </si>
  <si>
    <t>TAMESIS-ANTIOQUIA\ CARAMANTA-ANTIOQUIA</t>
  </si>
  <si>
    <t>HIMD-02</t>
  </si>
  <si>
    <t>B5912B005</t>
  </si>
  <si>
    <t>HHII-13</t>
  </si>
  <si>
    <t>TAMESIS-ANTIOQUIA\ JERICO-ANTIOQUIA</t>
  </si>
  <si>
    <t>B7619005</t>
  </si>
  <si>
    <t>(9001491867) SOCIEDAD SORATAMA</t>
  </si>
  <si>
    <t>ORO\ MINERALES DE COBRE Y SUS CONCENTRADOS\ MINERALES DE PLATA Y SUS CONCENTRADOS\ MINERALES DE PLATINO Y SUS CONCENTRADOS\ MINERALES DE PLOMO Y SUS CONCENTRADOS\ MINERALES DE ZINC Y SUS CONCENTRADOS\ MINERALES DE MOLIBDENO Y SUS CONCENTRADOS</t>
  </si>
  <si>
    <t>HINB-05</t>
  </si>
  <si>
    <t>HIMD-08</t>
  </si>
  <si>
    <t>TAMESIS-ANTIOQUIA\ VALPARAISO-ANTIOQUIA</t>
  </si>
  <si>
    <t>HHBP-03</t>
  </si>
  <si>
    <t>H6455B005</t>
  </si>
  <si>
    <t>MINERAL DE PLATA\ MINERAL DE ZINC\ ORO\ PLATINO\ MINERAL DE MOLIBDENO\ COBRE</t>
  </si>
  <si>
    <t>HGSF-17</t>
  </si>
  <si>
    <t>H6262005</t>
  </si>
  <si>
    <t>METALES PRECIOSOS\ MINERAL DE ZINC\ MINERAL DE PLOMO\ COBRE</t>
  </si>
  <si>
    <t>HCIC-45</t>
  </si>
  <si>
    <t>L4522005</t>
  </si>
  <si>
    <t>(8300039521) EXPLORADORA LA ESPERANZA S.A.</t>
  </si>
  <si>
    <t>TAMESIS-ANTIOQUIA\ VALPARAISO-ANTIOQUIA\ CARAMANTA-ANTIOQUIA</t>
  </si>
  <si>
    <t>HIMN-01</t>
  </si>
  <si>
    <t>TARSO-ANTIOQUIA\ FREDONIA-ANTIOQUIA</t>
  </si>
  <si>
    <t>HEMI-02</t>
  </si>
  <si>
    <t>L5263005</t>
  </si>
  <si>
    <t>(9003739127) LA MINA FREDONIA S.A.S.</t>
  </si>
  <si>
    <t>H7340005</t>
  </si>
  <si>
    <t>B7620005</t>
  </si>
  <si>
    <t>(900105076-6) INGENIERIA Y GESTION DEL TERRITORIO S.A., IGTER S.A.</t>
  </si>
  <si>
    <t>TARSO-ANTIOQUIA\ JERICO-ANTIOQUIA\ FREDONIA-ANTIOQUIA</t>
  </si>
  <si>
    <t>FI8-161</t>
  </si>
  <si>
    <t>TARSO-ANTIOQUIA\ PUEBLORRICO-ANTIOQUIA\ JERICO-ANTIOQUIA</t>
  </si>
  <si>
    <t>HHNK-08</t>
  </si>
  <si>
    <t>(8239666) FRANCISCO JAVIER RODRIGUEZ VALENCIA\ (70851088) JUAN JOSE MORENO NARANJO</t>
  </si>
  <si>
    <t>TARSO-ANTIOQUIA\ VENECIA-ANTIOQUIA</t>
  </si>
  <si>
    <t>B7430C005</t>
  </si>
  <si>
    <t>TARSO-ANTIOQUIA\ VENECIA-ANTIOQUIA\ FREDONIA-ANTIOQUIA</t>
  </si>
  <si>
    <t>HHMM-04</t>
  </si>
  <si>
    <t>METALES PRECIOSOS\ MINERAL DE ZINC\ MINERAL DE MOLIBDENO\ COBRE</t>
  </si>
  <si>
    <t>IH6-10331</t>
  </si>
  <si>
    <t>HFQL-11</t>
  </si>
  <si>
    <t>H6768005</t>
  </si>
  <si>
    <t>(8909327307) CONSTRUCCIONES Y TRACTORES S.A. CONYTRAC S.A</t>
  </si>
  <si>
    <t>TARSO-ANTIOQUIA\ VENECIA-ANTIOQUIA\ SANGAR-ANTIOQUIA</t>
  </si>
  <si>
    <t>BHT-152</t>
  </si>
  <si>
    <t>(8435023) ALIRIO DE JESUS GIRALDO OSSA</t>
  </si>
  <si>
    <t>TITIRIBI-ANTIOQUIA</t>
  </si>
  <si>
    <t>HCWB-02</t>
  </si>
  <si>
    <t>J051601011</t>
  </si>
  <si>
    <t>(8909121380) CARBONES DE SABALETAS LTDA</t>
  </si>
  <si>
    <t>GACF-01</t>
  </si>
  <si>
    <t>T14072011</t>
  </si>
  <si>
    <t>(42771317) ADRIANA_MARIA ARANGO MONTOYA\ (71587220) JORGE_HUMBERTO ARANGO SIERRA</t>
  </si>
  <si>
    <t>HHPO-09</t>
  </si>
  <si>
    <t>GIWG-02</t>
  </si>
  <si>
    <t>J050498011</t>
  </si>
  <si>
    <t>(3310542) JOSE NEVARDO LOPEZ GAVIRIA\ (15456592) MANUEL SALVADOR GONZALEZ SUAREZ</t>
  </si>
  <si>
    <t>HHBA-03</t>
  </si>
  <si>
    <t>H5820005</t>
  </si>
  <si>
    <t>HCGC-01</t>
  </si>
  <si>
    <t>FGR-111</t>
  </si>
  <si>
    <t>(3630925) JORGE DE JESUS QUINTERO MUNOZ</t>
  </si>
  <si>
    <t>HHCE-22</t>
  </si>
  <si>
    <t>H5949005</t>
  </si>
  <si>
    <t>HCPO-03</t>
  </si>
  <si>
    <t>L5085005</t>
  </si>
  <si>
    <t>HFSG-04</t>
  </si>
  <si>
    <t>H6583B05</t>
  </si>
  <si>
    <t>(71666023) JAIME LEON LONDO?O VERA\ (70220308) HECTOR FABIO QUICENO ARANGO</t>
  </si>
  <si>
    <t>GHQE-02</t>
  </si>
  <si>
    <t>J050298011</t>
  </si>
  <si>
    <t>HCIJ-41</t>
  </si>
  <si>
    <t>L5001005</t>
  </si>
  <si>
    <t>HHCE-01</t>
  </si>
  <si>
    <t>H5949B005</t>
  </si>
  <si>
    <t>HJID-06</t>
  </si>
  <si>
    <t>(3630890) GABRIEL EDUARDO VELEZ GONZALEZ</t>
  </si>
  <si>
    <t>HDNB-03</t>
  </si>
  <si>
    <t>L4984005</t>
  </si>
  <si>
    <t>HDWA-02</t>
  </si>
  <si>
    <t>(9003541485) ZANCUDO GOLD SUCURSAL COLOMBIA</t>
  </si>
  <si>
    <t>HHBA-04</t>
  </si>
  <si>
    <t>H5820B005</t>
  </si>
  <si>
    <t>HGIE-07</t>
  </si>
  <si>
    <t>H5911005</t>
  </si>
  <si>
    <t>HCWB-03</t>
  </si>
  <si>
    <t>05-001-97</t>
  </si>
  <si>
    <t>(8909034839) EXPLOTACIONES CARBONIFERAS S A EXCARBON</t>
  </si>
  <si>
    <t>HIDK-07</t>
  </si>
  <si>
    <t>MINERAL DE ZINC\ ASOCIADOS\ ORO\ PLATA</t>
  </si>
  <si>
    <t>HJBF-27</t>
  </si>
  <si>
    <t>(70109355) LUIS FERNANDO BUSTAMANTE RAMIREZ</t>
  </si>
  <si>
    <t>CARBON\ DEMAS_CONCESIBLES\ MINERAL DE PLATA\ MINERAL DE ZINC\ ORO\ MINERAL DE MOLIBDENO</t>
  </si>
  <si>
    <t>HCWB-01</t>
  </si>
  <si>
    <t>05-017-96</t>
  </si>
  <si>
    <t>(15456592) MANUEL SALVADOR GONZALEZ SUAREZ</t>
  </si>
  <si>
    <t>FIVH-01</t>
  </si>
  <si>
    <t>T13731011</t>
  </si>
  <si>
    <t>(8909014220) EXPLOTACIONES DE CUARZO LTDA EN LIQUIDACION</t>
  </si>
  <si>
    <t>HEOM-12</t>
  </si>
  <si>
    <t>HJBN-04</t>
  </si>
  <si>
    <t>FHH-092</t>
  </si>
  <si>
    <t>DCK-081</t>
  </si>
  <si>
    <t>(15455868) JORGE ELIECER CANO PALACIO\ (3630727) ALBERTO ANTONIO MUNOZ CANO</t>
  </si>
  <si>
    <t>FDHK-01</t>
  </si>
  <si>
    <t>C5521011</t>
  </si>
  <si>
    <t>(8002084411) CONSORCIO DE INVERSIONISTAS C.D.I. S.A.</t>
  </si>
  <si>
    <t>CJN-081</t>
  </si>
  <si>
    <t>(8002118834) MINA LA MARGARITA S.A.</t>
  </si>
  <si>
    <t>TITIRIBI-ANTIOQUIA\ ANGELOPOLIS-ANTIOQUIA</t>
  </si>
  <si>
    <t>HGKL-02</t>
  </si>
  <si>
    <t>(43988146) MERCEDES CAMPUZANO ZULUAGA</t>
  </si>
  <si>
    <t>TITIRIBI-ANTIOQUIA\ ANGELOPOLIS-ANTIOQUIA\ AMAGA-ANTIOQUIA</t>
  </si>
  <si>
    <t>HJMO-03</t>
  </si>
  <si>
    <t>(8110403900) EMPRESA ASOCIATIVA DE TRABAJO ARENEROS DE SINFANA\ (8909174641) GISAICO LTDA\ (8000400146) PAVIMENTAR S.A</t>
  </si>
  <si>
    <t>TITIRIBI-ANTIOQUIA\ VENECIA-ANTIOQUIA</t>
  </si>
  <si>
    <t>G6007005</t>
  </si>
  <si>
    <t>(9002285281) ASOCIACION DE ARENEROS DEL SINIFANA "ASSINIF"\ (8110046491) EMPRESA ASOCIATIVA DE TRABAJO EL PROGRESO</t>
  </si>
  <si>
    <t>ARENAS Y GRAVAS NATURALES Y SILICEAS</t>
  </si>
  <si>
    <t>B7429005</t>
  </si>
  <si>
    <t>MATERIALES DE CONSTRUCCION\ ORO\ PLATA EN ALUVION\ MATERIAL DE ARRASTRE\ CARBON TERMICO</t>
  </si>
  <si>
    <t>TITIRIBI-ANTIOQUIA\ VENECIA-ANTIOQUIA\ CONCORDIA-ANTIOQUIA</t>
  </si>
  <si>
    <t>HIBJ-02</t>
  </si>
  <si>
    <t>MINERAL DE ZINC\ ASOCIADOS\ ORO\ PLATINO\ MINERAL DE PLOMO\ MINERAL DE MOLIBDENO\ COBRE\ PLATA</t>
  </si>
  <si>
    <t>URRAO-ANTIOQUIA</t>
  </si>
  <si>
    <t>ILC-15481</t>
  </si>
  <si>
    <t>JKI-08201</t>
  </si>
  <si>
    <t>HIBJ-11</t>
  </si>
  <si>
    <t>MINERAL DE ZINC\ ASOCIADOS\ PLATINO\ MINERAL DE MOLIBDENO\ PLATA\ MINERALES DE ORO Y SUS CONCENTRADOS</t>
  </si>
  <si>
    <t>ICS-10021</t>
  </si>
  <si>
    <t>MINERALES DE COBRE Y SUS CONCENTRADOS\ MINERALES DE PLATA Y SUS CONCENTRADOS\ MINERALES DE ORO Y SUS CONCENTRADOS\ MINERALES DE PLATINO Y SUS CONCENTRADOS\ MINERALES DE PLOMO Y SUS CONCENTRADOS\ MINERALES DE MOLIBDENO Y SUS CONCENTRADOS</t>
  </si>
  <si>
    <t>III-14581</t>
  </si>
  <si>
    <t>HGGD-21</t>
  </si>
  <si>
    <t>I7077005</t>
  </si>
  <si>
    <t>(9000611842) CONSORCIO EL BRECHON</t>
  </si>
  <si>
    <t>AUTORIZACION TEMPORAL</t>
  </si>
  <si>
    <t>ILC-15491</t>
  </si>
  <si>
    <t>ICQ-0800489X</t>
  </si>
  <si>
    <t>FHKK-03</t>
  </si>
  <si>
    <t>L12016011</t>
  </si>
  <si>
    <t>(8000095721) SOCIEDAD ORDINARIA DE MINAS OPTIMA</t>
  </si>
  <si>
    <t>HIBJ-08</t>
  </si>
  <si>
    <t>HGGD-22</t>
  </si>
  <si>
    <t>I7074005</t>
  </si>
  <si>
    <t>B7527005</t>
  </si>
  <si>
    <t>HJBF-09</t>
  </si>
  <si>
    <t>(9003579825) MINERA ANZA S.A</t>
  </si>
  <si>
    <t>HGGD-27</t>
  </si>
  <si>
    <t>I7075005</t>
  </si>
  <si>
    <t>HIDJ-08</t>
  </si>
  <si>
    <t>HIBJ-05</t>
  </si>
  <si>
    <t>MINERAL DE ZINC\ ASOCIADOS\ ORO\ PLATINO\ MINERAL DE MOLIBDENO\ PLATA</t>
  </si>
  <si>
    <t>HIBJ-06</t>
  </si>
  <si>
    <t>FHKK-07</t>
  </si>
  <si>
    <t>T12014011</t>
  </si>
  <si>
    <t>HGGD-25</t>
  </si>
  <si>
    <t>I7076005</t>
  </si>
  <si>
    <t>FJND-01</t>
  </si>
  <si>
    <t>T13255011</t>
  </si>
  <si>
    <t>(1201367) AUGUSTO AGUIRRE GONZALEZ</t>
  </si>
  <si>
    <t>URRAO-ANTIOQUIA\ ABRIAQUI-ANTIOQUIA</t>
  </si>
  <si>
    <t>HCHA-23</t>
  </si>
  <si>
    <t>L2791005</t>
  </si>
  <si>
    <t>AFINES\ ORO VETA</t>
  </si>
  <si>
    <t>URRAO-ANTIOQUIA\ QUIBDO-CHOCO</t>
  </si>
  <si>
    <t>HIMD-09</t>
  </si>
  <si>
    <t>MINERAL DE ZINC\ ORO\ PLATINO\ MINERAL DE MOLIBDENO\ COBRE\ PLATA</t>
  </si>
  <si>
    <t>URRAO-ANTIOQUIA\ VIGIA DEL FUERTE-ANTIOQUIA</t>
  </si>
  <si>
    <t>B6780005</t>
  </si>
  <si>
    <t>ZMI_LA MARIA</t>
  </si>
  <si>
    <t>(7777771511) COMUNIDAD INDIGENA EMBERA_CHAMI LA_MARIA</t>
  </si>
  <si>
    <t>ZONAS ESPECIALES</t>
  </si>
  <si>
    <t>TODOS LOS MINERALES</t>
  </si>
  <si>
    <t>VALPARAISO-ANTIOQUIA</t>
  </si>
  <si>
    <t>HFBI-01</t>
  </si>
  <si>
    <t>C4452B05</t>
  </si>
  <si>
    <t>HHVN-07</t>
  </si>
  <si>
    <t>HCPN-01</t>
  </si>
  <si>
    <t>H5755005</t>
  </si>
  <si>
    <t>(8110339545) SOCIEDAD INVERSIONES MIDAS LIMITADA</t>
  </si>
  <si>
    <t>HCIO-07</t>
  </si>
  <si>
    <t>L5352005</t>
  </si>
  <si>
    <t>VALPARAISO-ANTIOQUIA\ CARAMANTA-ANTIOQUIA</t>
  </si>
  <si>
    <t>HCRH-02</t>
  </si>
  <si>
    <t>H5779005</t>
  </si>
  <si>
    <t>GFXE-01</t>
  </si>
  <si>
    <t>T1591005</t>
  </si>
  <si>
    <t>HIBJ-12</t>
  </si>
  <si>
    <t>HGSF-18</t>
  </si>
  <si>
    <t>HGPJ-10</t>
  </si>
  <si>
    <t>H7086005</t>
  </si>
  <si>
    <t>HHTI-13</t>
  </si>
  <si>
    <t>HJBF-05</t>
  </si>
  <si>
    <t>GBSB-01</t>
  </si>
  <si>
    <t>T380005</t>
  </si>
  <si>
    <t>FKH-091</t>
  </si>
  <si>
    <t>(8909237996) CARBONIA LTDA</t>
  </si>
  <si>
    <t>VENECIA-ANTIOQUIA</t>
  </si>
  <si>
    <t>GCI-161</t>
  </si>
  <si>
    <t>(8110383248) HULLERAS DE ANTIOQUIA S.A</t>
  </si>
  <si>
    <t>GCI-082</t>
  </si>
  <si>
    <t>(43479038) SANDRA LUCIA SANCHEZ FERNANDEZ\ (71779189) CARLOS ANDRES MORALES FONNEGRA</t>
  </si>
  <si>
    <t>HHCE-04</t>
  </si>
  <si>
    <t>H7158005</t>
  </si>
  <si>
    <t>VENECIA-ANTIOQUIA\ FREDONIA-ANTIOQUIA</t>
  </si>
  <si>
    <t>IDO-08011</t>
  </si>
  <si>
    <t>(9003748882) ANGEL VELEZ S.A.S</t>
  </si>
  <si>
    <t>ZARAGOZA-ANTIOQUIA\ SEGOVIA-ANTIOQUIA</t>
  </si>
  <si>
    <t>Bajo Cauca</t>
  </si>
  <si>
    <t>JCV-15462X</t>
  </si>
  <si>
    <t>B7592005</t>
  </si>
  <si>
    <t>(811033463-0) PROMOCION DE PROYECTOS MINEROS S.A.</t>
  </si>
  <si>
    <t>KCK-08161</t>
  </si>
  <si>
    <t>GGBA-04</t>
  </si>
  <si>
    <t>T2597005</t>
  </si>
  <si>
    <t>(22086841) FANNY MADRID</t>
  </si>
  <si>
    <t>ZARAGOZA-ANTIOQUIA\ SEGOVIA-ANTIOQUIA\ EL BAGRE-ANTIOQUIA</t>
  </si>
  <si>
    <t>JDP-10481X</t>
  </si>
  <si>
    <t>HHON-01</t>
  </si>
  <si>
    <t>L3051005</t>
  </si>
  <si>
    <t>DEMAS_CONCESIBLES\ CALIZA</t>
  </si>
  <si>
    <t>PUERTO NARE (LA MAGDALENA)-ANTIOQUIA</t>
  </si>
  <si>
    <t>Magdalena medio</t>
  </si>
  <si>
    <t>HHMM-07</t>
  </si>
  <si>
    <t>PUERTO BERRIO-ANTIOQUIA</t>
  </si>
  <si>
    <t>HGIE-02</t>
  </si>
  <si>
    <t>H5917005</t>
  </si>
  <si>
    <t>(9000844079) GRAMALOTE COLOMBIA LIMITED</t>
  </si>
  <si>
    <t>MACEO-ANTIOQUIA\ SAN ROQUE-ANTIOQUIA\ YOLOMBO-ANTIOQUIA</t>
  </si>
  <si>
    <t>HFPD-03</t>
  </si>
  <si>
    <t>H6608005</t>
  </si>
  <si>
    <t>(98669306) JUAN CARLOS MU?OZ GARCIA\ (71777842) CARLOS ANDRES GUTIERREZ REMOLINA</t>
  </si>
  <si>
    <t>FGKK-01</t>
  </si>
  <si>
    <t>C14440011</t>
  </si>
  <si>
    <t>(7777701242) CALES Y DERIVADOS LA SIERRA S.A.</t>
  </si>
  <si>
    <t>CALCAREOS</t>
  </si>
  <si>
    <t>GIBO-01</t>
  </si>
  <si>
    <t>L4259005</t>
  </si>
  <si>
    <t>(8110149282) MINERALES DEL PUERTO S.A</t>
  </si>
  <si>
    <t>PUERTO BERRIO-ANTIOQUIA\ MACEO-ANTIOQUIA</t>
  </si>
  <si>
    <t>GGDE-03</t>
  </si>
  <si>
    <t>H2806005</t>
  </si>
  <si>
    <t>(8909310835) CEMENTOS RIOCLARO S A</t>
  </si>
  <si>
    <t>DEMAS_CONCESIBLES\ ARCILLA FERRUGINOSA</t>
  </si>
  <si>
    <t>SONSON-ANTIOQUIA\ PUERTO TRIUNFO-ANTIOQUIA</t>
  </si>
  <si>
    <t>FIIJ-04</t>
  </si>
  <si>
    <t>C12502011</t>
  </si>
  <si>
    <t>(8909008440) CALCAREOS INDUSTRIALES Y AGRICOLAS LTDA</t>
  </si>
  <si>
    <t>DEMAS_CONCESIBLES\ MARMOL</t>
  </si>
  <si>
    <t>SAN LUIS-ANTIOQUIA\ PUERTO TRIUNFO-ANTIOQUIA</t>
  </si>
  <si>
    <t>GGRO-02</t>
  </si>
  <si>
    <t>L878005</t>
  </si>
  <si>
    <t>(8600098085) HOLCIM (COLOMBIA) S A</t>
  </si>
  <si>
    <t>DEMAS_CONCESIBLES\ ARCILLA</t>
  </si>
  <si>
    <t>PUERTO TRIUNFO-ANTIOQUIA</t>
  </si>
  <si>
    <t>H6823005</t>
  </si>
  <si>
    <t>LKQ-10271</t>
  </si>
  <si>
    <t>(8110252616) INGECON LTDA</t>
  </si>
  <si>
    <t>FETO-01</t>
  </si>
  <si>
    <t>C6204011</t>
  </si>
  <si>
    <t>HHBA-07</t>
  </si>
  <si>
    <t>H7153B005</t>
  </si>
  <si>
    <t>MACEO-ANTIOQUIA\ YOLOMBO-ANTIOQUIA</t>
  </si>
  <si>
    <t>HJBF-15</t>
  </si>
  <si>
    <t>MACEO-ANTIOQUIA</t>
  </si>
  <si>
    <t>HHVD-04</t>
  </si>
  <si>
    <t>(21611504) ROSALINA GIRALDO JARAMILLO\ (93071029946) JUAN DAVID RODRIGUEZ ESTRADA\ (1096190838) JUAN SEBASTIAN RODRIGUEZ FONSE\ (1193522281) SAUL ESTEBAN RODRIGUEZ MOYANO\ (95031523266) NILSON ANDRES RODRIGUEZ FAJARDO</t>
  </si>
  <si>
    <t>YONDO (CASABE)-ANTIOQUIA</t>
  </si>
  <si>
    <t>GEJB-03</t>
  </si>
  <si>
    <t>L1477005</t>
  </si>
  <si>
    <t>(9002281375) CI CALIZAS Y MINERALES DEL NORDESTE SA</t>
  </si>
  <si>
    <t>METALES PRECIOSOS\ ASOCIADOS\ CALIZA</t>
  </si>
  <si>
    <t>HGGD-17</t>
  </si>
  <si>
    <t>H6388005</t>
  </si>
  <si>
    <t>(9003163354) MINERA EL PORVENIR DEL VAPOR S.A.S.</t>
  </si>
  <si>
    <t>IDI-16113X</t>
  </si>
  <si>
    <t>(9004131608) GOLDEN RANGE S.A.S.</t>
  </si>
  <si>
    <t>LGT-14391</t>
  </si>
  <si>
    <t>(900321982) CONSORCIO VIAL CARACOLI</t>
  </si>
  <si>
    <t>MACEO-ANTIOQUIA\ SAN ROQUE-ANTIOQUIA</t>
  </si>
  <si>
    <t>IFC-08203X</t>
  </si>
  <si>
    <t>MINERALES DE COBRE Y SUS CONCENTRADOS\ MINERALES DE METALES PRECIOSOS Y SUS CONCENTRADOS\ MINERALES DE MOLIBDENO Y SUS CONCENTRADOS</t>
  </si>
  <si>
    <t>H4940005</t>
  </si>
  <si>
    <t>(8110153708) SOCIEDAD PROCESADORA DE MINERALES DEL PUERTO PROMIPUERTO S.A. PROMINERALES S.A</t>
  </si>
  <si>
    <t>ROCA O PIEDRA CALIZA EN BRUTO</t>
  </si>
  <si>
    <t>SAN CARLOS-ANTIOQUIA\ PUERTO NARE (LA MAGDALENA)-ANTIOQUIA</t>
  </si>
  <si>
    <t>DDEA-01</t>
  </si>
  <si>
    <t>C1852011</t>
  </si>
  <si>
    <t>HFDB-01</t>
  </si>
  <si>
    <t>H6017005</t>
  </si>
  <si>
    <t>(3586101) LUIS ANGEL VALENCIA BARRERA\ (98483843) MAURICIO ANTONIO VALENCIA PULGARIN</t>
  </si>
  <si>
    <t>HIBJ-32</t>
  </si>
  <si>
    <t>(8110200031) COBRE S.O.M</t>
  </si>
  <si>
    <t>CARACOLI-ANTIOQUIA\ PUERTO NARE (LA MAGDALENA)-ANTIOQUIA</t>
  </si>
  <si>
    <t>HDKI-06</t>
  </si>
  <si>
    <t>GEWM-05</t>
  </si>
  <si>
    <t>T1935005</t>
  </si>
  <si>
    <t>(71190623) ELKIN__MAURICIO LONDO?O MUNERA\ (71191010) NESTOR_DANIEL VASQUEZ SIERRA\ (21929446) TERESITA SIERRA SOR\ (15318032) JOAQUIN GUILLERMO RUIZ MEJIA</t>
  </si>
  <si>
    <t>GIBO-02</t>
  </si>
  <si>
    <t>L4260005</t>
  </si>
  <si>
    <t>IGQ-14171</t>
  </si>
  <si>
    <t>CALIZA TRITURADA O MOLIDA\ MINERALES DE COBRE Y SUS CONCENTRADOS\ MINERALES DE PLATA Y SUS CONCENTRADOS\ MINERALES DE ORO Y SUS CONCENTRADOS\ MINERALES DE PLATINO Y SUS CONCENTRADOS\ MINERALES DE PLOMO Y SUS CONCENTRADOS\ MINERALES DE ZINC Y SUS CONCENTRADOS\ MINERALES DE MOLIBDENO Y SUS CONCENTRADOS</t>
  </si>
  <si>
    <t>GCVC-01</t>
  </si>
  <si>
    <t>C418005</t>
  </si>
  <si>
    <t>(8301259969) INSTITUTO NACIONAL DE CONCESIONES</t>
  </si>
  <si>
    <t>HFRD-03</t>
  </si>
  <si>
    <t>(8001783190) PROCESADORA DE CALES PROCECAL S.A.S.</t>
  </si>
  <si>
    <t>GEWM-03</t>
  </si>
  <si>
    <t>T1936005</t>
  </si>
  <si>
    <t>(71181574) SALOMON_DE_JESUS GOMEZ CARDENAS\ (71605151) RAFAEL IGNACIO MOLINA ARANGO\ (21354140) MERCEDES ROJAS PARRA\ (501215) GONZALO ECHEVERRI RIVERA</t>
  </si>
  <si>
    <t>LFA-11541</t>
  </si>
  <si>
    <t>IFC-08205X</t>
  </si>
  <si>
    <t>PUERTO BERRIO-ANTIOQUIA\ PUERTO NARE (LA MAGDALENA)-ANTIOQUIA</t>
  </si>
  <si>
    <t>LHU-09281</t>
  </si>
  <si>
    <t>(7543609) JORGE IVAN TORO NARANJO</t>
  </si>
  <si>
    <t>CALIZA TRITURADA O MOLIDA</t>
  </si>
  <si>
    <t>PUERTO NARE (LA MAGDALENA)-ANTIOQUIA\ SAN LUIS-ANTIOQUIA</t>
  </si>
  <si>
    <t>LHU-09283X</t>
  </si>
  <si>
    <t>HHOJ-02</t>
  </si>
  <si>
    <t>METALES PRECIOSOS\ MINERAL DE ZINC\ ASOCIADOS\ YESO\ MINERAL DE MOLIBDENO\ COBRE</t>
  </si>
  <si>
    <t>HENK-01</t>
  </si>
  <si>
    <t>L4543005</t>
  </si>
  <si>
    <t>(8110165139) EXPLOM LTDA</t>
  </si>
  <si>
    <t>LICENCIA DE EXPLORACION\ LICENCIA DE EXPLOTACION</t>
  </si>
  <si>
    <t>HGOB-09</t>
  </si>
  <si>
    <t>H6186005</t>
  </si>
  <si>
    <t>(70554291) LUIS_GUILLERMO GONZALEZ DIAZ</t>
  </si>
  <si>
    <t>METALES PRECIOSOS\ MINERAL DE ZINC\ ASOCIADOS\ YESO\ MINERAL DE PLOMO\ MINERAL DE MOLIBDENO\ COBRE</t>
  </si>
  <si>
    <t>HJEE-01</t>
  </si>
  <si>
    <t>HEUC-14</t>
  </si>
  <si>
    <t>I6341005</t>
  </si>
  <si>
    <t>(8600776594) SOCIEDAD OCIEQUIPOS LTDA</t>
  </si>
  <si>
    <t>GBGE-01</t>
  </si>
  <si>
    <t>T206005</t>
  </si>
  <si>
    <t>HGOB-12</t>
  </si>
  <si>
    <t>H4858005</t>
  </si>
  <si>
    <t>GBGE-08</t>
  </si>
  <si>
    <t>L207005</t>
  </si>
  <si>
    <t>LFB-09541</t>
  </si>
  <si>
    <t>H6312005</t>
  </si>
  <si>
    <t>LFI-08132X</t>
  </si>
  <si>
    <t>KEI-08161</t>
  </si>
  <si>
    <t>(8274601) CAMILO ALVAREZ OLARTE</t>
  </si>
  <si>
    <t>MINERALES DE PLATA Y SUS CONCENTRADOS</t>
  </si>
  <si>
    <t>PUERTO BERRIO-ANTIOQUIA\ YONDO (CASABE)-ANTIOQUIA</t>
  </si>
  <si>
    <t>ECGD-01</t>
  </si>
  <si>
    <t>SAN FRANCISCO-ANTIOQUIA\ SONSON-ANTIOQUIA\ SAN LUIS-ANTIOQUIA\ PUERTO TRIUNFO-ANTIOQUIA</t>
  </si>
  <si>
    <t>HGHK-04</t>
  </si>
  <si>
    <t>I7148005</t>
  </si>
  <si>
    <t>(8909842656) MUNICIPIO DE YONDO</t>
  </si>
  <si>
    <t>GHXO-03</t>
  </si>
  <si>
    <t>L4258005</t>
  </si>
  <si>
    <t>HCIO-18</t>
  </si>
  <si>
    <t>L5391005</t>
  </si>
  <si>
    <t>(7777705186) JULIA LEANNE LONDO?O SULKIN</t>
  </si>
  <si>
    <t>MIC-09311</t>
  </si>
  <si>
    <t>(9003306672) CONCESIONARIA RUTA DEL SOL S A S</t>
  </si>
  <si>
    <t>HEOJ-04</t>
  </si>
  <si>
    <t>H5569005</t>
  </si>
  <si>
    <t>CARACOLI-ANTIOQUIA\ SAN CARLOS-ANTIOQUIA\ PUERTO NARE (LA MAGDALENA)-ANTIOQUIA</t>
  </si>
  <si>
    <t>HDRI-01</t>
  </si>
  <si>
    <t>L5499005</t>
  </si>
  <si>
    <t>(43474223) LUZ FABIOLA GIRALDO MURILLO</t>
  </si>
  <si>
    <t>HDNA-01</t>
  </si>
  <si>
    <t>L4908005</t>
  </si>
  <si>
    <t>HIDJ-04</t>
  </si>
  <si>
    <t>(3586101) LUIS ANGEL VALENCIA BARRERA\ (22029619) FLOR ALBA VALENCIA PULGARIN</t>
  </si>
  <si>
    <t>FITK-09</t>
  </si>
  <si>
    <t>C12700011</t>
  </si>
  <si>
    <t>DOLOMITA\ CALIZA</t>
  </si>
  <si>
    <t>HHII-01</t>
  </si>
  <si>
    <t>HIMD-04</t>
  </si>
  <si>
    <t>MINERAL DE ZINC\ ORO\ PLATINO\ MINERAL DE MOLIBDENO\ PLATA</t>
  </si>
  <si>
    <t>GHNN-07</t>
  </si>
  <si>
    <t>L4040005</t>
  </si>
  <si>
    <t>GGNB-01</t>
  </si>
  <si>
    <t>L3050005</t>
  </si>
  <si>
    <t>HGKL-01</t>
  </si>
  <si>
    <t>H7091005</t>
  </si>
  <si>
    <t>(13892252) JOSE MERCEDES RODRIGUEZ SALCEDO\ (21949652) MARIA AMIRA MEDINA GARZON</t>
  </si>
  <si>
    <t>GBGE-05</t>
  </si>
  <si>
    <t>L208005</t>
  </si>
  <si>
    <t>(8903004371) CEMENTOS DEL VALLE S A</t>
  </si>
  <si>
    <t>GEWM-02</t>
  </si>
  <si>
    <t>T1928005</t>
  </si>
  <si>
    <t>(71081094) MIGUEL ANGEL PEREZ VILLA\ (71190623) ELKIN__MAURICIO LONDO?O MUNERA\ (21929446) TERESITA SIERRA SOR\ (500434) JAIRO RUIZ CUARTAS</t>
  </si>
  <si>
    <t>B7605005</t>
  </si>
  <si>
    <t>(8300273866) OMYA COLOMBIA S A</t>
  </si>
  <si>
    <t>JG1-09552</t>
  </si>
  <si>
    <t>(900209991-8) MIDRAE GOLD S.A.S\ (71081094) MIGUEL ANGEL PEREZ VILLA</t>
  </si>
  <si>
    <t>MJ4-16201</t>
  </si>
  <si>
    <t>(900459188) CONSORCIO VIAS CJ</t>
  </si>
  <si>
    <t>IGA-08001</t>
  </si>
  <si>
    <t>(8110206861) ARIES SOM</t>
  </si>
  <si>
    <t>GK3-082</t>
  </si>
  <si>
    <t>(9000340001) FANITRO CONSORCIO</t>
  </si>
  <si>
    <t>HGHK-05</t>
  </si>
  <si>
    <t>H6938005</t>
  </si>
  <si>
    <t>(8032710) PEREZ RODRIGUEZ ANDRES FELIPE</t>
  </si>
  <si>
    <t>MINERAL METALICO</t>
  </si>
  <si>
    <t>FGNM-01</t>
  </si>
  <si>
    <t>P6955011</t>
  </si>
  <si>
    <t>(8909375905) INVERSIONES PUERTO BERRIO LTDA</t>
  </si>
  <si>
    <t>HIBJ-37</t>
  </si>
  <si>
    <t>GAIB-01</t>
  </si>
  <si>
    <t>H14335011</t>
  </si>
  <si>
    <t>LFA-16211</t>
  </si>
  <si>
    <t>LFA-15411</t>
  </si>
  <si>
    <t>IDI-16111</t>
  </si>
  <si>
    <t>(71081094) MIGUEL ANGEL PEREZ VILLA</t>
  </si>
  <si>
    <t>IDI-16112X</t>
  </si>
  <si>
    <t>B7458005</t>
  </si>
  <si>
    <t>(3670855) GILDARDO ANTONIO GOMEZ MEJIA</t>
  </si>
  <si>
    <t>LE6-08061</t>
  </si>
  <si>
    <t>GHLC-05</t>
  </si>
  <si>
    <t>L4042005</t>
  </si>
  <si>
    <t>GHLC-04</t>
  </si>
  <si>
    <t>L4041005</t>
  </si>
  <si>
    <t>HINN-02</t>
  </si>
  <si>
    <t>HHMM-08</t>
  </si>
  <si>
    <t>HDKI-09</t>
  </si>
  <si>
    <t>L4866005</t>
  </si>
  <si>
    <t>HHVD-02</t>
  </si>
  <si>
    <t>(22019615) DEL CIELO HERNANDEZ PIEDAD</t>
  </si>
  <si>
    <t>HFPD-02</t>
  </si>
  <si>
    <t>H6618005</t>
  </si>
  <si>
    <t>(71777842) CARLOS ANDRES GUTIERREZ REMOLINA\ (98669306) JUAN CARLOS MU?OZ GARCIA</t>
  </si>
  <si>
    <t>HIMD-10</t>
  </si>
  <si>
    <t>HIBJ-35</t>
  </si>
  <si>
    <t>H5950005</t>
  </si>
  <si>
    <t>(15363430) ALONSO ESCOBAR HENRY\ (70035550) JOSE ARTURO MORALES MENESES</t>
  </si>
  <si>
    <t>GBNN-07</t>
  </si>
  <si>
    <t>L321005</t>
  </si>
  <si>
    <t>DEMAS_CONCESIBLES\ CALCAREOS</t>
  </si>
  <si>
    <t>GBIF-03</t>
  </si>
  <si>
    <t>L237005</t>
  </si>
  <si>
    <t>ECGN-04</t>
  </si>
  <si>
    <t>C4413011</t>
  </si>
  <si>
    <t>CALCAREOS\ ARCILLA</t>
  </si>
  <si>
    <t>IHF-08012</t>
  </si>
  <si>
    <t>(8110457121) COMPA?IA DE RECURSOS GEOLOGICOS S.A.\ (71081094) MIGUEL ANGEL PEREZ VILLA\ (71184658) CARLOS MARIO BETANCUR AGUIRRE\ (71189933) JHON ALBERTO CORONADO CASTRILLON\ (98484036) NICOLAS HERNANDO MU?OZ ECHAVARRIA</t>
  </si>
  <si>
    <t>IFC-08122X</t>
  </si>
  <si>
    <t>(8110212514) CHIBCHA SOM</t>
  </si>
  <si>
    <t>ID</t>
  </si>
  <si>
    <t>1.1830</t>
  </si>
  <si>
    <t>24.4645</t>
  </si>
  <si>
    <t>8.7162</t>
  </si>
  <si>
    <t>1991.1548</t>
  </si>
  <si>
    <t>9.9000</t>
  </si>
  <si>
    <t>955.7200</t>
  </si>
  <si>
    <t>10.0000</t>
  </si>
  <si>
    <t>6.1579</t>
  </si>
  <si>
    <t>87.8406</t>
  </si>
  <si>
    <t>45.7300</t>
  </si>
  <si>
    <t>272.5250</t>
  </si>
  <si>
    <t>1984.6016</t>
  </si>
  <si>
    <t>707.9118</t>
  </si>
  <si>
    <t>82.4780</t>
  </si>
  <si>
    <t>90.2500</t>
  </si>
  <si>
    <t>41.1939</t>
  </si>
  <si>
    <t>9.7288</t>
  </si>
  <si>
    <t>91.3769</t>
  </si>
  <si>
    <t>9.0000</t>
  </si>
  <si>
    <t>61.7391</t>
  </si>
  <si>
    <t>20.0000</t>
  </si>
  <si>
    <t>47.0228</t>
  </si>
  <si>
    <t>192.4440</t>
  </si>
  <si>
    <t>1989.0256</t>
  </si>
  <si>
    <t>78.0000</t>
  </si>
  <si>
    <t>30.0000</t>
  </si>
  <si>
    <t>12.0000</t>
  </si>
  <si>
    <t>209.0471</t>
  </si>
  <si>
    <t>106.9419</t>
  </si>
  <si>
    <t>2994.5497</t>
  </si>
  <si>
    <t>154.1846</t>
  </si>
  <si>
    <t>42.0912</t>
  </si>
  <si>
    <t>94.0495</t>
  </si>
  <si>
    <t>25.1144</t>
  </si>
  <si>
    <t>46.6600</t>
  </si>
  <si>
    <t>208.7986</t>
  </si>
  <si>
    <t>35.3292</t>
  </si>
  <si>
    <t>67.7998</t>
  </si>
  <si>
    <t>2.7512</t>
  </si>
  <si>
    <t>2.9751</t>
  </si>
  <si>
    <t>40.1800</t>
  </si>
  <si>
    <t>38.4998</t>
  </si>
  <si>
    <t>120.9186</t>
  </si>
  <si>
    <t>398.6002</t>
  </si>
  <si>
    <t>435.7005</t>
  </si>
  <si>
    <t>1908.0774</t>
  </si>
  <si>
    <t>8150.9953</t>
  </si>
  <si>
    <t>1000.0000</t>
  </si>
  <si>
    <t>8350.5846</t>
  </si>
  <si>
    <t>15.3750</t>
  </si>
  <si>
    <t>2000.0008</t>
  </si>
  <si>
    <t>5921.2698</t>
  </si>
  <si>
    <t>5.7397</t>
  </si>
  <si>
    <t>50.4245</t>
  </si>
  <si>
    <t>2243.7994</t>
  </si>
  <si>
    <t>379.6740</t>
  </si>
  <si>
    <t>8.3502</t>
  </si>
  <si>
    <t>7.6125</t>
  </si>
  <si>
    <t>2.0679</t>
  </si>
  <si>
    <t>142.1040</t>
  </si>
  <si>
    <t>5.4677</t>
  </si>
  <si>
    <t>58.8296</t>
  </si>
  <si>
    <t>2.0405</t>
  </si>
  <si>
    <t>599.7999</t>
  </si>
  <si>
    <t>101.3899</t>
  </si>
  <si>
    <t>232.6972</t>
  </si>
  <si>
    <t>3.4350</t>
  </si>
  <si>
    <t>37.0541</t>
  </si>
  <si>
    <t>676.1530</t>
  </si>
  <si>
    <t>40.0000</t>
  </si>
  <si>
    <t>5.0220</t>
  </si>
  <si>
    <t>3.1925</t>
  </si>
  <si>
    <t>1698.3992</t>
  </si>
  <si>
    <t>2484.0518</t>
  </si>
  <si>
    <t>226.2400</t>
  </si>
  <si>
    <t>15.1844</t>
  </si>
  <si>
    <t>24.2373</t>
  </si>
  <si>
    <t>2418.9955</t>
  </si>
  <si>
    <t>3475.6335</t>
  </si>
  <si>
    <t>1929.0384</t>
  </si>
  <si>
    <t>1783.7887</t>
  </si>
  <si>
    <t>75.1508</t>
  </si>
  <si>
    <t>104.6177</t>
  </si>
  <si>
    <t>99.0080</t>
  </si>
  <si>
    <t>GHEK-12</t>
  </si>
  <si>
    <t>L3786005</t>
  </si>
  <si>
    <t>(16050711) ALVARO MUNOZ ECHEVERRI</t>
  </si>
  <si>
    <t>49.3210</t>
  </si>
  <si>
    <t>MEDELLIN-ANTIOQUIA</t>
  </si>
  <si>
    <t>840.6041</t>
  </si>
  <si>
    <t>HCIB-11</t>
  </si>
  <si>
    <t>L4304005</t>
  </si>
  <si>
    <t>(8110449273) LADRILLERA EL AJIZAL S.A</t>
  </si>
  <si>
    <t>2.8001</t>
  </si>
  <si>
    <t>ITAGUI-ANTIOQUIA</t>
  </si>
  <si>
    <t>HDSB-02</t>
  </si>
  <si>
    <t>E2721005</t>
  </si>
  <si>
    <t>(8909004029) INDURAL S.A.</t>
  </si>
  <si>
    <t>COPACABANA-ANTIOQUIA</t>
  </si>
  <si>
    <t>HJHH-01</t>
  </si>
  <si>
    <t>(8000400146) PAVIMENTAR S.A</t>
  </si>
  <si>
    <t>27.0193</t>
  </si>
  <si>
    <t>REGISTRO MINERO DE CANTERAS</t>
  </si>
  <si>
    <t>GIRARDOTA-ANTIOQUIA</t>
  </si>
  <si>
    <t>GBKG-06</t>
  </si>
  <si>
    <t>T272005</t>
  </si>
  <si>
    <t>(32539474) GLORIA MARIA VALENCIA OROZCO</t>
  </si>
  <si>
    <t>100.0000</t>
  </si>
  <si>
    <t>CROMITA</t>
  </si>
  <si>
    <t>ENVIGADO-ANTIOQUIA</t>
  </si>
  <si>
    <t>FJXN-02</t>
  </si>
  <si>
    <t>M23011</t>
  </si>
  <si>
    <t>(90900163) LADRILLERA SANTA RITA</t>
  </si>
  <si>
    <t>55.8739</t>
  </si>
  <si>
    <t>GAKF-04</t>
  </si>
  <si>
    <t>M74011</t>
  </si>
  <si>
    <t>(8909299517) CONCRETOS Y ASFALTOS S.A CONASFALTOS</t>
  </si>
  <si>
    <t>39.6899</t>
  </si>
  <si>
    <t>BELLO-ANTIOQUIA\ COPACABANA-ANTIOQUIA</t>
  </si>
  <si>
    <t>GHEK-13</t>
  </si>
  <si>
    <t>T3174005</t>
  </si>
  <si>
    <t>(8110034940) TEJAR EL NORAL LTDA.</t>
  </si>
  <si>
    <t>6.1252</t>
  </si>
  <si>
    <t>HGBH-01</t>
  </si>
  <si>
    <t>H525005</t>
  </si>
  <si>
    <t>(8909305451) OBRAS CIVILES Y MINERIA DE COLOMBIA S.A MINCIVIL</t>
  </si>
  <si>
    <t>6.0544</t>
  </si>
  <si>
    <t>GALE-09</t>
  </si>
  <si>
    <t>M36011</t>
  </si>
  <si>
    <t>(8305024831) SOCIEDAD CANTERA LA ESMERALDA S.A</t>
  </si>
  <si>
    <t>6.1273</t>
  </si>
  <si>
    <t>177.9971</t>
  </si>
  <si>
    <t>HCIN-18</t>
  </si>
  <si>
    <t>L5184005</t>
  </si>
  <si>
    <t>(9000469157) CONSTRUCTORA Y CLASIFICADORA DE MATERIALES PARA LA CONSTRUCCION LIMITADA</t>
  </si>
  <si>
    <t>447.9110</t>
  </si>
  <si>
    <t>DEMAS_CONCESIBLES\ MATERIALES DE CONSTRUCCION</t>
  </si>
  <si>
    <t>RIONEGRO-ANTIOQUIA\ MARINILLA-ANTIOQUIA</t>
  </si>
  <si>
    <t>GALK-09</t>
  </si>
  <si>
    <t>M73011</t>
  </si>
  <si>
    <t>14.9142</t>
  </si>
  <si>
    <t>HCIC-09</t>
  </si>
  <si>
    <t>L4442005</t>
  </si>
  <si>
    <t>(70033728) JAIME ALBERTO PATI?O RESTREPO</t>
  </si>
  <si>
    <t>337.1874</t>
  </si>
  <si>
    <t>ASOCIADOS\ ORO VETA</t>
  </si>
  <si>
    <t>BARBOSA-ANTIOQUIA\ DON MATIAS-ANTIOQUIA</t>
  </si>
  <si>
    <t>HCHA-25</t>
  </si>
  <si>
    <t>E2798005</t>
  </si>
  <si>
    <t>(7777705118) TERESA HERNANDEZ HERNANDEZ\ (7777705117) PABLO EMILIO ALVAREZ VILLA</t>
  </si>
  <si>
    <t>4.8100</t>
  </si>
  <si>
    <t>HDLI-02</t>
  </si>
  <si>
    <t>C3410005</t>
  </si>
  <si>
    <t>(15321758) JESUS ANIBAL RUIZ MONCADA</t>
  </si>
  <si>
    <t>7.9351</t>
  </si>
  <si>
    <t>MATERIAL DE CANTERA</t>
  </si>
  <si>
    <t>HDCF-01</t>
  </si>
  <si>
    <t>E1559005</t>
  </si>
  <si>
    <t>(15251338) SAUL CANO MEJIA\ (15258496) JAIME ZULUAGA CANO\ (15250374) AGUDELO CENEN CANO</t>
  </si>
  <si>
    <t>10.0002</t>
  </si>
  <si>
    <t>CALDAS-ANTIOQUIA</t>
  </si>
  <si>
    <t>HCIN-37</t>
  </si>
  <si>
    <t>L5222005</t>
  </si>
  <si>
    <t>(8110197121) CONSTRUCTORA CLASIFICADORA Y TRTITURADORA LOS COLORES QUINTEROS Y CIA S EN C</t>
  </si>
  <si>
    <t>687.5225</t>
  </si>
  <si>
    <t>SAN VICENTE-ANTIOQUIA\ RIONEGRO-ANTIOQUIA\ MARINILLA-ANTIOQUIA</t>
  </si>
  <si>
    <t>GGIH-01</t>
  </si>
  <si>
    <t>L2950005</t>
  </si>
  <si>
    <t>(21253802) MERCEDES VIEIRA DE BOTERO</t>
  </si>
  <si>
    <t>8.1653</t>
  </si>
  <si>
    <t>MANGANESO</t>
  </si>
  <si>
    <t>SANTA BARBARA-ANTIOQUIA</t>
  </si>
  <si>
    <t>GALF-03</t>
  </si>
  <si>
    <t>M41005</t>
  </si>
  <si>
    <t>(9002436046) LATIN AMERICAN WORLDWIDE MINING S.A. U</t>
  </si>
  <si>
    <t>14.2157</t>
  </si>
  <si>
    <t>FJXN-01</t>
  </si>
  <si>
    <t>M22011</t>
  </si>
  <si>
    <t>(8909063880) PROCOPAL S A</t>
  </si>
  <si>
    <t>33.4670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</si>
</sst>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5"/>
  <sheetViews>
    <sheetView showGridLines="0" tabSelected="1" zoomScaleNormal="100" workbookViewId="0">
      <selection activeCell="F16" sqref="F16"/>
    </sheetView>
  </sheetViews>
  <sheetFormatPr baseColWidth="10" defaultRowHeight="15" x14ac:dyDescent="0.25"/>
  <cols>
    <col min="1" max="1" width="11.42578125" style="1"/>
    <col min="2" max="2" width="13.85546875" style="1" bestFit="1" customWidth="1"/>
    <col min="3" max="3" width="19.28515625" style="1" bestFit="1" customWidth="1"/>
    <col min="4" max="4" width="41.7109375" style="1" customWidth="1"/>
    <col min="5" max="5" width="17.28515625" style="1" customWidth="1"/>
    <col min="6" max="6" width="37.140625" style="1" customWidth="1"/>
    <col min="7" max="7" width="28.28515625" style="1" customWidth="1"/>
    <col min="8" max="8" width="45.7109375" style="1" bestFit="1" customWidth="1"/>
    <col min="9" max="9" width="17" style="1" bestFit="1" customWidth="1"/>
    <col min="10" max="16384" width="11.42578125" style="1"/>
  </cols>
  <sheetData>
    <row r="1" spans="1:9" ht="30" x14ac:dyDescent="0.25">
      <c r="A1" s="5" t="s">
        <v>1054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7" t="s">
        <v>6</v>
      </c>
      <c r="I1" s="8" t="s">
        <v>7</v>
      </c>
    </row>
    <row r="2" spans="1:9" ht="30" x14ac:dyDescent="0.25">
      <c r="A2" s="9">
        <v>1</v>
      </c>
      <c r="B2" s="10" t="s">
        <v>8</v>
      </c>
      <c r="C2" s="2" t="s">
        <v>9</v>
      </c>
      <c r="D2" s="2" t="s">
        <v>10</v>
      </c>
      <c r="E2" s="2" t="str">
        <f>"7.4604"</f>
        <v>7.4604</v>
      </c>
      <c r="F2" s="2" t="s">
        <v>11</v>
      </c>
      <c r="G2" s="2" t="s">
        <v>12</v>
      </c>
      <c r="H2" s="3" t="s">
        <v>13</v>
      </c>
      <c r="I2" s="4" t="s">
        <v>14</v>
      </c>
    </row>
    <row r="3" spans="1:9" x14ac:dyDescent="0.25">
      <c r="A3" s="9">
        <v>2</v>
      </c>
      <c r="B3" s="10" t="s">
        <v>15</v>
      </c>
      <c r="C3" s="2" t="s">
        <v>15</v>
      </c>
      <c r="D3" s="2" t="s">
        <v>16</v>
      </c>
      <c r="E3" s="2" t="str">
        <f>"6.2306"</f>
        <v>6.2306</v>
      </c>
      <c r="F3" s="2" t="s">
        <v>17</v>
      </c>
      <c r="G3" s="2" t="s">
        <v>18</v>
      </c>
      <c r="H3" s="3" t="s">
        <v>13</v>
      </c>
      <c r="I3" s="4" t="s">
        <v>14</v>
      </c>
    </row>
    <row r="4" spans="1:9" ht="35.25" customHeight="1" x14ac:dyDescent="0.25">
      <c r="A4" s="9">
        <v>3</v>
      </c>
      <c r="B4" s="10" t="s">
        <v>19</v>
      </c>
      <c r="C4" s="2" t="s">
        <v>20</v>
      </c>
      <c r="D4" s="2" t="s">
        <v>21</v>
      </c>
      <c r="E4" s="2" t="str">
        <f>"6.2521"</f>
        <v>6.2521</v>
      </c>
      <c r="F4" s="2" t="s">
        <v>22</v>
      </c>
      <c r="G4" s="2" t="s">
        <v>18</v>
      </c>
      <c r="H4" s="3" t="s">
        <v>13</v>
      </c>
      <c r="I4" s="4" t="s">
        <v>14</v>
      </c>
    </row>
    <row r="5" spans="1:9" ht="30" x14ac:dyDescent="0.25">
      <c r="A5" s="9">
        <v>4</v>
      </c>
      <c r="B5" s="10" t="s">
        <v>23</v>
      </c>
      <c r="C5" s="2" t="s">
        <v>24</v>
      </c>
      <c r="D5" s="2" t="s">
        <v>25</v>
      </c>
      <c r="E5" s="2" t="str">
        <f>"10.8015"</f>
        <v>10.8015</v>
      </c>
      <c r="F5" s="2" t="s">
        <v>17</v>
      </c>
      <c r="G5" s="2" t="s">
        <v>26</v>
      </c>
      <c r="H5" s="3" t="s">
        <v>13</v>
      </c>
      <c r="I5" s="4" t="s">
        <v>14</v>
      </c>
    </row>
    <row r="6" spans="1:9" x14ac:dyDescent="0.25">
      <c r="A6" s="9">
        <v>5</v>
      </c>
      <c r="B6" s="10" t="s">
        <v>27</v>
      </c>
      <c r="C6" s="2" t="s">
        <v>28</v>
      </c>
      <c r="D6" s="2" t="s">
        <v>29</v>
      </c>
      <c r="E6" s="2" t="str">
        <f>"12.5142"</f>
        <v>12.5142</v>
      </c>
      <c r="F6" s="2" t="s">
        <v>17</v>
      </c>
      <c r="G6" s="2" t="s">
        <v>30</v>
      </c>
      <c r="H6" s="3" t="s">
        <v>13</v>
      </c>
      <c r="I6" s="4" t="s">
        <v>14</v>
      </c>
    </row>
    <row r="7" spans="1:9" ht="45" x14ac:dyDescent="0.25">
      <c r="A7" s="9">
        <v>6</v>
      </c>
      <c r="B7" s="10" t="s">
        <v>31</v>
      </c>
      <c r="C7" s="2" t="s">
        <v>31</v>
      </c>
      <c r="D7" s="2" t="s">
        <v>32</v>
      </c>
      <c r="E7" s="2" t="str">
        <f>"20.9103"</f>
        <v>20.9103</v>
      </c>
      <c r="F7" s="2" t="s">
        <v>22</v>
      </c>
      <c r="G7" s="2" t="s">
        <v>33</v>
      </c>
      <c r="H7" s="3" t="s">
        <v>13</v>
      </c>
      <c r="I7" s="4" t="s">
        <v>14</v>
      </c>
    </row>
    <row r="8" spans="1:9" x14ac:dyDescent="0.25">
      <c r="A8" s="9">
        <v>7</v>
      </c>
      <c r="B8" s="10" t="s">
        <v>34</v>
      </c>
      <c r="C8" s="2" t="s">
        <v>34</v>
      </c>
      <c r="D8" s="2" t="s">
        <v>35</v>
      </c>
      <c r="E8" s="2" t="str">
        <f>"1.8374"</f>
        <v>1.8374</v>
      </c>
      <c r="F8" s="2" t="s">
        <v>17</v>
      </c>
      <c r="G8" s="2" t="s">
        <v>36</v>
      </c>
      <c r="H8" s="3" t="s">
        <v>13</v>
      </c>
      <c r="I8" s="4" t="s">
        <v>14</v>
      </c>
    </row>
    <row r="9" spans="1:9" x14ac:dyDescent="0.25">
      <c r="A9" s="9">
        <v>8</v>
      </c>
      <c r="B9" s="10" t="s">
        <v>37</v>
      </c>
      <c r="C9" s="2" t="s">
        <v>37</v>
      </c>
      <c r="D9" s="2" t="s">
        <v>38</v>
      </c>
      <c r="E9" s="2" t="str">
        <f>"27.2019"</f>
        <v>27.2019</v>
      </c>
      <c r="F9" s="2" t="s">
        <v>17</v>
      </c>
      <c r="G9" s="2" t="s">
        <v>39</v>
      </c>
      <c r="H9" s="3" t="s">
        <v>13</v>
      </c>
      <c r="I9" s="4" t="s">
        <v>14</v>
      </c>
    </row>
    <row r="10" spans="1:9" x14ac:dyDescent="0.25">
      <c r="A10" s="9">
        <v>9</v>
      </c>
      <c r="B10" s="10" t="s">
        <v>40</v>
      </c>
      <c r="C10" s="2" t="s">
        <v>41</v>
      </c>
      <c r="D10" s="2" t="s">
        <v>42</v>
      </c>
      <c r="E10" s="2" t="str">
        <f>"284.3870"</f>
        <v>284.3870</v>
      </c>
      <c r="F10" s="2" t="s">
        <v>43</v>
      </c>
      <c r="G10" s="2" t="s">
        <v>39</v>
      </c>
      <c r="H10" s="3" t="s">
        <v>13</v>
      </c>
      <c r="I10" s="4" t="s">
        <v>14</v>
      </c>
    </row>
    <row r="11" spans="1:9" x14ac:dyDescent="0.25">
      <c r="A11" s="9">
        <v>10</v>
      </c>
      <c r="B11" s="10" t="s">
        <v>44</v>
      </c>
      <c r="C11" s="2" t="s">
        <v>45</v>
      </c>
      <c r="D11" s="2" t="s">
        <v>46</v>
      </c>
      <c r="E11" s="2" t="str">
        <f>"63.6348"</f>
        <v>63.6348</v>
      </c>
      <c r="F11" s="2" t="s">
        <v>22</v>
      </c>
      <c r="G11" s="2" t="s">
        <v>18</v>
      </c>
      <c r="H11" s="3" t="s">
        <v>13</v>
      </c>
      <c r="I11" s="4" t="s">
        <v>14</v>
      </c>
    </row>
    <row r="12" spans="1:9" x14ac:dyDescent="0.25">
      <c r="A12" s="9">
        <v>11</v>
      </c>
      <c r="B12" s="10" t="s">
        <v>47</v>
      </c>
      <c r="C12" s="2" t="s">
        <v>48</v>
      </c>
      <c r="D12" s="2" t="s">
        <v>49</v>
      </c>
      <c r="E12" s="2" t="str">
        <f>"483.0344"</f>
        <v>483.0344</v>
      </c>
      <c r="F12" s="2" t="s">
        <v>43</v>
      </c>
      <c r="G12" s="2" t="s">
        <v>39</v>
      </c>
      <c r="H12" s="3" t="s">
        <v>13</v>
      </c>
      <c r="I12" s="4" t="s">
        <v>14</v>
      </c>
    </row>
    <row r="13" spans="1:9" ht="30" x14ac:dyDescent="0.25">
      <c r="A13" s="9">
        <v>12</v>
      </c>
      <c r="B13" s="10" t="s">
        <v>50</v>
      </c>
      <c r="C13" s="2" t="s">
        <v>51</v>
      </c>
      <c r="D13" s="2" t="s">
        <v>52</v>
      </c>
      <c r="E13" s="2" t="str">
        <f>"302.9180"</f>
        <v>302.9180</v>
      </c>
      <c r="F13" s="2" t="s">
        <v>43</v>
      </c>
      <c r="G13" s="2" t="s">
        <v>53</v>
      </c>
      <c r="H13" s="3" t="s">
        <v>13</v>
      </c>
      <c r="I13" s="4" t="s">
        <v>14</v>
      </c>
    </row>
    <row r="14" spans="1:9" ht="30" x14ac:dyDescent="0.25">
      <c r="A14" s="9">
        <v>13</v>
      </c>
      <c r="B14" s="10" t="s">
        <v>54</v>
      </c>
      <c r="C14" s="2" t="s">
        <v>54</v>
      </c>
      <c r="D14" s="2" t="s">
        <v>55</v>
      </c>
      <c r="E14" s="2" t="str">
        <f>"26.0245"</f>
        <v>26.0245</v>
      </c>
      <c r="F14" s="2" t="s">
        <v>43</v>
      </c>
      <c r="G14" s="2" t="s">
        <v>39</v>
      </c>
      <c r="H14" s="3" t="s">
        <v>13</v>
      </c>
      <c r="I14" s="4" t="s">
        <v>14</v>
      </c>
    </row>
    <row r="15" spans="1:9" ht="45" x14ac:dyDescent="0.25">
      <c r="A15" s="9">
        <v>14</v>
      </c>
      <c r="B15" s="10" t="s">
        <v>56</v>
      </c>
      <c r="C15" s="2" t="s">
        <v>56</v>
      </c>
      <c r="D15" s="2" t="s">
        <v>57</v>
      </c>
      <c r="E15" s="2" t="str">
        <f>"2.8451"</f>
        <v>2.8451</v>
      </c>
      <c r="F15" s="2" t="s">
        <v>11</v>
      </c>
      <c r="G15" s="2" t="s">
        <v>12</v>
      </c>
      <c r="H15" s="3" t="s">
        <v>13</v>
      </c>
      <c r="I15" s="4" t="s">
        <v>14</v>
      </c>
    </row>
    <row r="16" spans="1:9" ht="20.25" customHeight="1" x14ac:dyDescent="0.25">
      <c r="A16" s="9">
        <v>15</v>
      </c>
      <c r="B16" s="10" t="s">
        <v>58</v>
      </c>
      <c r="C16" s="2" t="s">
        <v>59</v>
      </c>
      <c r="D16" s="2" t="s">
        <v>60</v>
      </c>
      <c r="E16" s="2" t="str">
        <f>"9.6302"</f>
        <v>9.6302</v>
      </c>
      <c r="F16" s="2" t="s">
        <v>22</v>
      </c>
      <c r="G16" s="2" t="s">
        <v>61</v>
      </c>
      <c r="H16" s="3" t="s">
        <v>13</v>
      </c>
      <c r="I16" s="4" t="s">
        <v>14</v>
      </c>
    </row>
    <row r="17" spans="1:9" ht="20.25" customHeight="1" x14ac:dyDescent="0.25">
      <c r="A17" s="9">
        <v>16</v>
      </c>
      <c r="B17" s="10" t="s">
        <v>62</v>
      </c>
      <c r="C17" s="2" t="s">
        <v>63</v>
      </c>
      <c r="D17" s="2" t="s">
        <v>46</v>
      </c>
      <c r="E17" s="2" t="str">
        <f>"34.9627"</f>
        <v>34.9627</v>
      </c>
      <c r="F17" s="2" t="s">
        <v>64</v>
      </c>
      <c r="G17" s="2" t="s">
        <v>30</v>
      </c>
      <c r="H17" s="3" t="s">
        <v>13</v>
      </c>
      <c r="I17" s="4" t="s">
        <v>14</v>
      </c>
    </row>
    <row r="18" spans="1:9" ht="22.5" customHeight="1" x14ac:dyDescent="0.25">
      <c r="A18" s="9">
        <v>17</v>
      </c>
      <c r="B18" s="10" t="s">
        <v>65</v>
      </c>
      <c r="C18" s="2" t="s">
        <v>66</v>
      </c>
      <c r="D18" s="2" t="s">
        <v>67</v>
      </c>
      <c r="E18" s="2" t="str">
        <f>"3.4826"</f>
        <v>3.4826</v>
      </c>
      <c r="F18" s="2" t="s">
        <v>22</v>
      </c>
      <c r="G18" s="2" t="s">
        <v>18</v>
      </c>
      <c r="H18" s="3" t="s">
        <v>13</v>
      </c>
      <c r="I18" s="4" t="s">
        <v>14</v>
      </c>
    </row>
    <row r="19" spans="1:9" ht="30" x14ac:dyDescent="0.25">
      <c r="A19" s="9">
        <v>18</v>
      </c>
      <c r="B19" s="10" t="s">
        <v>68</v>
      </c>
      <c r="C19" s="2" t="s">
        <v>69</v>
      </c>
      <c r="D19" s="2" t="s">
        <v>70</v>
      </c>
      <c r="E19" s="2" t="str">
        <f>"482.5344"</f>
        <v>482.5344</v>
      </c>
      <c r="F19" s="2" t="s">
        <v>22</v>
      </c>
      <c r="G19" s="2" t="s">
        <v>71</v>
      </c>
      <c r="H19" s="3" t="s">
        <v>13</v>
      </c>
      <c r="I19" s="4" t="s">
        <v>14</v>
      </c>
    </row>
    <row r="20" spans="1:9" ht="30" x14ac:dyDescent="0.25">
      <c r="A20" s="9">
        <v>19</v>
      </c>
      <c r="B20" s="10" t="s">
        <v>72</v>
      </c>
      <c r="C20" s="2" t="s">
        <v>73</v>
      </c>
      <c r="D20" s="2" t="s">
        <v>74</v>
      </c>
      <c r="E20" s="2" t="str">
        <f>"22.6841"</f>
        <v>22.6841</v>
      </c>
      <c r="F20" s="2" t="s">
        <v>22</v>
      </c>
      <c r="G20" s="2" t="s">
        <v>18</v>
      </c>
      <c r="H20" s="3" t="s">
        <v>13</v>
      </c>
      <c r="I20" s="4" t="s">
        <v>14</v>
      </c>
    </row>
    <row r="21" spans="1:9" ht="45" x14ac:dyDescent="0.25">
      <c r="A21" s="9">
        <v>20</v>
      </c>
      <c r="B21" s="10" t="s">
        <v>75</v>
      </c>
      <c r="C21" s="2" t="s">
        <v>76</v>
      </c>
      <c r="D21" s="2" t="s">
        <v>77</v>
      </c>
      <c r="E21" s="2" t="str">
        <f>"5.9895"</f>
        <v>5.9895</v>
      </c>
      <c r="F21" s="2" t="s">
        <v>43</v>
      </c>
      <c r="G21" s="2" t="s">
        <v>36</v>
      </c>
      <c r="H21" s="3" t="s">
        <v>13</v>
      </c>
      <c r="I21" s="4" t="s">
        <v>14</v>
      </c>
    </row>
    <row r="22" spans="1:9" ht="30" x14ac:dyDescent="0.25">
      <c r="A22" s="9">
        <v>21</v>
      </c>
      <c r="B22" s="10" t="s">
        <v>78</v>
      </c>
      <c r="C22" s="2" t="s">
        <v>79</v>
      </c>
      <c r="D22" s="2" t="s">
        <v>80</v>
      </c>
      <c r="E22" s="2" t="str">
        <f>"544.1298"</f>
        <v>544.1298</v>
      </c>
      <c r="F22" s="2" t="s">
        <v>81</v>
      </c>
      <c r="G22" s="2" t="s">
        <v>39</v>
      </c>
      <c r="H22" s="3" t="s">
        <v>82</v>
      </c>
      <c r="I22" s="4" t="s">
        <v>14</v>
      </c>
    </row>
    <row r="23" spans="1:9" x14ac:dyDescent="0.25">
      <c r="A23" s="9">
        <v>22</v>
      </c>
      <c r="B23" s="10" t="s">
        <v>83</v>
      </c>
      <c r="C23" s="2" t="s">
        <v>84</v>
      </c>
      <c r="D23" s="2" t="s">
        <v>85</v>
      </c>
      <c r="E23" s="2" t="str">
        <f>"55.4036"</f>
        <v>55.4036</v>
      </c>
      <c r="F23" s="2" t="s">
        <v>86</v>
      </c>
      <c r="G23" s="2" t="s">
        <v>39</v>
      </c>
      <c r="H23" s="3" t="s">
        <v>82</v>
      </c>
      <c r="I23" s="4" t="s">
        <v>14</v>
      </c>
    </row>
    <row r="24" spans="1:9" ht="30" x14ac:dyDescent="0.25">
      <c r="A24" s="9">
        <v>23</v>
      </c>
      <c r="B24" s="10" t="s">
        <v>87</v>
      </c>
      <c r="C24" s="2" t="s">
        <v>87</v>
      </c>
      <c r="D24" s="2" t="s">
        <v>88</v>
      </c>
      <c r="E24" s="2" t="str">
        <f>"397.4180"</f>
        <v>397.4180</v>
      </c>
      <c r="F24" s="2" t="s">
        <v>17</v>
      </c>
      <c r="G24" s="2" t="s">
        <v>39</v>
      </c>
      <c r="H24" s="3" t="s">
        <v>89</v>
      </c>
      <c r="I24" s="4" t="s">
        <v>14</v>
      </c>
    </row>
    <row r="25" spans="1:9" ht="45" x14ac:dyDescent="0.25">
      <c r="A25" s="9">
        <v>24</v>
      </c>
      <c r="B25" s="10" t="s">
        <v>90</v>
      </c>
      <c r="C25" s="2" t="s">
        <v>91</v>
      </c>
      <c r="D25" s="2" t="s">
        <v>92</v>
      </c>
      <c r="E25" s="2" t="str">
        <f>"687.9778"</f>
        <v>687.9778</v>
      </c>
      <c r="F25" s="2" t="s">
        <v>17</v>
      </c>
      <c r="G25" s="2" t="s">
        <v>39</v>
      </c>
      <c r="H25" s="3" t="s">
        <v>89</v>
      </c>
      <c r="I25" s="4" t="s">
        <v>14</v>
      </c>
    </row>
    <row r="26" spans="1:9" ht="30" x14ac:dyDescent="0.25">
      <c r="A26" s="9">
        <v>25</v>
      </c>
      <c r="B26" s="10" t="s">
        <v>93</v>
      </c>
      <c r="C26" s="2">
        <v>434</v>
      </c>
      <c r="D26" s="2" t="s">
        <v>94</v>
      </c>
      <c r="E26" s="2" t="str">
        <f>"209.4892"</f>
        <v>209.4892</v>
      </c>
      <c r="F26" s="2" t="s">
        <v>95</v>
      </c>
      <c r="G26" s="2" t="s">
        <v>39</v>
      </c>
      <c r="H26" s="3" t="s">
        <v>89</v>
      </c>
      <c r="I26" s="4" t="s">
        <v>14</v>
      </c>
    </row>
    <row r="27" spans="1:9" ht="30" x14ac:dyDescent="0.25">
      <c r="A27" s="9">
        <v>26</v>
      </c>
      <c r="B27" s="10" t="s">
        <v>96</v>
      </c>
      <c r="C27" s="2" t="s">
        <v>96</v>
      </c>
      <c r="D27" s="2" t="s">
        <v>97</v>
      </c>
      <c r="E27" s="2" t="str">
        <f>"295.1300"</f>
        <v>295.1300</v>
      </c>
      <c r="F27" s="2" t="s">
        <v>17</v>
      </c>
      <c r="G27" s="2" t="s">
        <v>98</v>
      </c>
      <c r="H27" s="3" t="s">
        <v>99</v>
      </c>
      <c r="I27" s="4" t="s">
        <v>14</v>
      </c>
    </row>
    <row r="28" spans="1:9" ht="45" x14ac:dyDescent="0.25">
      <c r="A28" s="9">
        <v>27</v>
      </c>
      <c r="B28" s="10" t="s">
        <v>107</v>
      </c>
      <c r="C28" s="2" t="s">
        <v>107</v>
      </c>
      <c r="D28" s="2" t="s">
        <v>108</v>
      </c>
      <c r="E28" s="2" t="str">
        <f>"99.0080"</f>
        <v>99.0080</v>
      </c>
      <c r="F28" s="2" t="s">
        <v>17</v>
      </c>
      <c r="G28" s="2" t="s">
        <v>39</v>
      </c>
      <c r="H28" s="3" t="s">
        <v>109</v>
      </c>
      <c r="I28" s="4" t="s">
        <v>14</v>
      </c>
    </row>
    <row r="29" spans="1:9" ht="60" x14ac:dyDescent="0.25">
      <c r="A29" s="9">
        <v>28</v>
      </c>
      <c r="B29" s="10" t="s">
        <v>110</v>
      </c>
      <c r="C29" s="2" t="s">
        <v>110</v>
      </c>
      <c r="D29" s="2" t="s">
        <v>111</v>
      </c>
      <c r="E29" s="2" t="str">
        <f>"1334.7440"</f>
        <v>1334.7440</v>
      </c>
      <c r="F29" s="2" t="s">
        <v>17</v>
      </c>
      <c r="G29" s="2" t="s">
        <v>112</v>
      </c>
      <c r="H29" s="3" t="s">
        <v>109</v>
      </c>
      <c r="I29" s="4" t="s">
        <v>14</v>
      </c>
    </row>
    <row r="30" spans="1:9" x14ac:dyDescent="0.25">
      <c r="A30" s="9">
        <v>29</v>
      </c>
      <c r="B30" s="10" t="s">
        <v>113</v>
      </c>
      <c r="C30" s="2" t="s">
        <v>113</v>
      </c>
      <c r="D30" s="2" t="s">
        <v>114</v>
      </c>
      <c r="E30" s="2" t="str">
        <f>"519.1135"</f>
        <v>519.1135</v>
      </c>
      <c r="F30" s="2" t="s">
        <v>17</v>
      </c>
      <c r="G30" s="2" t="s">
        <v>115</v>
      </c>
      <c r="H30" s="3" t="s">
        <v>109</v>
      </c>
      <c r="I30" s="4" t="s">
        <v>14</v>
      </c>
    </row>
    <row r="31" spans="1:9" ht="60" x14ac:dyDescent="0.25">
      <c r="A31" s="9">
        <v>30</v>
      </c>
      <c r="B31" s="10" t="s">
        <v>116</v>
      </c>
      <c r="C31" s="2" t="s">
        <v>116</v>
      </c>
      <c r="D31" s="2" t="s">
        <v>111</v>
      </c>
      <c r="E31" s="2" t="str">
        <f>"915.6135"</f>
        <v>915.6135</v>
      </c>
      <c r="F31" s="2" t="s">
        <v>17</v>
      </c>
      <c r="G31" s="2" t="s">
        <v>112</v>
      </c>
      <c r="H31" s="3" t="s">
        <v>109</v>
      </c>
      <c r="I31" s="4" t="s">
        <v>14</v>
      </c>
    </row>
    <row r="32" spans="1:9" ht="30" x14ac:dyDescent="0.25">
      <c r="A32" s="9">
        <v>31</v>
      </c>
      <c r="B32" s="10" t="s">
        <v>117</v>
      </c>
      <c r="C32" s="2" t="s">
        <v>118</v>
      </c>
      <c r="D32" s="2" t="s">
        <v>119</v>
      </c>
      <c r="E32" s="2" t="str">
        <f>"150.0926"</f>
        <v>150.0926</v>
      </c>
      <c r="F32" s="2" t="s">
        <v>120</v>
      </c>
      <c r="G32" s="2" t="s">
        <v>121</v>
      </c>
      <c r="H32" s="3" t="s">
        <v>109</v>
      </c>
      <c r="I32" s="4" t="s">
        <v>14</v>
      </c>
    </row>
    <row r="33" spans="1:9" ht="210" x14ac:dyDescent="0.25">
      <c r="A33" s="9">
        <v>32</v>
      </c>
      <c r="B33" s="10" t="s">
        <v>122</v>
      </c>
      <c r="C33" s="2" t="s">
        <v>122</v>
      </c>
      <c r="D33" s="2" t="s">
        <v>123</v>
      </c>
      <c r="E33" s="2" t="str">
        <f>"26.0330"</f>
        <v>26.0330</v>
      </c>
      <c r="F33" s="2" t="s">
        <v>17</v>
      </c>
      <c r="G33" s="2" t="s">
        <v>124</v>
      </c>
      <c r="H33" s="3" t="s">
        <v>109</v>
      </c>
      <c r="I33" s="4" t="s">
        <v>14</v>
      </c>
    </row>
    <row r="34" spans="1:9" ht="30" x14ac:dyDescent="0.25">
      <c r="A34" s="9">
        <v>33</v>
      </c>
      <c r="B34" s="10" t="s">
        <v>125</v>
      </c>
      <c r="C34" s="2" t="s">
        <v>125</v>
      </c>
      <c r="D34" s="2" t="s">
        <v>97</v>
      </c>
      <c r="E34" s="2" t="str">
        <f>"424.0041"</f>
        <v>424.0041</v>
      </c>
      <c r="F34" s="2" t="s">
        <v>17</v>
      </c>
      <c r="G34" s="2" t="s">
        <v>126</v>
      </c>
      <c r="H34" s="3" t="s">
        <v>109</v>
      </c>
      <c r="I34" s="4" t="s">
        <v>14</v>
      </c>
    </row>
    <row r="35" spans="1:9" ht="60" x14ac:dyDescent="0.25">
      <c r="A35" s="9">
        <v>34</v>
      </c>
      <c r="B35" s="10" t="s">
        <v>127</v>
      </c>
      <c r="C35" s="2" t="s">
        <v>127</v>
      </c>
      <c r="D35" s="2" t="s">
        <v>111</v>
      </c>
      <c r="E35" s="2" t="str">
        <f>"449.4585"</f>
        <v>449.4585</v>
      </c>
      <c r="F35" s="2" t="s">
        <v>17</v>
      </c>
      <c r="G35" s="2" t="s">
        <v>112</v>
      </c>
      <c r="H35" s="3" t="s">
        <v>109</v>
      </c>
      <c r="I35" s="4" t="s">
        <v>14</v>
      </c>
    </row>
    <row r="36" spans="1:9" ht="60" x14ac:dyDescent="0.25">
      <c r="A36" s="9">
        <v>35</v>
      </c>
      <c r="B36" s="10" t="s">
        <v>128</v>
      </c>
      <c r="C36" s="2" t="s">
        <v>129</v>
      </c>
      <c r="D36" s="2" t="s">
        <v>130</v>
      </c>
      <c r="E36" s="2" t="str">
        <f>"9.2502"</f>
        <v>9.2502</v>
      </c>
      <c r="F36" s="2" t="s">
        <v>64</v>
      </c>
      <c r="G36" s="2" t="s">
        <v>131</v>
      </c>
      <c r="H36" s="3" t="s">
        <v>109</v>
      </c>
      <c r="I36" s="4" t="s">
        <v>14</v>
      </c>
    </row>
    <row r="37" spans="1:9" ht="60" x14ac:dyDescent="0.25">
      <c r="A37" s="9">
        <v>36</v>
      </c>
      <c r="B37" s="10" t="s">
        <v>132</v>
      </c>
      <c r="C37" s="2" t="s">
        <v>132</v>
      </c>
      <c r="D37" s="2" t="s">
        <v>111</v>
      </c>
      <c r="E37" s="2" t="str">
        <f>"317.9964"</f>
        <v>317.9964</v>
      </c>
      <c r="F37" s="2" t="s">
        <v>17</v>
      </c>
      <c r="G37" s="2" t="s">
        <v>112</v>
      </c>
      <c r="H37" s="3" t="s">
        <v>109</v>
      </c>
      <c r="I37" s="4" t="s">
        <v>14</v>
      </c>
    </row>
    <row r="38" spans="1:9" ht="30" x14ac:dyDescent="0.25">
      <c r="A38" s="9">
        <v>37</v>
      </c>
      <c r="B38" s="10" t="s">
        <v>133</v>
      </c>
      <c r="C38" s="2" t="s">
        <v>134</v>
      </c>
      <c r="D38" s="2" t="s">
        <v>135</v>
      </c>
      <c r="E38" s="2" t="str">
        <f>"48.0012"</f>
        <v>48.0012</v>
      </c>
      <c r="F38" s="2" t="s">
        <v>22</v>
      </c>
      <c r="G38" s="2" t="s">
        <v>136</v>
      </c>
      <c r="H38" s="3" t="s">
        <v>109</v>
      </c>
      <c r="I38" s="4" t="s">
        <v>14</v>
      </c>
    </row>
    <row r="39" spans="1:9" ht="75" x14ac:dyDescent="0.25">
      <c r="A39" s="9">
        <v>38</v>
      </c>
      <c r="B39" s="10" t="s">
        <v>137</v>
      </c>
      <c r="C39" s="2" t="s">
        <v>137</v>
      </c>
      <c r="D39" s="2" t="s">
        <v>138</v>
      </c>
      <c r="E39" s="2" t="str">
        <f>"47.4584"</f>
        <v>47.4584</v>
      </c>
      <c r="F39" s="2" t="s">
        <v>17</v>
      </c>
      <c r="G39" s="2" t="s">
        <v>139</v>
      </c>
      <c r="H39" s="3" t="s">
        <v>109</v>
      </c>
      <c r="I39" s="4" t="s">
        <v>14</v>
      </c>
    </row>
    <row r="40" spans="1:9" ht="30" x14ac:dyDescent="0.25">
      <c r="A40" s="9">
        <v>39</v>
      </c>
      <c r="B40" s="10" t="s">
        <v>140</v>
      </c>
      <c r="C40" s="2" t="s">
        <v>140</v>
      </c>
      <c r="D40" s="2" t="s">
        <v>141</v>
      </c>
      <c r="E40" s="2" t="str">
        <f>"3785.4833"</f>
        <v>3785.4833</v>
      </c>
      <c r="F40" s="2" t="s">
        <v>17</v>
      </c>
      <c r="G40" s="2" t="s">
        <v>142</v>
      </c>
      <c r="H40" s="3" t="s">
        <v>143</v>
      </c>
      <c r="I40" s="4" t="s">
        <v>14</v>
      </c>
    </row>
    <row r="41" spans="1:9" ht="29.25" customHeight="1" x14ac:dyDescent="0.25">
      <c r="A41" s="9">
        <v>40</v>
      </c>
      <c r="B41" s="10" t="s">
        <v>144</v>
      </c>
      <c r="C41" s="2" t="s">
        <v>144</v>
      </c>
      <c r="D41" s="2" t="s">
        <v>145</v>
      </c>
      <c r="E41" s="2" t="str">
        <f>"177.9971"</f>
        <v>177.9971</v>
      </c>
      <c r="F41" s="2" t="s">
        <v>43</v>
      </c>
      <c r="G41" s="2" t="s">
        <v>39</v>
      </c>
      <c r="H41" s="3" t="s">
        <v>146</v>
      </c>
      <c r="I41" s="4" t="s">
        <v>14</v>
      </c>
    </row>
    <row r="42" spans="1:9" ht="30" x14ac:dyDescent="0.25">
      <c r="A42" s="9">
        <v>41</v>
      </c>
      <c r="B42" s="10" t="s">
        <v>147</v>
      </c>
      <c r="C42" s="2" t="s">
        <v>147</v>
      </c>
      <c r="D42" s="2" t="s">
        <v>148</v>
      </c>
      <c r="E42" s="2" t="str">
        <f>"4316.6120"</f>
        <v>4316.6120</v>
      </c>
      <c r="F42" s="2" t="s">
        <v>17</v>
      </c>
      <c r="G42" s="2" t="s">
        <v>149</v>
      </c>
      <c r="H42" s="3" t="s">
        <v>150</v>
      </c>
      <c r="I42" s="4" t="s">
        <v>14</v>
      </c>
    </row>
    <row r="43" spans="1:9" ht="60" x14ac:dyDescent="0.25">
      <c r="A43" s="9">
        <v>42</v>
      </c>
      <c r="B43" s="10" t="s">
        <v>151</v>
      </c>
      <c r="C43" s="2" t="s">
        <v>151</v>
      </c>
      <c r="D43" s="2" t="s">
        <v>152</v>
      </c>
      <c r="E43" s="2" t="str">
        <f>"7702.7426"</f>
        <v>7702.7426</v>
      </c>
      <c r="F43" s="2" t="s">
        <v>17</v>
      </c>
      <c r="G43" s="2" t="s">
        <v>153</v>
      </c>
      <c r="H43" s="3" t="s">
        <v>154</v>
      </c>
      <c r="I43" s="4" t="s">
        <v>14</v>
      </c>
    </row>
    <row r="44" spans="1:9" ht="30" x14ac:dyDescent="0.25">
      <c r="A44" s="9">
        <v>43</v>
      </c>
      <c r="B44" s="10" t="s">
        <v>155</v>
      </c>
      <c r="C44" s="2" t="s">
        <v>155</v>
      </c>
      <c r="D44" s="2" t="s">
        <v>156</v>
      </c>
      <c r="E44" s="2" t="str">
        <f>"76.1542"</f>
        <v>76.1542</v>
      </c>
      <c r="F44" s="2" t="s">
        <v>43</v>
      </c>
      <c r="G44" s="2" t="s">
        <v>39</v>
      </c>
      <c r="H44" s="3" t="s">
        <v>157</v>
      </c>
      <c r="I44" s="4" t="s">
        <v>14</v>
      </c>
    </row>
    <row r="45" spans="1:9" ht="30" x14ac:dyDescent="0.25">
      <c r="A45" s="9">
        <v>44</v>
      </c>
      <c r="B45" s="10" t="s">
        <v>158</v>
      </c>
      <c r="C45" s="2" t="s">
        <v>158</v>
      </c>
      <c r="D45" s="2" t="s">
        <v>159</v>
      </c>
      <c r="E45" s="2" t="str">
        <f>"10.7948"</f>
        <v>10.7948</v>
      </c>
      <c r="F45" s="2" t="s">
        <v>17</v>
      </c>
      <c r="G45" s="2" t="s">
        <v>39</v>
      </c>
      <c r="H45" s="3" t="s">
        <v>157</v>
      </c>
      <c r="I45" s="4" t="s">
        <v>14</v>
      </c>
    </row>
    <row r="46" spans="1:9" ht="30" x14ac:dyDescent="0.25">
      <c r="A46" s="9">
        <v>45</v>
      </c>
      <c r="B46" s="10" t="s">
        <v>160</v>
      </c>
      <c r="C46" s="2" t="s">
        <v>161</v>
      </c>
      <c r="D46" s="2" t="s">
        <v>162</v>
      </c>
      <c r="E46" s="2" t="str">
        <f>"40.4228"</f>
        <v>40.4228</v>
      </c>
      <c r="F46" s="2" t="s">
        <v>86</v>
      </c>
      <c r="G46" s="2" t="s">
        <v>39</v>
      </c>
      <c r="H46" s="3" t="s">
        <v>157</v>
      </c>
      <c r="I46" s="4" t="s">
        <v>14</v>
      </c>
    </row>
    <row r="47" spans="1:9" ht="30" x14ac:dyDescent="0.25">
      <c r="A47" s="9">
        <v>46</v>
      </c>
      <c r="B47" s="10" t="s">
        <v>163</v>
      </c>
      <c r="C47" s="2" t="s">
        <v>163</v>
      </c>
      <c r="D47" s="2" t="s">
        <v>164</v>
      </c>
      <c r="E47" s="2" t="str">
        <f>"10.7904"</f>
        <v>10.7904</v>
      </c>
      <c r="F47" s="2" t="s">
        <v>86</v>
      </c>
      <c r="G47" s="2" t="s">
        <v>39</v>
      </c>
      <c r="H47" s="3" t="s">
        <v>157</v>
      </c>
      <c r="I47" s="4" t="s">
        <v>14</v>
      </c>
    </row>
    <row r="48" spans="1:9" ht="30" x14ac:dyDescent="0.25">
      <c r="A48" s="9">
        <v>47</v>
      </c>
      <c r="B48" s="10" t="s">
        <v>165</v>
      </c>
      <c r="C48" s="2" t="s">
        <v>166</v>
      </c>
      <c r="D48" s="2" t="s">
        <v>167</v>
      </c>
      <c r="E48" s="2" t="str">
        <f>"1.5178"</f>
        <v>1.5178</v>
      </c>
      <c r="F48" s="2" t="s">
        <v>43</v>
      </c>
      <c r="G48" s="2" t="s">
        <v>39</v>
      </c>
      <c r="H48" s="3" t="s">
        <v>157</v>
      </c>
      <c r="I48" s="4" t="s">
        <v>14</v>
      </c>
    </row>
    <row r="49" spans="1:9" x14ac:dyDescent="0.25">
      <c r="A49" s="9">
        <v>48</v>
      </c>
      <c r="B49" s="10" t="s">
        <v>168</v>
      </c>
      <c r="C49" s="2" t="s">
        <v>168</v>
      </c>
      <c r="D49" s="2" t="s">
        <v>169</v>
      </c>
      <c r="E49" s="2" t="str">
        <f>"47.8601"</f>
        <v>47.8601</v>
      </c>
      <c r="F49" s="2" t="s">
        <v>17</v>
      </c>
      <c r="G49" s="2" t="s">
        <v>170</v>
      </c>
      <c r="H49" s="3" t="s">
        <v>157</v>
      </c>
      <c r="I49" s="4" t="s">
        <v>14</v>
      </c>
    </row>
    <row r="50" spans="1:9" x14ac:dyDescent="0.25">
      <c r="A50" s="9">
        <v>49</v>
      </c>
      <c r="B50" s="10" t="s">
        <v>171</v>
      </c>
      <c r="C50" s="2" t="s">
        <v>171</v>
      </c>
      <c r="D50" s="2" t="s">
        <v>114</v>
      </c>
      <c r="E50" s="2" t="str">
        <f>"8.8590"</f>
        <v>8.8590</v>
      </c>
      <c r="F50" s="2" t="s">
        <v>17</v>
      </c>
      <c r="G50" s="2" t="s">
        <v>172</v>
      </c>
      <c r="H50" s="3" t="s">
        <v>157</v>
      </c>
      <c r="I50" s="4" t="s">
        <v>14</v>
      </c>
    </row>
    <row r="51" spans="1:9" x14ac:dyDescent="0.25">
      <c r="A51" s="9">
        <v>50</v>
      </c>
      <c r="B51" s="10" t="s">
        <v>173</v>
      </c>
      <c r="C51" s="2" t="s">
        <v>173</v>
      </c>
      <c r="D51" s="2" t="s">
        <v>174</v>
      </c>
      <c r="E51" s="2" t="str">
        <f>"100.0280"</f>
        <v>100.0280</v>
      </c>
      <c r="F51" s="2" t="s">
        <v>17</v>
      </c>
      <c r="G51" s="2" t="s">
        <v>39</v>
      </c>
      <c r="H51" s="3" t="s">
        <v>157</v>
      </c>
      <c r="I51" s="4" t="s">
        <v>14</v>
      </c>
    </row>
    <row r="52" spans="1:9" ht="30" x14ac:dyDescent="0.25">
      <c r="A52" s="9">
        <v>51</v>
      </c>
      <c r="B52" s="10" t="s">
        <v>175</v>
      </c>
      <c r="C52" s="2" t="s">
        <v>176</v>
      </c>
      <c r="D52" s="2" t="s">
        <v>177</v>
      </c>
      <c r="E52" s="2" t="str">
        <f>"80.0218"</f>
        <v>80.0218</v>
      </c>
      <c r="F52" s="2" t="s">
        <v>22</v>
      </c>
      <c r="G52" s="2" t="s">
        <v>178</v>
      </c>
      <c r="H52" s="3" t="s">
        <v>157</v>
      </c>
      <c r="I52" s="4" t="s">
        <v>14</v>
      </c>
    </row>
    <row r="53" spans="1:9" ht="45" x14ac:dyDescent="0.25">
      <c r="A53" s="9">
        <v>52</v>
      </c>
      <c r="B53" s="10" t="s">
        <v>179</v>
      </c>
      <c r="C53" s="2" t="s">
        <v>180</v>
      </c>
      <c r="D53" s="2" t="s">
        <v>181</v>
      </c>
      <c r="E53" s="2" t="str">
        <f>"47.0901"</f>
        <v>47.0901</v>
      </c>
      <c r="F53" s="2" t="s">
        <v>22</v>
      </c>
      <c r="G53" s="2" t="s">
        <v>182</v>
      </c>
      <c r="H53" s="3" t="s">
        <v>157</v>
      </c>
      <c r="I53" s="4" t="s">
        <v>14</v>
      </c>
    </row>
    <row r="54" spans="1:9" x14ac:dyDescent="0.25">
      <c r="A54" s="9">
        <v>53</v>
      </c>
      <c r="B54" s="10" t="s">
        <v>183</v>
      </c>
      <c r="C54" s="2" t="s">
        <v>184</v>
      </c>
      <c r="D54" s="2" t="s">
        <v>185</v>
      </c>
      <c r="E54" s="2" t="str">
        <f>"12.0002"</f>
        <v>12.0002</v>
      </c>
      <c r="F54" s="2" t="s">
        <v>22</v>
      </c>
      <c r="G54" s="2" t="s">
        <v>186</v>
      </c>
      <c r="H54" s="3" t="s">
        <v>157</v>
      </c>
      <c r="I54" s="4" t="s">
        <v>14</v>
      </c>
    </row>
    <row r="55" spans="1:9" ht="30" x14ac:dyDescent="0.25">
      <c r="A55" s="9">
        <v>54</v>
      </c>
      <c r="B55" s="10" t="s">
        <v>187</v>
      </c>
      <c r="C55" s="2" t="s">
        <v>188</v>
      </c>
      <c r="D55" s="2" t="s">
        <v>189</v>
      </c>
      <c r="E55" s="2" t="str">
        <f>"50.9358"</f>
        <v>50.9358</v>
      </c>
      <c r="F55" s="2" t="s">
        <v>22</v>
      </c>
      <c r="G55" s="2" t="s">
        <v>190</v>
      </c>
      <c r="H55" s="3" t="s">
        <v>157</v>
      </c>
      <c r="I55" s="4" t="s">
        <v>14</v>
      </c>
    </row>
    <row r="56" spans="1:9" ht="60" x14ac:dyDescent="0.25">
      <c r="A56" s="9">
        <v>55</v>
      </c>
      <c r="B56" s="10" t="s">
        <v>191</v>
      </c>
      <c r="C56" s="2" t="s">
        <v>192</v>
      </c>
      <c r="D56" s="2" t="s">
        <v>193</v>
      </c>
      <c r="E56" s="2" t="str">
        <f>"13.5469"</f>
        <v>13.5469</v>
      </c>
      <c r="F56" s="2" t="s">
        <v>43</v>
      </c>
      <c r="G56" s="2" t="s">
        <v>115</v>
      </c>
      <c r="H56" s="3" t="s">
        <v>157</v>
      </c>
      <c r="I56" s="4" t="s">
        <v>14</v>
      </c>
    </row>
    <row r="57" spans="1:9" ht="45" x14ac:dyDescent="0.25">
      <c r="A57" s="9">
        <v>56</v>
      </c>
      <c r="B57" s="10" t="s">
        <v>194</v>
      </c>
      <c r="C57" s="2" t="s">
        <v>195</v>
      </c>
      <c r="D57" s="2" t="s">
        <v>196</v>
      </c>
      <c r="E57" s="2" t="str">
        <f>"26.1326"</f>
        <v>26.1326</v>
      </c>
      <c r="F57" s="2" t="s">
        <v>43</v>
      </c>
      <c r="G57" s="2" t="s">
        <v>197</v>
      </c>
      <c r="H57" s="3" t="s">
        <v>157</v>
      </c>
      <c r="I57" s="4" t="s">
        <v>14</v>
      </c>
    </row>
    <row r="58" spans="1:9" ht="45" x14ac:dyDescent="0.25">
      <c r="A58" s="9">
        <v>57</v>
      </c>
      <c r="B58" s="10" t="s">
        <v>198</v>
      </c>
      <c r="C58" s="2" t="s">
        <v>199</v>
      </c>
      <c r="D58" s="2" t="s">
        <v>200</v>
      </c>
      <c r="E58" s="2" t="str">
        <f>"13.4875"</f>
        <v>13.4875</v>
      </c>
      <c r="F58" s="2" t="s">
        <v>22</v>
      </c>
      <c r="G58" s="2" t="s">
        <v>201</v>
      </c>
      <c r="H58" s="3" t="s">
        <v>157</v>
      </c>
      <c r="I58" s="4" t="s">
        <v>14</v>
      </c>
    </row>
    <row r="59" spans="1:9" x14ac:dyDescent="0.25">
      <c r="A59" s="9">
        <v>58</v>
      </c>
      <c r="B59" s="10" t="s">
        <v>202</v>
      </c>
      <c r="C59" s="2" t="s">
        <v>203</v>
      </c>
      <c r="D59" s="2" t="s">
        <v>204</v>
      </c>
      <c r="E59" s="2" t="str">
        <f>"369.8160"</f>
        <v>369.8160</v>
      </c>
      <c r="F59" s="2" t="s">
        <v>17</v>
      </c>
      <c r="G59" s="2" t="s">
        <v>39</v>
      </c>
      <c r="H59" s="3" t="s">
        <v>157</v>
      </c>
      <c r="I59" s="4" t="s">
        <v>14</v>
      </c>
    </row>
    <row r="60" spans="1:9" ht="30" x14ac:dyDescent="0.25">
      <c r="A60" s="9">
        <v>59</v>
      </c>
      <c r="B60" s="10" t="s">
        <v>205</v>
      </c>
      <c r="C60" s="2" t="s">
        <v>205</v>
      </c>
      <c r="D60" s="2" t="s">
        <v>206</v>
      </c>
      <c r="E60" s="2" t="str">
        <f>"551.1675"</f>
        <v>551.1675</v>
      </c>
      <c r="F60" s="2" t="s">
        <v>17</v>
      </c>
      <c r="G60" s="2" t="s">
        <v>207</v>
      </c>
      <c r="H60" s="3" t="s">
        <v>208</v>
      </c>
      <c r="I60" s="4" t="s">
        <v>14</v>
      </c>
    </row>
    <row r="61" spans="1:9" ht="45" x14ac:dyDescent="0.25">
      <c r="A61" s="9">
        <v>60</v>
      </c>
      <c r="B61" s="10" t="s">
        <v>209</v>
      </c>
      <c r="C61" s="2" t="s">
        <v>210</v>
      </c>
      <c r="D61" s="2" t="s">
        <v>211</v>
      </c>
      <c r="E61" s="2" t="str">
        <f>"43.5519"</f>
        <v>43.5519</v>
      </c>
      <c r="F61" s="2" t="s">
        <v>17</v>
      </c>
      <c r="G61" s="2" t="s">
        <v>39</v>
      </c>
      <c r="H61" s="3" t="s">
        <v>208</v>
      </c>
      <c r="I61" s="4" t="s">
        <v>14</v>
      </c>
    </row>
    <row r="62" spans="1:9" ht="30" x14ac:dyDescent="0.25">
      <c r="A62" s="9">
        <v>61</v>
      </c>
      <c r="B62" s="10" t="s">
        <v>212</v>
      </c>
      <c r="C62" s="2" t="s">
        <v>212</v>
      </c>
      <c r="D62" s="2" t="s">
        <v>213</v>
      </c>
      <c r="E62" s="2" t="str">
        <f>"51.8286"</f>
        <v>51.8286</v>
      </c>
      <c r="F62" s="2" t="s">
        <v>17</v>
      </c>
      <c r="G62" s="2" t="s">
        <v>214</v>
      </c>
      <c r="H62" s="3" t="s">
        <v>208</v>
      </c>
      <c r="I62" s="4" t="s">
        <v>14</v>
      </c>
    </row>
    <row r="63" spans="1:9" ht="30" x14ac:dyDescent="0.25">
      <c r="A63" s="9">
        <v>62</v>
      </c>
      <c r="B63" s="10" t="s">
        <v>215</v>
      </c>
      <c r="C63" s="2" t="s">
        <v>215</v>
      </c>
      <c r="D63" s="2" t="s">
        <v>216</v>
      </c>
      <c r="E63" s="2" t="str">
        <f>"19.7205"</f>
        <v>19.7205</v>
      </c>
      <c r="F63" s="2" t="s">
        <v>86</v>
      </c>
      <c r="G63" s="2" t="s">
        <v>39</v>
      </c>
      <c r="H63" s="3" t="s">
        <v>208</v>
      </c>
      <c r="I63" s="4" t="s">
        <v>14</v>
      </c>
    </row>
    <row r="64" spans="1:9" ht="30" x14ac:dyDescent="0.25">
      <c r="A64" s="9">
        <v>63</v>
      </c>
      <c r="B64" s="10" t="s">
        <v>217</v>
      </c>
      <c r="C64" s="2" t="s">
        <v>218</v>
      </c>
      <c r="D64" s="2" t="s">
        <v>219</v>
      </c>
      <c r="E64" s="2" t="str">
        <f>"1.6112"</f>
        <v>1.6112</v>
      </c>
      <c r="F64" s="2" t="s">
        <v>11</v>
      </c>
      <c r="G64" s="2" t="s">
        <v>12</v>
      </c>
      <c r="H64" s="3" t="s">
        <v>208</v>
      </c>
      <c r="I64" s="4" t="s">
        <v>14</v>
      </c>
    </row>
    <row r="65" spans="1:9" ht="30" x14ac:dyDescent="0.25">
      <c r="A65" s="9">
        <v>64</v>
      </c>
      <c r="B65" s="10" t="s">
        <v>220</v>
      </c>
      <c r="C65" s="2" t="s">
        <v>221</v>
      </c>
      <c r="D65" s="2" t="s">
        <v>216</v>
      </c>
      <c r="E65" s="2" t="str">
        <f>"59.8130"</f>
        <v>59.8130</v>
      </c>
      <c r="F65" s="2" t="s">
        <v>86</v>
      </c>
      <c r="G65" s="2" t="s">
        <v>39</v>
      </c>
      <c r="H65" s="3" t="s">
        <v>208</v>
      </c>
      <c r="I65" s="4" t="s">
        <v>14</v>
      </c>
    </row>
    <row r="66" spans="1:9" ht="30" x14ac:dyDescent="0.25">
      <c r="A66" s="9">
        <v>65</v>
      </c>
      <c r="B66" s="10" t="s">
        <v>222</v>
      </c>
      <c r="C66" s="2" t="s">
        <v>222</v>
      </c>
      <c r="D66" s="2" t="s">
        <v>223</v>
      </c>
      <c r="E66" s="2" t="str">
        <f>"1701.3011"</f>
        <v>1701.3011</v>
      </c>
      <c r="F66" s="2" t="s">
        <v>17</v>
      </c>
      <c r="G66" s="2" t="s">
        <v>224</v>
      </c>
      <c r="H66" s="3" t="s">
        <v>225</v>
      </c>
      <c r="I66" s="4" t="s">
        <v>226</v>
      </c>
    </row>
    <row r="67" spans="1:9" ht="30" x14ac:dyDescent="0.25">
      <c r="A67" s="9">
        <v>66</v>
      </c>
      <c r="B67" s="10" t="s">
        <v>227</v>
      </c>
      <c r="C67" s="2" t="s">
        <v>227</v>
      </c>
      <c r="D67" s="2" t="s">
        <v>228</v>
      </c>
      <c r="E67" s="2" t="str">
        <f>"147.8733"</f>
        <v>147.8733</v>
      </c>
      <c r="F67" s="2" t="s">
        <v>17</v>
      </c>
      <c r="G67" s="2" t="s">
        <v>214</v>
      </c>
      <c r="H67" s="3" t="s">
        <v>229</v>
      </c>
      <c r="I67" s="9" t="s">
        <v>226</v>
      </c>
    </row>
    <row r="68" spans="1:9" ht="30" x14ac:dyDescent="0.25">
      <c r="A68" s="9">
        <v>67</v>
      </c>
      <c r="B68" s="10" t="s">
        <v>230</v>
      </c>
      <c r="C68" s="2" t="s">
        <v>231</v>
      </c>
      <c r="D68" s="2" t="s">
        <v>232</v>
      </c>
      <c r="E68" s="2" t="str">
        <f>"53.0679"</f>
        <v>53.0679</v>
      </c>
      <c r="F68" s="2" t="s">
        <v>17</v>
      </c>
      <c r="G68" s="2" t="s">
        <v>233</v>
      </c>
      <c r="H68" s="3" t="s">
        <v>229</v>
      </c>
      <c r="I68" s="9" t="s">
        <v>226</v>
      </c>
    </row>
    <row r="69" spans="1:9" ht="30" x14ac:dyDescent="0.25">
      <c r="A69" s="9">
        <v>68</v>
      </c>
      <c r="B69" s="10" t="s">
        <v>234</v>
      </c>
      <c r="C69" s="2" t="s">
        <v>235</v>
      </c>
      <c r="D69" s="2" t="s">
        <v>232</v>
      </c>
      <c r="E69" s="2" t="str">
        <f>"61.3501"</f>
        <v>61.3501</v>
      </c>
      <c r="F69" s="2" t="s">
        <v>17</v>
      </c>
      <c r="G69" s="2" t="s">
        <v>233</v>
      </c>
      <c r="H69" s="3" t="s">
        <v>229</v>
      </c>
      <c r="I69" s="9" t="s">
        <v>226</v>
      </c>
    </row>
    <row r="70" spans="1:9" ht="30" x14ac:dyDescent="0.25">
      <c r="A70" s="9">
        <v>69</v>
      </c>
      <c r="B70" s="10" t="s">
        <v>236</v>
      </c>
      <c r="C70" s="2" t="s">
        <v>236</v>
      </c>
      <c r="D70" s="2" t="s">
        <v>237</v>
      </c>
      <c r="E70" s="2" t="str">
        <f>"574.0017"</f>
        <v>574.0017</v>
      </c>
      <c r="F70" s="2" t="s">
        <v>64</v>
      </c>
      <c r="G70" s="2" t="s">
        <v>238</v>
      </c>
      <c r="H70" s="3" t="s">
        <v>229</v>
      </c>
      <c r="I70" s="9" t="s">
        <v>226</v>
      </c>
    </row>
    <row r="71" spans="1:9" ht="30" x14ac:dyDescent="0.25">
      <c r="A71" s="9">
        <v>70</v>
      </c>
      <c r="B71" s="10" t="s">
        <v>239</v>
      </c>
      <c r="C71" s="2" t="s">
        <v>240</v>
      </c>
      <c r="D71" s="2" t="s">
        <v>241</v>
      </c>
      <c r="E71" s="2" t="str">
        <f>"1504.0364"</f>
        <v>1504.0364</v>
      </c>
      <c r="F71" s="2" t="s">
        <v>43</v>
      </c>
      <c r="G71" s="2" t="s">
        <v>53</v>
      </c>
      <c r="H71" s="3" t="s">
        <v>242</v>
      </c>
      <c r="I71" s="9" t="s">
        <v>226</v>
      </c>
    </row>
    <row r="72" spans="1:9" ht="150" x14ac:dyDescent="0.25">
      <c r="A72" s="9">
        <v>71</v>
      </c>
      <c r="B72" s="10" t="s">
        <v>243</v>
      </c>
      <c r="C72" s="2" t="s">
        <v>243</v>
      </c>
      <c r="D72" s="2" t="s">
        <v>123</v>
      </c>
      <c r="E72" s="2" t="str">
        <f>"1416.5209"</f>
        <v>1416.5209</v>
      </c>
      <c r="F72" s="2" t="s">
        <v>17</v>
      </c>
      <c r="G72" s="2" t="s">
        <v>244</v>
      </c>
      <c r="H72" s="3" t="s">
        <v>245</v>
      </c>
      <c r="I72" s="9" t="s">
        <v>226</v>
      </c>
    </row>
    <row r="73" spans="1:9" ht="30" x14ac:dyDescent="0.25">
      <c r="A73" s="9">
        <v>72</v>
      </c>
      <c r="B73" s="10" t="s">
        <v>246</v>
      </c>
      <c r="C73" s="2" t="s">
        <v>247</v>
      </c>
      <c r="D73" s="2" t="s">
        <v>248</v>
      </c>
      <c r="E73" s="2" t="str">
        <f>"96.9811"</f>
        <v>96.9811</v>
      </c>
      <c r="F73" s="2" t="s">
        <v>43</v>
      </c>
      <c r="G73" s="2" t="s">
        <v>12</v>
      </c>
      <c r="H73" s="3" t="s">
        <v>249</v>
      </c>
      <c r="I73" s="4" t="s">
        <v>250</v>
      </c>
    </row>
    <row r="74" spans="1:9" ht="45" x14ac:dyDescent="0.25">
      <c r="A74" s="9">
        <v>73</v>
      </c>
      <c r="B74" s="10" t="s">
        <v>251</v>
      </c>
      <c r="C74" s="2" t="s">
        <v>252</v>
      </c>
      <c r="D74" s="2" t="s">
        <v>253</v>
      </c>
      <c r="E74" s="2" t="str">
        <f>"109.5028"</f>
        <v>109.5028</v>
      </c>
      <c r="F74" s="2" t="s">
        <v>43</v>
      </c>
      <c r="G74" s="2" t="s">
        <v>254</v>
      </c>
      <c r="H74" s="3" t="s">
        <v>255</v>
      </c>
      <c r="I74" s="4" t="s">
        <v>14</v>
      </c>
    </row>
    <row r="75" spans="1:9" ht="120" x14ac:dyDescent="0.25">
      <c r="A75" s="9">
        <v>74</v>
      </c>
      <c r="B75" s="10" t="s">
        <v>256</v>
      </c>
      <c r="C75" s="2" t="s">
        <v>256</v>
      </c>
      <c r="D75" s="2" t="s">
        <v>123</v>
      </c>
      <c r="E75" s="2" t="str">
        <f>"46.5410"</f>
        <v>46.5410</v>
      </c>
      <c r="F75" s="2" t="s">
        <v>17</v>
      </c>
      <c r="G75" s="2" t="s">
        <v>257</v>
      </c>
      <c r="H75" s="3" t="s">
        <v>255</v>
      </c>
      <c r="I75" s="4" t="s">
        <v>14</v>
      </c>
    </row>
    <row r="76" spans="1:9" ht="45" x14ac:dyDescent="0.25">
      <c r="A76" s="9">
        <v>75</v>
      </c>
      <c r="B76" s="10" t="s">
        <v>258</v>
      </c>
      <c r="C76" s="2" t="s">
        <v>259</v>
      </c>
      <c r="D76" s="2" t="s">
        <v>253</v>
      </c>
      <c r="E76" s="2" t="str">
        <f>"822.3850"</f>
        <v>822.3850</v>
      </c>
      <c r="F76" s="2" t="s">
        <v>43</v>
      </c>
      <c r="G76" s="2" t="s">
        <v>254</v>
      </c>
      <c r="H76" s="3" t="s">
        <v>255</v>
      </c>
      <c r="I76" s="4" t="s">
        <v>14</v>
      </c>
    </row>
    <row r="77" spans="1:9" ht="20.25" customHeight="1" x14ac:dyDescent="0.25">
      <c r="A77" s="9">
        <v>76</v>
      </c>
      <c r="B77" s="10" t="s">
        <v>260</v>
      </c>
      <c r="C77" s="2" t="s">
        <v>260</v>
      </c>
      <c r="D77" s="2" t="s">
        <v>261</v>
      </c>
      <c r="E77" s="2" t="str">
        <f>"199.2060"</f>
        <v>199.2060</v>
      </c>
      <c r="F77" s="2" t="s">
        <v>17</v>
      </c>
      <c r="G77" s="2" t="s">
        <v>53</v>
      </c>
      <c r="H77" s="3" t="s">
        <v>255</v>
      </c>
      <c r="I77" s="4" t="s">
        <v>14</v>
      </c>
    </row>
    <row r="78" spans="1:9" x14ac:dyDescent="0.25">
      <c r="A78" s="9">
        <v>77</v>
      </c>
      <c r="B78" s="10" t="s">
        <v>262</v>
      </c>
      <c r="C78" s="2" t="s">
        <v>263</v>
      </c>
      <c r="D78" s="2" t="s">
        <v>264</v>
      </c>
      <c r="E78" s="2" t="str">
        <f>"5.3522"</f>
        <v>5.3522</v>
      </c>
      <c r="F78" s="2" t="s">
        <v>64</v>
      </c>
      <c r="G78" s="2" t="s">
        <v>115</v>
      </c>
      <c r="H78" s="3" t="s">
        <v>255</v>
      </c>
      <c r="I78" s="4" t="s">
        <v>14</v>
      </c>
    </row>
    <row r="79" spans="1:9" ht="30" x14ac:dyDescent="0.25">
      <c r="A79" s="9">
        <v>78</v>
      </c>
      <c r="B79" s="10" t="s">
        <v>265</v>
      </c>
      <c r="C79" s="2" t="s">
        <v>266</v>
      </c>
      <c r="D79" s="2" t="s">
        <v>267</v>
      </c>
      <c r="E79" s="2" t="str">
        <f>"47.2008"</f>
        <v>47.2008</v>
      </c>
      <c r="F79" s="2" t="s">
        <v>43</v>
      </c>
      <c r="G79" s="2" t="s">
        <v>53</v>
      </c>
      <c r="H79" s="3" t="s">
        <v>255</v>
      </c>
      <c r="I79" s="4" t="s">
        <v>14</v>
      </c>
    </row>
    <row r="80" spans="1:9" ht="30" x14ac:dyDescent="0.25">
      <c r="A80" s="9">
        <v>79</v>
      </c>
      <c r="B80" s="10" t="s">
        <v>268</v>
      </c>
      <c r="C80" s="2" t="s">
        <v>269</v>
      </c>
      <c r="D80" s="2" t="s">
        <v>270</v>
      </c>
      <c r="E80" s="2" t="str">
        <f>"382.3443"</f>
        <v>382.3443</v>
      </c>
      <c r="F80" s="2" t="s">
        <v>17</v>
      </c>
      <c r="G80" s="2" t="s">
        <v>115</v>
      </c>
      <c r="H80" s="3" t="s">
        <v>255</v>
      </c>
      <c r="I80" s="4" t="s">
        <v>14</v>
      </c>
    </row>
    <row r="81" spans="1:9" ht="30" x14ac:dyDescent="0.25">
      <c r="A81" s="9">
        <v>80</v>
      </c>
      <c r="B81" s="10" t="s">
        <v>271</v>
      </c>
      <c r="C81" s="2" t="s">
        <v>272</v>
      </c>
      <c r="D81" s="2" t="s">
        <v>267</v>
      </c>
      <c r="E81" s="2" t="str">
        <f>"84.4327"</f>
        <v>84.4327</v>
      </c>
      <c r="F81" s="2" t="s">
        <v>22</v>
      </c>
      <c r="G81" s="2" t="s">
        <v>121</v>
      </c>
      <c r="H81" s="3" t="s">
        <v>255</v>
      </c>
      <c r="I81" s="4" t="s">
        <v>14</v>
      </c>
    </row>
    <row r="82" spans="1:9" ht="60" x14ac:dyDescent="0.25">
      <c r="A82" s="9">
        <v>81</v>
      </c>
      <c r="B82" s="10" t="s">
        <v>273</v>
      </c>
      <c r="C82" s="2" t="s">
        <v>273</v>
      </c>
      <c r="D82" s="2" t="s">
        <v>253</v>
      </c>
      <c r="E82" s="2" t="str">
        <f>"58.4650"</f>
        <v>58.4650</v>
      </c>
      <c r="F82" s="2" t="s">
        <v>17</v>
      </c>
      <c r="G82" s="2" t="s">
        <v>153</v>
      </c>
      <c r="H82" s="3" t="s">
        <v>255</v>
      </c>
      <c r="I82" s="4" t="s">
        <v>14</v>
      </c>
    </row>
    <row r="83" spans="1:9" ht="90" x14ac:dyDescent="0.25">
      <c r="A83" s="9">
        <v>82</v>
      </c>
      <c r="B83" s="10" t="s">
        <v>274</v>
      </c>
      <c r="C83" s="2" t="s">
        <v>274</v>
      </c>
      <c r="D83" s="2" t="s">
        <v>275</v>
      </c>
      <c r="E83" s="2" t="str">
        <f>"418.1961"</f>
        <v>418.1961</v>
      </c>
      <c r="F83" s="2" t="s">
        <v>17</v>
      </c>
      <c r="G83" s="2" t="s">
        <v>276</v>
      </c>
      <c r="H83" s="3" t="s">
        <v>255</v>
      </c>
      <c r="I83" s="4" t="s">
        <v>14</v>
      </c>
    </row>
    <row r="84" spans="1:9" ht="45" x14ac:dyDescent="0.25">
      <c r="A84" s="9">
        <v>83</v>
      </c>
      <c r="B84" s="10" t="s">
        <v>277</v>
      </c>
      <c r="C84" s="2" t="s">
        <v>277</v>
      </c>
      <c r="D84" s="2" t="s">
        <v>278</v>
      </c>
      <c r="E84" s="2" t="str">
        <f>"916.9223"</f>
        <v>916.9223</v>
      </c>
      <c r="F84" s="2" t="s">
        <v>17</v>
      </c>
      <c r="G84" s="2" t="s">
        <v>279</v>
      </c>
      <c r="H84" s="3" t="s">
        <v>255</v>
      </c>
      <c r="I84" s="4" t="s">
        <v>14</v>
      </c>
    </row>
    <row r="85" spans="1:9" ht="60" x14ac:dyDescent="0.25">
      <c r="A85" s="9">
        <v>84</v>
      </c>
      <c r="B85" s="10" t="s">
        <v>280</v>
      </c>
      <c r="C85" s="2" t="s">
        <v>280</v>
      </c>
      <c r="D85" s="2" t="s">
        <v>281</v>
      </c>
      <c r="E85" s="2" t="str">
        <f>"187.5597"</f>
        <v>187.5597</v>
      </c>
      <c r="F85" s="2" t="s">
        <v>17</v>
      </c>
      <c r="G85" s="2" t="s">
        <v>39</v>
      </c>
      <c r="H85" s="3" t="s">
        <v>282</v>
      </c>
      <c r="I85" s="4" t="s">
        <v>14</v>
      </c>
    </row>
    <row r="86" spans="1:9" x14ac:dyDescent="0.25">
      <c r="A86" s="9">
        <v>85</v>
      </c>
      <c r="B86" s="10" t="s">
        <v>283</v>
      </c>
      <c r="C86" s="2" t="s">
        <v>284</v>
      </c>
      <c r="D86" s="2" t="s">
        <v>85</v>
      </c>
      <c r="E86" s="2" t="str">
        <f>"289.2232"</f>
        <v>289.2232</v>
      </c>
      <c r="F86" s="2" t="s">
        <v>86</v>
      </c>
      <c r="G86" s="2" t="s">
        <v>39</v>
      </c>
      <c r="H86" s="3" t="s">
        <v>282</v>
      </c>
      <c r="I86" s="4" t="s">
        <v>14</v>
      </c>
    </row>
    <row r="87" spans="1:9" ht="30" x14ac:dyDescent="0.25">
      <c r="A87" s="9">
        <v>86</v>
      </c>
      <c r="B87" s="10" t="s">
        <v>285</v>
      </c>
      <c r="C87" s="2" t="s">
        <v>285</v>
      </c>
      <c r="D87" s="2" t="s">
        <v>286</v>
      </c>
      <c r="E87" s="2" t="str">
        <f>"11.8738"</f>
        <v>11.8738</v>
      </c>
      <c r="F87" s="2" t="s">
        <v>17</v>
      </c>
      <c r="G87" s="2" t="s">
        <v>287</v>
      </c>
      <c r="H87" s="3" t="s">
        <v>282</v>
      </c>
      <c r="I87" s="4" t="s">
        <v>14</v>
      </c>
    </row>
    <row r="88" spans="1:9" ht="30" x14ac:dyDescent="0.25">
      <c r="A88" s="9">
        <v>87</v>
      </c>
      <c r="B88" s="10" t="s">
        <v>288</v>
      </c>
      <c r="C88" s="2" t="s">
        <v>288</v>
      </c>
      <c r="D88" s="2" t="s">
        <v>289</v>
      </c>
      <c r="E88" s="2" t="str">
        <f>"40.8718"</f>
        <v>40.8718</v>
      </c>
      <c r="F88" s="2" t="s">
        <v>43</v>
      </c>
      <c r="G88" s="2" t="s">
        <v>39</v>
      </c>
      <c r="H88" s="3" t="s">
        <v>282</v>
      </c>
      <c r="I88" s="4" t="s">
        <v>14</v>
      </c>
    </row>
    <row r="89" spans="1:9" ht="45" x14ac:dyDescent="0.25">
      <c r="A89" s="9">
        <v>88</v>
      </c>
      <c r="B89" s="10" t="s">
        <v>290</v>
      </c>
      <c r="C89" s="2" t="s">
        <v>291</v>
      </c>
      <c r="D89" s="2" t="s">
        <v>292</v>
      </c>
      <c r="E89" s="2" t="str">
        <f>"99.0030"</f>
        <v>99.0030</v>
      </c>
      <c r="F89" s="2" t="s">
        <v>81</v>
      </c>
      <c r="G89" s="2" t="s">
        <v>293</v>
      </c>
      <c r="H89" s="3" t="s">
        <v>282</v>
      </c>
      <c r="I89" s="4" t="s">
        <v>14</v>
      </c>
    </row>
    <row r="90" spans="1:9" ht="45" x14ac:dyDescent="0.25">
      <c r="A90" s="9">
        <v>89</v>
      </c>
      <c r="B90" s="10" t="s">
        <v>294</v>
      </c>
      <c r="C90" s="2" t="s">
        <v>294</v>
      </c>
      <c r="D90" s="2" t="s">
        <v>97</v>
      </c>
      <c r="E90" s="2" t="str">
        <f>"37.0264"</f>
        <v>37.0264</v>
      </c>
      <c r="F90" s="2" t="s">
        <v>17</v>
      </c>
      <c r="G90" s="2" t="s">
        <v>295</v>
      </c>
      <c r="H90" s="3" t="s">
        <v>282</v>
      </c>
      <c r="I90" s="4" t="s">
        <v>14</v>
      </c>
    </row>
    <row r="91" spans="1:9" x14ac:dyDescent="0.25">
      <c r="A91" s="9">
        <v>90</v>
      </c>
      <c r="B91" s="10" t="s">
        <v>296</v>
      </c>
      <c r="C91" s="2" t="s">
        <v>297</v>
      </c>
      <c r="D91" s="2" t="s">
        <v>298</v>
      </c>
      <c r="E91" s="2" t="str">
        <f>"154.0745"</f>
        <v>154.0745</v>
      </c>
      <c r="F91" s="2" t="s">
        <v>43</v>
      </c>
      <c r="G91" s="2" t="s">
        <v>39</v>
      </c>
      <c r="H91" s="3" t="s">
        <v>282</v>
      </c>
      <c r="I91" s="4" t="s">
        <v>14</v>
      </c>
    </row>
    <row r="92" spans="1:9" ht="30" x14ac:dyDescent="0.25">
      <c r="A92" s="9">
        <v>91</v>
      </c>
      <c r="B92" s="10" t="s">
        <v>299</v>
      </c>
      <c r="C92" s="2" t="s">
        <v>300</v>
      </c>
      <c r="D92" s="2" t="s">
        <v>301</v>
      </c>
      <c r="E92" s="2" t="str">
        <f>"70.4294"</f>
        <v>70.4294</v>
      </c>
      <c r="F92" s="2" t="s">
        <v>43</v>
      </c>
      <c r="G92" s="2" t="s">
        <v>18</v>
      </c>
      <c r="H92" s="3" t="s">
        <v>282</v>
      </c>
      <c r="I92" s="4" t="s">
        <v>14</v>
      </c>
    </row>
    <row r="93" spans="1:9" ht="30" x14ac:dyDescent="0.25">
      <c r="A93" s="9">
        <v>92</v>
      </c>
      <c r="B93" s="10" t="s">
        <v>302</v>
      </c>
      <c r="C93" s="2" t="s">
        <v>303</v>
      </c>
      <c r="D93" s="2" t="s">
        <v>304</v>
      </c>
      <c r="E93" s="2" t="str">
        <f>"359.6400"</f>
        <v>359.6400</v>
      </c>
      <c r="F93" s="2" t="s">
        <v>17</v>
      </c>
      <c r="G93" s="2" t="s">
        <v>39</v>
      </c>
      <c r="H93" s="3" t="s">
        <v>282</v>
      </c>
      <c r="I93" s="4" t="s">
        <v>14</v>
      </c>
    </row>
    <row r="94" spans="1:9" ht="210" x14ac:dyDescent="0.25">
      <c r="A94" s="9">
        <v>93</v>
      </c>
      <c r="B94" s="10" t="s">
        <v>305</v>
      </c>
      <c r="C94" s="2" t="s">
        <v>305</v>
      </c>
      <c r="D94" s="2" t="s">
        <v>306</v>
      </c>
      <c r="E94" s="2" t="str">
        <f>"1775.8233"</f>
        <v>1775.8233</v>
      </c>
      <c r="F94" s="2" t="s">
        <v>17</v>
      </c>
      <c r="G94" s="2" t="s">
        <v>124</v>
      </c>
      <c r="H94" s="3" t="s">
        <v>307</v>
      </c>
      <c r="I94" s="4" t="s">
        <v>226</v>
      </c>
    </row>
    <row r="95" spans="1:9" ht="75" x14ac:dyDescent="0.25">
      <c r="A95" s="9">
        <v>94</v>
      </c>
      <c r="B95" s="10" t="s">
        <v>308</v>
      </c>
      <c r="C95" s="2" t="s">
        <v>308</v>
      </c>
      <c r="D95" s="2" t="s">
        <v>111</v>
      </c>
      <c r="E95" s="2" t="str">
        <f>"9997.5001"</f>
        <v>9997.5001</v>
      </c>
      <c r="F95" s="2" t="s">
        <v>17</v>
      </c>
      <c r="G95" s="2" t="s">
        <v>309</v>
      </c>
      <c r="H95" s="3" t="s">
        <v>307</v>
      </c>
      <c r="I95" s="4" t="s">
        <v>226</v>
      </c>
    </row>
    <row r="96" spans="1:9" ht="105" x14ac:dyDescent="0.25">
      <c r="A96" s="9">
        <v>95</v>
      </c>
      <c r="B96" s="10" t="s">
        <v>310</v>
      </c>
      <c r="C96" s="2" t="s">
        <v>310</v>
      </c>
      <c r="D96" s="2" t="s">
        <v>123</v>
      </c>
      <c r="E96" s="2" t="str">
        <f>"3019.1515"</f>
        <v>3019.1515</v>
      </c>
      <c r="F96" s="2" t="s">
        <v>17</v>
      </c>
      <c r="G96" s="2" t="s">
        <v>311</v>
      </c>
      <c r="H96" s="3" t="s">
        <v>307</v>
      </c>
      <c r="I96" s="4" t="s">
        <v>226</v>
      </c>
    </row>
    <row r="97" spans="1:9" ht="60" x14ac:dyDescent="0.25">
      <c r="A97" s="9">
        <v>96</v>
      </c>
      <c r="B97" s="10" t="s">
        <v>312</v>
      </c>
      <c r="C97" s="2" t="s">
        <v>313</v>
      </c>
      <c r="D97" s="2" t="s">
        <v>111</v>
      </c>
      <c r="E97" s="2" t="str">
        <f>"9997.0002"</f>
        <v>9997.0002</v>
      </c>
      <c r="F97" s="2" t="s">
        <v>17</v>
      </c>
      <c r="G97" s="2" t="s">
        <v>314</v>
      </c>
      <c r="H97" s="3" t="s">
        <v>307</v>
      </c>
      <c r="I97" s="4" t="s">
        <v>226</v>
      </c>
    </row>
    <row r="98" spans="1:9" ht="45" x14ac:dyDescent="0.25">
      <c r="A98" s="9">
        <v>97</v>
      </c>
      <c r="B98" s="10" t="s">
        <v>315</v>
      </c>
      <c r="C98" s="2" t="s">
        <v>315</v>
      </c>
      <c r="D98" s="2" t="s">
        <v>316</v>
      </c>
      <c r="E98" s="2" t="str">
        <f>"1306.9974"</f>
        <v>1306.9974</v>
      </c>
      <c r="F98" s="2" t="s">
        <v>64</v>
      </c>
      <c r="G98" s="2" t="s">
        <v>279</v>
      </c>
      <c r="H98" s="3" t="s">
        <v>317</v>
      </c>
      <c r="I98" s="4" t="s">
        <v>14</v>
      </c>
    </row>
    <row r="99" spans="1:9" ht="60" x14ac:dyDescent="0.25">
      <c r="A99" s="9">
        <v>98</v>
      </c>
      <c r="B99" s="10" t="s">
        <v>318</v>
      </c>
      <c r="C99" s="2" t="s">
        <v>318</v>
      </c>
      <c r="D99" s="2" t="s">
        <v>316</v>
      </c>
      <c r="E99" s="2" t="str">
        <f>"1459.3618"</f>
        <v>1459.3618</v>
      </c>
      <c r="F99" s="2" t="s">
        <v>17</v>
      </c>
      <c r="G99" s="2" t="s">
        <v>319</v>
      </c>
      <c r="H99" s="3" t="s">
        <v>317</v>
      </c>
      <c r="I99" s="4" t="s">
        <v>14</v>
      </c>
    </row>
    <row r="100" spans="1:9" ht="45" x14ac:dyDescent="0.25">
      <c r="A100" s="9">
        <v>99</v>
      </c>
      <c r="B100" s="10" t="s">
        <v>320</v>
      </c>
      <c r="C100" s="2" t="s">
        <v>320</v>
      </c>
      <c r="D100" s="2" t="s">
        <v>321</v>
      </c>
      <c r="E100" s="2" t="str">
        <f>"37.2247"</f>
        <v>37.2247</v>
      </c>
      <c r="F100" s="2" t="s">
        <v>17</v>
      </c>
      <c r="G100" s="2" t="s">
        <v>322</v>
      </c>
      <c r="H100" s="3" t="s">
        <v>323</v>
      </c>
      <c r="I100" s="4" t="s">
        <v>14</v>
      </c>
    </row>
    <row r="101" spans="1:9" ht="30" x14ac:dyDescent="0.25">
      <c r="A101" s="9">
        <v>100</v>
      </c>
      <c r="B101" s="10" t="s">
        <v>324</v>
      </c>
      <c r="C101" s="2" t="s">
        <v>324</v>
      </c>
      <c r="D101" s="2" t="s">
        <v>152</v>
      </c>
      <c r="E101" s="2" t="str">
        <f>"1116.4270"</f>
        <v>1116.4270</v>
      </c>
      <c r="F101" s="2" t="s">
        <v>17</v>
      </c>
      <c r="G101" s="2" t="s">
        <v>238</v>
      </c>
      <c r="H101" s="3" t="s">
        <v>323</v>
      </c>
      <c r="I101" s="4" t="s">
        <v>14</v>
      </c>
    </row>
    <row r="102" spans="1:9" ht="30" x14ac:dyDescent="0.25">
      <c r="A102" s="9">
        <v>101</v>
      </c>
      <c r="B102" s="10" t="s">
        <v>325</v>
      </c>
      <c r="C102" s="2" t="s">
        <v>325</v>
      </c>
      <c r="D102" s="2" t="s">
        <v>114</v>
      </c>
      <c r="E102" s="2" t="str">
        <f>"1980.8282"</f>
        <v>1980.8282</v>
      </c>
      <c r="F102" s="2" t="s">
        <v>17</v>
      </c>
      <c r="G102" s="2" t="s">
        <v>238</v>
      </c>
      <c r="H102" s="3" t="s">
        <v>326</v>
      </c>
      <c r="I102" s="4" t="s">
        <v>14</v>
      </c>
    </row>
    <row r="103" spans="1:9" ht="30" x14ac:dyDescent="0.25">
      <c r="A103" s="9">
        <v>102</v>
      </c>
      <c r="B103" s="10" t="s">
        <v>327</v>
      </c>
      <c r="C103" s="2" t="s">
        <v>328</v>
      </c>
      <c r="D103" s="2" t="s">
        <v>329</v>
      </c>
      <c r="E103" s="2" t="str">
        <f>"81.9584"</f>
        <v>81.9584</v>
      </c>
      <c r="F103" s="2" t="s">
        <v>17</v>
      </c>
      <c r="G103" s="2" t="s">
        <v>115</v>
      </c>
      <c r="H103" s="3" t="s">
        <v>330</v>
      </c>
      <c r="I103" s="4" t="s">
        <v>14</v>
      </c>
    </row>
    <row r="104" spans="1:9" ht="30" x14ac:dyDescent="0.25">
      <c r="A104" s="9">
        <v>103</v>
      </c>
      <c r="B104" s="10" t="s">
        <v>331</v>
      </c>
      <c r="C104" s="2" t="s">
        <v>332</v>
      </c>
      <c r="D104" s="2" t="s">
        <v>333</v>
      </c>
      <c r="E104" s="2" t="str">
        <f>"3051.4803"</f>
        <v>3051.4803</v>
      </c>
      <c r="F104" s="2" t="s">
        <v>64</v>
      </c>
      <c r="G104" s="2" t="s">
        <v>334</v>
      </c>
      <c r="H104" s="3" t="s">
        <v>335</v>
      </c>
      <c r="I104" s="4" t="s">
        <v>14</v>
      </c>
    </row>
    <row r="105" spans="1:9" x14ac:dyDescent="0.25">
      <c r="A105" s="9">
        <v>104</v>
      </c>
      <c r="B105" s="10" t="s">
        <v>336</v>
      </c>
      <c r="C105" s="2" t="s">
        <v>337</v>
      </c>
      <c r="D105" s="2" t="s">
        <v>338</v>
      </c>
      <c r="E105" s="2" t="str">
        <f>"301.9993"</f>
        <v>301.9993</v>
      </c>
      <c r="F105" s="2" t="s">
        <v>43</v>
      </c>
      <c r="G105" s="2" t="s">
        <v>18</v>
      </c>
      <c r="H105" s="3" t="s">
        <v>339</v>
      </c>
      <c r="I105" s="4" t="s">
        <v>340</v>
      </c>
    </row>
    <row r="106" spans="1:9" ht="30" x14ac:dyDescent="0.25">
      <c r="A106" s="9">
        <v>105</v>
      </c>
      <c r="B106" s="10" t="s">
        <v>341</v>
      </c>
      <c r="C106" s="2" t="s">
        <v>342</v>
      </c>
      <c r="D106" s="2" t="s">
        <v>343</v>
      </c>
      <c r="E106" s="2" t="str">
        <f>"41.1390"</f>
        <v>41.1390</v>
      </c>
      <c r="F106" s="2" t="s">
        <v>22</v>
      </c>
      <c r="G106" s="2" t="s">
        <v>344</v>
      </c>
      <c r="H106" s="3" t="s">
        <v>339</v>
      </c>
      <c r="I106" s="4" t="s">
        <v>340</v>
      </c>
    </row>
    <row r="107" spans="1:9" x14ac:dyDescent="0.25">
      <c r="A107" s="9">
        <v>106</v>
      </c>
      <c r="B107" s="10" t="s">
        <v>345</v>
      </c>
      <c r="C107" s="2" t="s">
        <v>346</v>
      </c>
      <c r="D107" s="2" t="s">
        <v>200</v>
      </c>
      <c r="E107" s="2" t="str">
        <f>"74.5070"</f>
        <v>74.5070</v>
      </c>
      <c r="F107" s="2" t="s">
        <v>43</v>
      </c>
      <c r="G107" s="2" t="s">
        <v>347</v>
      </c>
      <c r="H107" s="3" t="s">
        <v>339</v>
      </c>
      <c r="I107" s="4" t="s">
        <v>340</v>
      </c>
    </row>
    <row r="108" spans="1:9" ht="30" x14ac:dyDescent="0.25">
      <c r="A108" s="9">
        <v>107</v>
      </c>
      <c r="B108" s="10" t="s">
        <v>348</v>
      </c>
      <c r="C108" s="2" t="s">
        <v>349</v>
      </c>
      <c r="D108" s="2" t="s">
        <v>350</v>
      </c>
      <c r="E108" s="2" t="str">
        <f>"419.0000"</f>
        <v>419.0000</v>
      </c>
      <c r="F108" s="2" t="s">
        <v>64</v>
      </c>
      <c r="G108" s="2" t="s">
        <v>351</v>
      </c>
      <c r="H108" s="3" t="s">
        <v>339</v>
      </c>
      <c r="I108" s="4" t="s">
        <v>340</v>
      </c>
    </row>
    <row r="109" spans="1:9" ht="30" x14ac:dyDescent="0.25">
      <c r="A109" s="9">
        <v>108</v>
      </c>
      <c r="B109" s="10" t="s">
        <v>352</v>
      </c>
      <c r="C109" s="2" t="s">
        <v>353</v>
      </c>
      <c r="D109" s="2" t="s">
        <v>343</v>
      </c>
      <c r="E109" s="2" t="str">
        <f>"97.7500"</f>
        <v>97.7500</v>
      </c>
      <c r="F109" s="2" t="s">
        <v>354</v>
      </c>
      <c r="G109" s="2" t="s">
        <v>18</v>
      </c>
      <c r="H109" s="3" t="s">
        <v>339</v>
      </c>
      <c r="I109" s="4" t="s">
        <v>340</v>
      </c>
    </row>
    <row r="110" spans="1:9" x14ac:dyDescent="0.25">
      <c r="A110" s="9">
        <v>109</v>
      </c>
      <c r="B110" s="10" t="s">
        <v>355</v>
      </c>
      <c r="C110" s="2" t="s">
        <v>355</v>
      </c>
      <c r="D110" s="2" t="s">
        <v>356</v>
      </c>
      <c r="E110" s="2" t="str">
        <f>"0.8433"</f>
        <v>0.8433</v>
      </c>
      <c r="F110" s="2" t="s">
        <v>17</v>
      </c>
      <c r="G110" s="2" t="s">
        <v>357</v>
      </c>
      <c r="H110" s="3" t="s">
        <v>339</v>
      </c>
      <c r="I110" s="4" t="s">
        <v>340</v>
      </c>
    </row>
    <row r="111" spans="1:9" x14ac:dyDescent="0.25">
      <c r="A111" s="9">
        <v>110</v>
      </c>
      <c r="B111" s="10" t="s">
        <v>358</v>
      </c>
      <c r="C111" s="2" t="s">
        <v>359</v>
      </c>
      <c r="D111" s="2" t="s">
        <v>360</v>
      </c>
      <c r="E111" s="2" t="str">
        <f>"25.1940"</f>
        <v>25.1940</v>
      </c>
      <c r="F111" s="2" t="s">
        <v>17</v>
      </c>
      <c r="G111" s="2" t="s">
        <v>18</v>
      </c>
      <c r="H111" s="3" t="s">
        <v>339</v>
      </c>
      <c r="I111" s="4" t="s">
        <v>340</v>
      </c>
    </row>
    <row r="112" spans="1:9" ht="150" x14ac:dyDescent="0.25">
      <c r="A112" s="9">
        <v>111</v>
      </c>
      <c r="B112" s="10" t="s">
        <v>361</v>
      </c>
      <c r="C112" s="2" t="s">
        <v>361</v>
      </c>
      <c r="D112" s="2" t="s">
        <v>123</v>
      </c>
      <c r="E112" s="2" t="str">
        <f>"49.6612"</f>
        <v>49.6612</v>
      </c>
      <c r="F112" s="2" t="s">
        <v>17</v>
      </c>
      <c r="G112" s="2" t="s">
        <v>244</v>
      </c>
      <c r="H112" s="3" t="s">
        <v>339</v>
      </c>
      <c r="I112" s="4" t="s">
        <v>340</v>
      </c>
    </row>
    <row r="113" spans="1:9" ht="30" x14ac:dyDescent="0.25">
      <c r="A113" s="9">
        <v>112</v>
      </c>
      <c r="B113" s="10" t="s">
        <v>362</v>
      </c>
      <c r="C113" s="2" t="s">
        <v>363</v>
      </c>
      <c r="D113" s="2" t="s">
        <v>343</v>
      </c>
      <c r="E113" s="2" t="str">
        <f>"95.9320"</f>
        <v>95.9320</v>
      </c>
      <c r="F113" s="2" t="s">
        <v>22</v>
      </c>
      <c r="G113" s="2" t="s">
        <v>364</v>
      </c>
      <c r="H113" s="3" t="s">
        <v>365</v>
      </c>
      <c r="I113" s="4" t="s">
        <v>340</v>
      </c>
    </row>
    <row r="114" spans="1:9" ht="30" x14ac:dyDescent="0.25">
      <c r="A114" s="9">
        <v>113</v>
      </c>
      <c r="B114" s="10" t="s">
        <v>366</v>
      </c>
      <c r="C114" s="2" t="s">
        <v>367</v>
      </c>
      <c r="D114" s="2" t="s">
        <v>343</v>
      </c>
      <c r="E114" s="2" t="str">
        <f>"30.0000"</f>
        <v>30.0000</v>
      </c>
      <c r="F114" s="2" t="s">
        <v>43</v>
      </c>
      <c r="G114" s="2" t="s">
        <v>18</v>
      </c>
      <c r="H114" s="3" t="s">
        <v>365</v>
      </c>
      <c r="I114" s="4" t="s">
        <v>340</v>
      </c>
    </row>
    <row r="115" spans="1:9" ht="150" x14ac:dyDescent="0.25">
      <c r="A115" s="9">
        <v>114</v>
      </c>
      <c r="B115" s="10" t="s">
        <v>368</v>
      </c>
      <c r="C115" s="2" t="s">
        <v>368</v>
      </c>
      <c r="D115" s="2" t="s">
        <v>123</v>
      </c>
      <c r="E115" s="2" t="str">
        <f>"1495.7358"</f>
        <v>1495.7358</v>
      </c>
      <c r="F115" s="2" t="s">
        <v>17</v>
      </c>
      <c r="G115" s="2" t="s">
        <v>244</v>
      </c>
      <c r="H115" s="3" t="s">
        <v>365</v>
      </c>
      <c r="I115" s="4" t="s">
        <v>340</v>
      </c>
    </row>
    <row r="116" spans="1:9" ht="30" x14ac:dyDescent="0.25">
      <c r="A116" s="9">
        <v>115</v>
      </c>
      <c r="B116" s="10" t="s">
        <v>369</v>
      </c>
      <c r="C116" s="2" t="s">
        <v>370</v>
      </c>
      <c r="D116" s="2" t="s">
        <v>371</v>
      </c>
      <c r="E116" s="2" t="str">
        <f>"333.8521"</f>
        <v>333.8521</v>
      </c>
      <c r="F116" s="2" t="s">
        <v>43</v>
      </c>
      <c r="G116" s="2" t="s">
        <v>372</v>
      </c>
      <c r="H116" s="3" t="s">
        <v>373</v>
      </c>
      <c r="I116" s="4" t="s">
        <v>340</v>
      </c>
    </row>
    <row r="117" spans="1:9" ht="150" x14ac:dyDescent="0.25">
      <c r="A117" s="9">
        <v>116</v>
      </c>
      <c r="B117" s="10" t="s">
        <v>374</v>
      </c>
      <c r="C117" s="2" t="s">
        <v>374</v>
      </c>
      <c r="D117" s="2" t="s">
        <v>123</v>
      </c>
      <c r="E117" s="2" t="str">
        <f>"1931.4089"</f>
        <v>1931.4089</v>
      </c>
      <c r="F117" s="2" t="s">
        <v>17</v>
      </c>
      <c r="G117" s="2" t="s">
        <v>244</v>
      </c>
      <c r="H117" s="3" t="s">
        <v>373</v>
      </c>
      <c r="I117" s="4" t="s">
        <v>340</v>
      </c>
    </row>
    <row r="118" spans="1:9" ht="30" x14ac:dyDescent="0.25">
      <c r="A118" s="9">
        <v>117</v>
      </c>
      <c r="B118" s="10" t="s">
        <v>375</v>
      </c>
      <c r="C118" s="2" t="s">
        <v>376</v>
      </c>
      <c r="D118" s="2" t="s">
        <v>377</v>
      </c>
      <c r="E118" s="2" t="str">
        <f>"822.5000"</f>
        <v>822.5000</v>
      </c>
      <c r="F118" s="2" t="s">
        <v>64</v>
      </c>
      <c r="G118" s="2" t="s">
        <v>351</v>
      </c>
      <c r="H118" s="3" t="s">
        <v>373</v>
      </c>
      <c r="I118" s="4" t="s">
        <v>340</v>
      </c>
    </row>
    <row r="119" spans="1:9" ht="30" x14ac:dyDescent="0.25">
      <c r="A119" s="9">
        <v>118</v>
      </c>
      <c r="B119" s="10" t="s">
        <v>378</v>
      </c>
      <c r="C119" s="2" t="s">
        <v>379</v>
      </c>
      <c r="D119" s="2" t="s">
        <v>377</v>
      </c>
      <c r="E119" s="2" t="str">
        <f>"990.0000"</f>
        <v>990.0000</v>
      </c>
      <c r="F119" s="2" t="s">
        <v>64</v>
      </c>
      <c r="G119" s="2" t="s">
        <v>372</v>
      </c>
      <c r="H119" s="3" t="s">
        <v>373</v>
      </c>
      <c r="I119" s="4" t="s">
        <v>340</v>
      </c>
    </row>
    <row r="120" spans="1:9" ht="60" x14ac:dyDescent="0.25">
      <c r="A120" s="9">
        <v>119</v>
      </c>
      <c r="B120" s="10" t="s">
        <v>380</v>
      </c>
      <c r="C120" s="2" t="s">
        <v>381</v>
      </c>
      <c r="D120" s="2" t="s">
        <v>382</v>
      </c>
      <c r="E120" s="2" t="str">
        <f>"100.0000"</f>
        <v>100.0000</v>
      </c>
      <c r="F120" s="2" t="s">
        <v>22</v>
      </c>
      <c r="G120" s="2" t="s">
        <v>18</v>
      </c>
      <c r="H120" s="3" t="s">
        <v>383</v>
      </c>
      <c r="I120" s="4" t="s">
        <v>340</v>
      </c>
    </row>
    <row r="121" spans="1:9" ht="30" x14ac:dyDescent="0.25">
      <c r="A121" s="9">
        <v>120</v>
      </c>
      <c r="B121" s="10" t="s">
        <v>384</v>
      </c>
      <c r="C121" s="2" t="s">
        <v>384</v>
      </c>
      <c r="D121" s="2" t="s">
        <v>343</v>
      </c>
      <c r="E121" s="2" t="str">
        <f>"206.6227"</f>
        <v>206.6227</v>
      </c>
      <c r="F121" s="2" t="s">
        <v>17</v>
      </c>
      <c r="G121" s="2" t="s">
        <v>30</v>
      </c>
      <c r="H121" s="3" t="s">
        <v>385</v>
      </c>
      <c r="I121" s="4" t="s">
        <v>340</v>
      </c>
    </row>
    <row r="122" spans="1:9" ht="30" x14ac:dyDescent="0.25">
      <c r="A122" s="9">
        <v>121</v>
      </c>
      <c r="B122" s="10" t="s">
        <v>386</v>
      </c>
      <c r="C122" s="2" t="s">
        <v>387</v>
      </c>
      <c r="D122" s="2" t="s">
        <v>388</v>
      </c>
      <c r="E122" s="2" t="str">
        <f>"28.0000"</f>
        <v>28.0000</v>
      </c>
      <c r="F122" s="2" t="s">
        <v>43</v>
      </c>
      <c r="G122" s="2" t="s">
        <v>12</v>
      </c>
      <c r="H122" s="3" t="s">
        <v>385</v>
      </c>
      <c r="I122" s="4" t="s">
        <v>340</v>
      </c>
    </row>
    <row r="123" spans="1:9" ht="150" x14ac:dyDescent="0.25">
      <c r="A123" s="9">
        <v>122</v>
      </c>
      <c r="B123" s="10" t="s">
        <v>389</v>
      </c>
      <c r="C123" s="2" t="s">
        <v>389</v>
      </c>
      <c r="D123" s="2" t="s">
        <v>123</v>
      </c>
      <c r="E123" s="2" t="str">
        <f>"1881.9915"</f>
        <v>1881.9915</v>
      </c>
      <c r="F123" s="2" t="s">
        <v>17</v>
      </c>
      <c r="G123" s="2" t="s">
        <v>244</v>
      </c>
      <c r="H123" s="3" t="s">
        <v>385</v>
      </c>
      <c r="I123" s="4" t="s">
        <v>340</v>
      </c>
    </row>
    <row r="124" spans="1:9" ht="75" x14ac:dyDescent="0.25">
      <c r="A124" s="9">
        <v>123</v>
      </c>
      <c r="B124" s="10" t="s">
        <v>524</v>
      </c>
      <c r="C124" s="2" t="s">
        <v>524</v>
      </c>
      <c r="D124" s="2" t="s">
        <v>525</v>
      </c>
      <c r="E124" s="2" t="str">
        <f>"597.7912"</f>
        <v>597.7912</v>
      </c>
      <c r="F124" s="2" t="s">
        <v>17</v>
      </c>
      <c r="G124" s="2" t="s">
        <v>39</v>
      </c>
      <c r="H124" s="3" t="s">
        <v>526</v>
      </c>
      <c r="I124" s="4" t="s">
        <v>14</v>
      </c>
    </row>
    <row r="125" spans="1:9" ht="150" x14ac:dyDescent="0.25">
      <c r="A125" s="9">
        <v>124</v>
      </c>
      <c r="B125" s="10" t="s">
        <v>597</v>
      </c>
      <c r="C125" s="2" t="s">
        <v>597</v>
      </c>
      <c r="D125" s="2" t="s">
        <v>333</v>
      </c>
      <c r="E125" s="2" t="str">
        <f>"1985.4165"</f>
        <v>1985.4165</v>
      </c>
      <c r="F125" s="2" t="s">
        <v>17</v>
      </c>
      <c r="G125" s="2" t="s">
        <v>487</v>
      </c>
      <c r="H125" s="3" t="s">
        <v>598</v>
      </c>
      <c r="I125" s="4" t="s">
        <v>14</v>
      </c>
    </row>
    <row r="126" spans="1:9" ht="30" x14ac:dyDescent="0.25">
      <c r="A126" s="9">
        <v>125</v>
      </c>
      <c r="B126" s="10" t="s">
        <v>599</v>
      </c>
      <c r="C126" s="2" t="s">
        <v>600</v>
      </c>
      <c r="D126" s="2" t="s">
        <v>601</v>
      </c>
      <c r="E126" s="2" t="str">
        <f>"8.0002"</f>
        <v>8.0002</v>
      </c>
      <c r="F126" s="2" t="s">
        <v>11</v>
      </c>
      <c r="G126" s="2" t="s">
        <v>12</v>
      </c>
      <c r="H126" s="3" t="s">
        <v>598</v>
      </c>
      <c r="I126" s="4" t="s">
        <v>14</v>
      </c>
    </row>
    <row r="127" spans="1:9" ht="60" x14ac:dyDescent="0.25">
      <c r="A127" s="9">
        <v>126</v>
      </c>
      <c r="B127" s="10" t="s">
        <v>602</v>
      </c>
      <c r="C127" s="2" t="s">
        <v>602</v>
      </c>
      <c r="D127" s="2" t="s">
        <v>152</v>
      </c>
      <c r="E127" s="2" t="str">
        <f>"286.9405"</f>
        <v>286.9405</v>
      </c>
      <c r="F127" s="2" t="s">
        <v>17</v>
      </c>
      <c r="G127" s="2" t="s">
        <v>112</v>
      </c>
      <c r="H127" s="3" t="s">
        <v>598</v>
      </c>
      <c r="I127" s="4" t="s">
        <v>14</v>
      </c>
    </row>
    <row r="128" spans="1:9" ht="30" x14ac:dyDescent="0.25">
      <c r="A128" s="9">
        <v>127</v>
      </c>
      <c r="B128" s="10" t="s">
        <v>603</v>
      </c>
      <c r="C128" s="2" t="s">
        <v>604</v>
      </c>
      <c r="D128" s="2" t="s">
        <v>333</v>
      </c>
      <c r="E128" s="2" t="str">
        <f>"75.7500"</f>
        <v>75.7500</v>
      </c>
      <c r="F128" s="2" t="s">
        <v>17</v>
      </c>
      <c r="G128" s="2" t="s">
        <v>53</v>
      </c>
      <c r="H128" s="3" t="s">
        <v>598</v>
      </c>
      <c r="I128" s="4" t="s">
        <v>14</v>
      </c>
    </row>
    <row r="129" spans="1:9" ht="30" x14ac:dyDescent="0.25">
      <c r="A129" s="9">
        <v>128</v>
      </c>
      <c r="B129" s="10" t="s">
        <v>605</v>
      </c>
      <c r="C129" s="2" t="s">
        <v>605</v>
      </c>
      <c r="D129" s="2" t="s">
        <v>606</v>
      </c>
      <c r="E129" s="2" t="str">
        <f>"16.9482"</f>
        <v>16.9482</v>
      </c>
      <c r="F129" s="2" t="s">
        <v>17</v>
      </c>
      <c r="G129" s="2" t="s">
        <v>12</v>
      </c>
      <c r="H129" s="3" t="s">
        <v>598</v>
      </c>
      <c r="I129" s="4" t="s">
        <v>14</v>
      </c>
    </row>
    <row r="130" spans="1:9" x14ac:dyDescent="0.25">
      <c r="A130" s="9">
        <v>129</v>
      </c>
      <c r="B130" s="10" t="s">
        <v>607</v>
      </c>
      <c r="C130" s="2" t="s">
        <v>607</v>
      </c>
      <c r="D130" s="2" t="s">
        <v>21</v>
      </c>
      <c r="E130" s="2" t="str">
        <f>"176.6373"</f>
        <v>176.6373</v>
      </c>
      <c r="F130" s="2" t="s">
        <v>17</v>
      </c>
      <c r="G130" s="2" t="s">
        <v>18</v>
      </c>
      <c r="H130" s="3" t="s">
        <v>598</v>
      </c>
      <c r="I130" s="4" t="s">
        <v>14</v>
      </c>
    </row>
    <row r="131" spans="1:9" ht="30" x14ac:dyDescent="0.25">
      <c r="A131" s="9">
        <v>130</v>
      </c>
      <c r="B131" s="10" t="s">
        <v>608</v>
      </c>
      <c r="C131" s="2" t="s">
        <v>609</v>
      </c>
      <c r="D131" s="2" t="s">
        <v>610</v>
      </c>
      <c r="E131" s="2" t="str">
        <f>"481.7920"</f>
        <v>481.7920</v>
      </c>
      <c r="F131" s="2" t="s">
        <v>64</v>
      </c>
      <c r="G131" s="2" t="s">
        <v>115</v>
      </c>
      <c r="H131" s="3" t="s">
        <v>611</v>
      </c>
      <c r="I131" s="4" t="s">
        <v>14</v>
      </c>
    </row>
    <row r="132" spans="1:9" ht="30" x14ac:dyDescent="0.25">
      <c r="A132" s="9">
        <v>131</v>
      </c>
      <c r="B132" s="10" t="s">
        <v>612</v>
      </c>
      <c r="C132" s="2" t="s">
        <v>613</v>
      </c>
      <c r="D132" s="2" t="s">
        <v>333</v>
      </c>
      <c r="E132" s="2" t="str">
        <f>"509.4751"</f>
        <v>509.4751</v>
      </c>
      <c r="F132" s="2" t="s">
        <v>17</v>
      </c>
      <c r="G132" s="2" t="s">
        <v>142</v>
      </c>
      <c r="H132" s="3" t="s">
        <v>611</v>
      </c>
      <c r="I132" s="4" t="s">
        <v>14</v>
      </c>
    </row>
    <row r="133" spans="1:9" ht="30" x14ac:dyDescent="0.25">
      <c r="A133" s="9">
        <v>132</v>
      </c>
      <c r="B133" s="10" t="s">
        <v>614</v>
      </c>
      <c r="C133" s="2" t="s">
        <v>614</v>
      </c>
      <c r="D133" s="2" t="s">
        <v>152</v>
      </c>
      <c r="E133" s="2" t="str">
        <f>"1995.7335"</f>
        <v>1995.7335</v>
      </c>
      <c r="F133" s="2" t="s">
        <v>17</v>
      </c>
      <c r="G133" s="2" t="s">
        <v>53</v>
      </c>
      <c r="H133" s="3" t="s">
        <v>615</v>
      </c>
      <c r="I133" s="4" t="s">
        <v>14</v>
      </c>
    </row>
    <row r="134" spans="1:9" ht="180" x14ac:dyDescent="0.25">
      <c r="A134" s="9">
        <v>133</v>
      </c>
      <c r="B134" s="10" t="s">
        <v>616</v>
      </c>
      <c r="C134" s="2" t="s">
        <v>616</v>
      </c>
      <c r="D134" s="2" t="s">
        <v>617</v>
      </c>
      <c r="E134" s="2" t="str">
        <f>"416.3081"</f>
        <v>416.3081</v>
      </c>
      <c r="F134" s="2" t="s">
        <v>17</v>
      </c>
      <c r="G134" s="2" t="s">
        <v>618</v>
      </c>
      <c r="H134" s="3" t="s">
        <v>615</v>
      </c>
      <c r="I134" s="4" t="s">
        <v>14</v>
      </c>
    </row>
    <row r="135" spans="1:9" ht="60" x14ac:dyDescent="0.25">
      <c r="A135" s="9">
        <v>134</v>
      </c>
      <c r="B135" s="10" t="s">
        <v>619</v>
      </c>
      <c r="C135" s="2" t="s">
        <v>619</v>
      </c>
      <c r="D135" s="2" t="s">
        <v>152</v>
      </c>
      <c r="E135" s="2" t="str">
        <f>"1597.5020"</f>
        <v>1597.5020</v>
      </c>
      <c r="F135" s="2" t="s">
        <v>17</v>
      </c>
      <c r="G135" s="2" t="s">
        <v>112</v>
      </c>
      <c r="H135" s="3" t="s">
        <v>615</v>
      </c>
      <c r="I135" s="4" t="s">
        <v>14</v>
      </c>
    </row>
    <row r="136" spans="1:9" ht="60" x14ac:dyDescent="0.25">
      <c r="A136" s="9">
        <v>135</v>
      </c>
      <c r="B136" s="10" t="s">
        <v>620</v>
      </c>
      <c r="C136" s="2" t="s">
        <v>620</v>
      </c>
      <c r="D136" s="2" t="s">
        <v>333</v>
      </c>
      <c r="E136" s="2" t="str">
        <f>"3159.1293"</f>
        <v>3159.1293</v>
      </c>
      <c r="F136" s="2" t="s">
        <v>17</v>
      </c>
      <c r="G136" s="2" t="s">
        <v>479</v>
      </c>
      <c r="H136" s="3" t="s">
        <v>621</v>
      </c>
      <c r="I136" s="4" t="s">
        <v>14</v>
      </c>
    </row>
    <row r="137" spans="1:9" ht="60" x14ac:dyDescent="0.25">
      <c r="A137" s="9">
        <v>136</v>
      </c>
      <c r="B137" s="10" t="s">
        <v>622</v>
      </c>
      <c r="C137" s="2" t="s">
        <v>623</v>
      </c>
      <c r="D137" s="2" t="s">
        <v>253</v>
      </c>
      <c r="E137" s="2" t="str">
        <f>"32.5260"</f>
        <v>32.5260</v>
      </c>
      <c r="F137" s="2" t="s">
        <v>17</v>
      </c>
      <c r="G137" s="2" t="s">
        <v>624</v>
      </c>
      <c r="H137" s="3" t="s">
        <v>621</v>
      </c>
      <c r="I137" s="4" t="s">
        <v>14</v>
      </c>
    </row>
    <row r="138" spans="1:9" ht="45" x14ac:dyDescent="0.25">
      <c r="A138" s="9">
        <v>137</v>
      </c>
      <c r="B138" s="10" t="s">
        <v>625</v>
      </c>
      <c r="C138" s="2" t="s">
        <v>626</v>
      </c>
      <c r="D138" s="2" t="s">
        <v>333</v>
      </c>
      <c r="E138" s="2" t="str">
        <f>"161.1758"</f>
        <v>161.1758</v>
      </c>
      <c r="F138" s="2" t="s">
        <v>17</v>
      </c>
      <c r="G138" s="2" t="s">
        <v>627</v>
      </c>
      <c r="H138" s="3" t="s">
        <v>621</v>
      </c>
      <c r="I138" s="4" t="s">
        <v>14</v>
      </c>
    </row>
    <row r="139" spans="1:9" ht="30" x14ac:dyDescent="0.25">
      <c r="A139" s="9">
        <v>138</v>
      </c>
      <c r="B139" s="10" t="s">
        <v>628</v>
      </c>
      <c r="C139" s="2" t="s">
        <v>629</v>
      </c>
      <c r="D139" s="2" t="s">
        <v>630</v>
      </c>
      <c r="E139" s="2" t="str">
        <f>"452.0745"</f>
        <v>452.0745</v>
      </c>
      <c r="F139" s="2" t="s">
        <v>64</v>
      </c>
      <c r="G139" s="2" t="s">
        <v>142</v>
      </c>
      <c r="H139" s="3" t="s">
        <v>631</v>
      </c>
      <c r="I139" s="4" t="s">
        <v>14</v>
      </c>
    </row>
    <row r="140" spans="1:9" x14ac:dyDescent="0.25">
      <c r="A140" s="9">
        <v>139</v>
      </c>
      <c r="B140" s="10" t="s">
        <v>632</v>
      </c>
      <c r="C140" s="2" t="s">
        <v>632</v>
      </c>
      <c r="D140" s="2" t="s">
        <v>105</v>
      </c>
      <c r="E140" s="2" t="str">
        <f>"1992.7489"</f>
        <v>1992.7489</v>
      </c>
      <c r="F140" s="2" t="s">
        <v>17</v>
      </c>
      <c r="G140" s="2" t="s">
        <v>238</v>
      </c>
      <c r="H140" s="3" t="s">
        <v>633</v>
      </c>
      <c r="I140" s="4" t="s">
        <v>14</v>
      </c>
    </row>
    <row r="141" spans="1:9" x14ac:dyDescent="0.25">
      <c r="A141" s="9">
        <v>140</v>
      </c>
      <c r="B141" s="10" t="s">
        <v>634</v>
      </c>
      <c r="C141" s="2" t="s">
        <v>635</v>
      </c>
      <c r="D141" s="2" t="s">
        <v>636</v>
      </c>
      <c r="E141" s="2" t="str">
        <f>"1793.2140"</f>
        <v>1793.2140</v>
      </c>
      <c r="F141" s="2" t="s">
        <v>64</v>
      </c>
      <c r="G141" s="2" t="s">
        <v>115</v>
      </c>
      <c r="H141" s="3" t="s">
        <v>633</v>
      </c>
      <c r="I141" s="4" t="s">
        <v>14</v>
      </c>
    </row>
    <row r="142" spans="1:9" ht="30" x14ac:dyDescent="0.25">
      <c r="A142" s="9">
        <v>141</v>
      </c>
      <c r="B142" s="10" t="s">
        <v>637</v>
      </c>
      <c r="C142" s="2" t="s">
        <v>637</v>
      </c>
      <c r="D142" s="2" t="s">
        <v>97</v>
      </c>
      <c r="E142" s="2" t="str">
        <f>"1999.6068"</f>
        <v>1999.6068</v>
      </c>
      <c r="F142" s="2" t="s">
        <v>17</v>
      </c>
      <c r="G142" s="2" t="s">
        <v>126</v>
      </c>
      <c r="H142" s="3" t="s">
        <v>633</v>
      </c>
      <c r="I142" s="4" t="s">
        <v>14</v>
      </c>
    </row>
    <row r="143" spans="1:9" ht="150" x14ac:dyDescent="0.25">
      <c r="A143" s="9">
        <v>142</v>
      </c>
      <c r="B143" s="10" t="s">
        <v>638</v>
      </c>
      <c r="C143" s="2" t="s">
        <v>638</v>
      </c>
      <c r="D143" s="2" t="s">
        <v>639</v>
      </c>
      <c r="E143" s="2" t="str">
        <f>"1409.2166"</f>
        <v>1409.2166</v>
      </c>
      <c r="F143" s="2" t="s">
        <v>17</v>
      </c>
      <c r="G143" s="2" t="s">
        <v>244</v>
      </c>
      <c r="H143" s="3" t="s">
        <v>640</v>
      </c>
      <c r="I143" s="4" t="s">
        <v>14</v>
      </c>
    </row>
    <row r="144" spans="1:9" ht="30" x14ac:dyDescent="0.25">
      <c r="A144" s="9">
        <v>143</v>
      </c>
      <c r="B144" s="10" t="s">
        <v>641</v>
      </c>
      <c r="C144" s="2" t="s">
        <v>641</v>
      </c>
      <c r="D144" s="2" t="s">
        <v>204</v>
      </c>
      <c r="E144" s="2" t="str">
        <f>"840.6041"</f>
        <v>840.6041</v>
      </c>
      <c r="F144" s="2" t="s">
        <v>17</v>
      </c>
      <c r="G144" s="2" t="s">
        <v>39</v>
      </c>
      <c r="H144" s="3" t="s">
        <v>642</v>
      </c>
      <c r="I144" s="4" t="s">
        <v>14</v>
      </c>
    </row>
    <row r="145" spans="1:9" ht="45" x14ac:dyDescent="0.25">
      <c r="A145" s="9">
        <v>144</v>
      </c>
      <c r="B145" s="10" t="s">
        <v>643</v>
      </c>
      <c r="C145" s="2" t="s">
        <v>643</v>
      </c>
      <c r="D145" s="2" t="s">
        <v>644</v>
      </c>
      <c r="E145" s="2" t="str">
        <f>"598.2685"</f>
        <v>598.2685</v>
      </c>
      <c r="F145" s="2" t="s">
        <v>17</v>
      </c>
      <c r="G145" s="2" t="s">
        <v>39</v>
      </c>
      <c r="H145" s="3" t="s">
        <v>645</v>
      </c>
      <c r="I145" s="4" t="s">
        <v>14</v>
      </c>
    </row>
    <row r="146" spans="1:9" ht="45" x14ac:dyDescent="0.25">
      <c r="A146" s="9">
        <v>145</v>
      </c>
      <c r="B146" s="10" t="s">
        <v>646</v>
      </c>
      <c r="C146" s="2" t="s">
        <v>646</v>
      </c>
      <c r="D146" s="2" t="s">
        <v>114</v>
      </c>
      <c r="E146" s="2" t="str">
        <f>"189.2215"</f>
        <v>189.2215</v>
      </c>
      <c r="F146" s="2" t="s">
        <v>17</v>
      </c>
      <c r="G146" s="2" t="s">
        <v>295</v>
      </c>
      <c r="H146" s="3" t="s">
        <v>647</v>
      </c>
      <c r="I146" s="4" t="s">
        <v>14</v>
      </c>
    </row>
    <row r="147" spans="1:9" ht="45" x14ac:dyDescent="0.25">
      <c r="A147" s="9">
        <v>146</v>
      </c>
      <c r="B147" s="10" t="s">
        <v>648</v>
      </c>
      <c r="C147" s="2" t="s">
        <v>648</v>
      </c>
      <c r="D147" s="2" t="s">
        <v>111</v>
      </c>
      <c r="E147" s="2" t="str">
        <f>"1415.2203"</f>
        <v>1415.2203</v>
      </c>
      <c r="F147" s="2" t="s">
        <v>17</v>
      </c>
      <c r="G147" s="2" t="s">
        <v>649</v>
      </c>
      <c r="H147" s="3" t="s">
        <v>647</v>
      </c>
      <c r="I147" s="4" t="s">
        <v>14</v>
      </c>
    </row>
    <row r="148" spans="1:9" ht="120" x14ac:dyDescent="0.25">
      <c r="A148" s="9">
        <v>147</v>
      </c>
      <c r="B148" s="10" t="s">
        <v>650</v>
      </c>
      <c r="C148" s="2" t="s">
        <v>650</v>
      </c>
      <c r="D148" s="2" t="s">
        <v>270</v>
      </c>
      <c r="E148" s="2" t="str">
        <f>"1983.8097"</f>
        <v>1983.8097</v>
      </c>
      <c r="F148" s="2" t="s">
        <v>17</v>
      </c>
      <c r="G148" s="2" t="s">
        <v>257</v>
      </c>
      <c r="H148" s="3" t="s">
        <v>647</v>
      </c>
      <c r="I148" s="4" t="s">
        <v>14</v>
      </c>
    </row>
    <row r="149" spans="1:9" ht="30" x14ac:dyDescent="0.25">
      <c r="A149" s="9">
        <v>148</v>
      </c>
      <c r="B149" s="10" t="s">
        <v>651</v>
      </c>
      <c r="C149" s="2" t="s">
        <v>652</v>
      </c>
      <c r="D149" s="2" t="s">
        <v>653</v>
      </c>
      <c r="E149" s="2" t="str">
        <f>"230.4443"</f>
        <v>230.4443</v>
      </c>
      <c r="F149" s="2" t="s">
        <v>43</v>
      </c>
      <c r="G149" s="2" t="s">
        <v>36</v>
      </c>
      <c r="H149" s="3" t="s">
        <v>654</v>
      </c>
      <c r="I149" s="4" t="s">
        <v>14</v>
      </c>
    </row>
    <row r="150" spans="1:9" x14ac:dyDescent="0.25">
      <c r="A150" s="9">
        <v>149</v>
      </c>
      <c r="B150" s="10" t="s">
        <v>655</v>
      </c>
      <c r="C150" s="2" t="s">
        <v>655</v>
      </c>
      <c r="D150" s="2" t="s">
        <v>656</v>
      </c>
      <c r="E150" s="2" t="str">
        <f>"56.3220"</f>
        <v>56.3220</v>
      </c>
      <c r="F150" s="2" t="s">
        <v>17</v>
      </c>
      <c r="G150" s="2" t="s">
        <v>39</v>
      </c>
      <c r="H150" s="3" t="s">
        <v>657</v>
      </c>
      <c r="I150" s="4" t="s">
        <v>14</v>
      </c>
    </row>
    <row r="151" spans="1:9" x14ac:dyDescent="0.25">
      <c r="A151" s="9">
        <v>150</v>
      </c>
      <c r="B151" s="10" t="s">
        <v>658</v>
      </c>
      <c r="C151" s="2" t="s">
        <v>659</v>
      </c>
      <c r="D151" s="2" t="s">
        <v>660</v>
      </c>
      <c r="E151" s="2" t="str">
        <f>"236.3762"</f>
        <v>236.3762</v>
      </c>
      <c r="F151" s="2" t="s">
        <v>86</v>
      </c>
      <c r="G151" s="2" t="s">
        <v>39</v>
      </c>
      <c r="H151" s="3" t="s">
        <v>657</v>
      </c>
      <c r="I151" s="4" t="s">
        <v>14</v>
      </c>
    </row>
    <row r="152" spans="1:9" ht="45" x14ac:dyDescent="0.25">
      <c r="A152" s="9">
        <v>151</v>
      </c>
      <c r="B152" s="10" t="s">
        <v>661</v>
      </c>
      <c r="C152" s="2" t="s">
        <v>662</v>
      </c>
      <c r="D152" s="2" t="s">
        <v>663</v>
      </c>
      <c r="E152" s="2" t="str">
        <f>"100.0378"</f>
        <v>100.0378</v>
      </c>
      <c r="F152" s="2" t="s">
        <v>22</v>
      </c>
      <c r="G152" s="2" t="s">
        <v>186</v>
      </c>
      <c r="H152" s="3" t="s">
        <v>657</v>
      </c>
      <c r="I152" s="4" t="s">
        <v>14</v>
      </c>
    </row>
    <row r="153" spans="1:9" ht="30" x14ac:dyDescent="0.25">
      <c r="A153" s="9">
        <v>152</v>
      </c>
      <c r="B153" s="10" t="s">
        <v>664</v>
      </c>
      <c r="C153" s="2" t="s">
        <v>664</v>
      </c>
      <c r="D153" s="2" t="s">
        <v>237</v>
      </c>
      <c r="E153" s="2" t="str">
        <f>"61.2169"</f>
        <v>61.2169</v>
      </c>
      <c r="F153" s="2" t="s">
        <v>17</v>
      </c>
      <c r="G153" s="2" t="s">
        <v>238</v>
      </c>
      <c r="H153" s="3" t="s">
        <v>657</v>
      </c>
      <c r="I153" s="4" t="s">
        <v>14</v>
      </c>
    </row>
    <row r="154" spans="1:9" ht="45" x14ac:dyDescent="0.25">
      <c r="A154" s="9">
        <v>153</v>
      </c>
      <c r="B154" s="10" t="s">
        <v>665</v>
      </c>
      <c r="C154" s="2" t="s">
        <v>666</v>
      </c>
      <c r="D154" s="2" t="s">
        <v>667</v>
      </c>
      <c r="E154" s="2" t="str">
        <f>"26.1921"</f>
        <v>26.1921</v>
      </c>
      <c r="F154" s="2" t="s">
        <v>86</v>
      </c>
      <c r="G154" s="2" t="s">
        <v>39</v>
      </c>
      <c r="H154" s="3" t="s">
        <v>657</v>
      </c>
      <c r="I154" s="4" t="s">
        <v>14</v>
      </c>
    </row>
    <row r="155" spans="1:9" ht="30" x14ac:dyDescent="0.25">
      <c r="A155" s="9">
        <v>154</v>
      </c>
      <c r="B155" s="10" t="s">
        <v>668</v>
      </c>
      <c r="C155" s="2" t="s">
        <v>669</v>
      </c>
      <c r="D155" s="2" t="s">
        <v>237</v>
      </c>
      <c r="E155" s="2" t="str">
        <f>"1320.3974"</f>
        <v>1320.3974</v>
      </c>
      <c r="F155" s="2" t="s">
        <v>17</v>
      </c>
      <c r="G155" s="2" t="s">
        <v>238</v>
      </c>
      <c r="H155" s="3" t="s">
        <v>657</v>
      </c>
      <c r="I155" s="4" t="s">
        <v>14</v>
      </c>
    </row>
    <row r="156" spans="1:9" ht="30" x14ac:dyDescent="0.25">
      <c r="A156" s="9">
        <v>155</v>
      </c>
      <c r="B156" s="10" t="s">
        <v>670</v>
      </c>
      <c r="C156" s="2" t="s">
        <v>670</v>
      </c>
      <c r="D156" s="2" t="s">
        <v>237</v>
      </c>
      <c r="E156" s="2" t="str">
        <f>"408.8847"</f>
        <v>408.8847</v>
      </c>
      <c r="F156" s="2" t="s">
        <v>64</v>
      </c>
      <c r="G156" s="2" t="s">
        <v>115</v>
      </c>
      <c r="H156" s="3" t="s">
        <v>657</v>
      </c>
      <c r="I156" s="4" t="s">
        <v>14</v>
      </c>
    </row>
    <row r="157" spans="1:9" x14ac:dyDescent="0.25">
      <c r="A157" s="9">
        <v>156</v>
      </c>
      <c r="B157" s="10" t="s">
        <v>671</v>
      </c>
      <c r="C157" s="2" t="s">
        <v>671</v>
      </c>
      <c r="D157" s="2" t="s">
        <v>672</v>
      </c>
      <c r="E157" s="2" t="str">
        <f>"25.5040"</f>
        <v>25.5040</v>
      </c>
      <c r="F157" s="2" t="s">
        <v>17</v>
      </c>
      <c r="G157" s="2" t="s">
        <v>39</v>
      </c>
      <c r="H157" s="3" t="s">
        <v>657</v>
      </c>
      <c r="I157" s="4" t="s">
        <v>14</v>
      </c>
    </row>
    <row r="158" spans="1:9" ht="30" x14ac:dyDescent="0.25">
      <c r="A158" s="9">
        <v>157</v>
      </c>
      <c r="B158" s="10" t="s">
        <v>673</v>
      </c>
      <c r="C158" s="2" t="s">
        <v>674</v>
      </c>
      <c r="D158" s="2" t="s">
        <v>237</v>
      </c>
      <c r="E158" s="2" t="str">
        <f>"129.3477"</f>
        <v>129.3477</v>
      </c>
      <c r="F158" s="2" t="s">
        <v>17</v>
      </c>
      <c r="G158" s="2" t="s">
        <v>207</v>
      </c>
      <c r="H158" s="3" t="s">
        <v>657</v>
      </c>
      <c r="I158" s="4" t="s">
        <v>14</v>
      </c>
    </row>
    <row r="159" spans="1:9" ht="30" x14ac:dyDescent="0.25">
      <c r="A159" s="9">
        <v>158</v>
      </c>
      <c r="B159" s="10" t="s">
        <v>675</v>
      </c>
      <c r="C159" s="2" t="s">
        <v>676</v>
      </c>
      <c r="D159" s="2" t="s">
        <v>237</v>
      </c>
      <c r="E159" s="2" t="str">
        <f>"310.7296"</f>
        <v>310.7296</v>
      </c>
      <c r="F159" s="2" t="s">
        <v>64</v>
      </c>
      <c r="G159" s="2" t="s">
        <v>115</v>
      </c>
      <c r="H159" s="3" t="s">
        <v>657</v>
      </c>
      <c r="I159" s="4" t="s">
        <v>14</v>
      </c>
    </row>
    <row r="160" spans="1:9" ht="30" x14ac:dyDescent="0.25">
      <c r="A160" s="9">
        <v>159</v>
      </c>
      <c r="B160" s="10" t="s">
        <v>677</v>
      </c>
      <c r="C160" s="2" t="s">
        <v>678</v>
      </c>
      <c r="D160" s="2" t="s">
        <v>679</v>
      </c>
      <c r="E160" s="2" t="str">
        <f>"19.9412"</f>
        <v>19.9412</v>
      </c>
      <c r="F160" s="2" t="s">
        <v>43</v>
      </c>
      <c r="G160" s="2" t="s">
        <v>39</v>
      </c>
      <c r="H160" s="3" t="s">
        <v>657</v>
      </c>
      <c r="I160" s="4" t="s">
        <v>14</v>
      </c>
    </row>
    <row r="161" spans="1:9" x14ac:dyDescent="0.25">
      <c r="A161" s="9">
        <v>160</v>
      </c>
      <c r="B161" s="10" t="s">
        <v>680</v>
      </c>
      <c r="C161" s="2" t="s">
        <v>681</v>
      </c>
      <c r="D161" s="2" t="s">
        <v>660</v>
      </c>
      <c r="E161" s="2" t="str">
        <f>"142.4809"</f>
        <v>142.4809</v>
      </c>
      <c r="F161" s="2" t="s">
        <v>86</v>
      </c>
      <c r="G161" s="2" t="s">
        <v>39</v>
      </c>
      <c r="H161" s="3" t="s">
        <v>657</v>
      </c>
      <c r="I161" s="4" t="s">
        <v>14</v>
      </c>
    </row>
    <row r="162" spans="1:9" ht="30" x14ac:dyDescent="0.25">
      <c r="A162" s="9">
        <v>161</v>
      </c>
      <c r="B162" s="10" t="s">
        <v>682</v>
      </c>
      <c r="C162" s="2" t="s">
        <v>683</v>
      </c>
      <c r="D162" s="2" t="s">
        <v>232</v>
      </c>
      <c r="E162" s="2" t="str">
        <f>"6.8115"</f>
        <v>6.8115</v>
      </c>
      <c r="F162" s="2" t="s">
        <v>64</v>
      </c>
      <c r="G162" s="2" t="s">
        <v>121</v>
      </c>
      <c r="H162" s="3" t="s">
        <v>657</v>
      </c>
      <c r="I162" s="4" t="s">
        <v>14</v>
      </c>
    </row>
    <row r="163" spans="1:9" ht="30" x14ac:dyDescent="0.25">
      <c r="A163" s="9">
        <v>162</v>
      </c>
      <c r="B163" s="10" t="s">
        <v>684</v>
      </c>
      <c r="C163" s="2" t="s">
        <v>685</v>
      </c>
      <c r="D163" s="2" t="s">
        <v>237</v>
      </c>
      <c r="E163" s="2" t="str">
        <f>"364.7625"</f>
        <v>364.7625</v>
      </c>
      <c r="F163" s="2" t="s">
        <v>17</v>
      </c>
      <c r="G163" s="2" t="s">
        <v>207</v>
      </c>
      <c r="H163" s="3" t="s">
        <v>657</v>
      </c>
      <c r="I163" s="4" t="s">
        <v>14</v>
      </c>
    </row>
    <row r="164" spans="1:9" ht="30" x14ac:dyDescent="0.25">
      <c r="A164" s="9">
        <v>163</v>
      </c>
      <c r="B164" s="10" t="s">
        <v>686</v>
      </c>
      <c r="C164" s="2" t="s">
        <v>686</v>
      </c>
      <c r="D164" s="2" t="s">
        <v>687</v>
      </c>
      <c r="E164" s="2" t="str">
        <f>"11.0757"</f>
        <v>11.0757</v>
      </c>
      <c r="F164" s="2" t="s">
        <v>17</v>
      </c>
      <c r="G164" s="2" t="s">
        <v>214</v>
      </c>
      <c r="H164" s="3" t="s">
        <v>657</v>
      </c>
      <c r="I164" s="4" t="s">
        <v>14</v>
      </c>
    </row>
    <row r="165" spans="1:9" ht="30" x14ac:dyDescent="0.25">
      <c r="A165" s="9">
        <v>164</v>
      </c>
      <c r="B165" s="10" t="s">
        <v>688</v>
      </c>
      <c r="C165" s="2" t="s">
        <v>689</v>
      </c>
      <c r="D165" s="2" t="s">
        <v>237</v>
      </c>
      <c r="E165" s="2" t="str">
        <f>"726.5970"</f>
        <v>726.5970</v>
      </c>
      <c r="F165" s="2" t="s">
        <v>64</v>
      </c>
      <c r="G165" s="2" t="s">
        <v>115</v>
      </c>
      <c r="H165" s="3" t="s">
        <v>657</v>
      </c>
      <c r="I165" s="4" t="s">
        <v>14</v>
      </c>
    </row>
    <row r="166" spans="1:9" ht="30" x14ac:dyDescent="0.25">
      <c r="A166" s="9">
        <v>165</v>
      </c>
      <c r="B166" s="10" t="s">
        <v>690</v>
      </c>
      <c r="C166" s="2" t="s">
        <v>690</v>
      </c>
      <c r="D166" s="2" t="s">
        <v>691</v>
      </c>
      <c r="E166" s="2" t="str">
        <f>"604.0170"</f>
        <v>604.0170</v>
      </c>
      <c r="F166" s="2" t="s">
        <v>17</v>
      </c>
      <c r="G166" s="2" t="s">
        <v>115</v>
      </c>
      <c r="H166" s="3" t="s">
        <v>657</v>
      </c>
      <c r="I166" s="4" t="s">
        <v>14</v>
      </c>
    </row>
    <row r="167" spans="1:9" ht="30" x14ac:dyDescent="0.25">
      <c r="A167" s="9">
        <v>166</v>
      </c>
      <c r="B167" s="10" t="s">
        <v>692</v>
      </c>
      <c r="C167" s="2" t="s">
        <v>693</v>
      </c>
      <c r="D167" s="2" t="s">
        <v>237</v>
      </c>
      <c r="E167" s="2" t="str">
        <f>"24.6358"</f>
        <v>24.6358</v>
      </c>
      <c r="F167" s="2" t="s">
        <v>17</v>
      </c>
      <c r="G167" s="2" t="s">
        <v>238</v>
      </c>
      <c r="H167" s="3" t="s">
        <v>657</v>
      </c>
      <c r="I167" s="4" t="s">
        <v>14</v>
      </c>
    </row>
    <row r="168" spans="1:9" ht="30" x14ac:dyDescent="0.25">
      <c r="A168" s="9">
        <v>167</v>
      </c>
      <c r="B168" s="10" t="s">
        <v>694</v>
      </c>
      <c r="C168" s="2" t="s">
        <v>695</v>
      </c>
      <c r="D168" s="2" t="s">
        <v>691</v>
      </c>
      <c r="E168" s="2" t="str">
        <f>"147.1289"</f>
        <v>147.1289</v>
      </c>
      <c r="F168" s="2" t="s">
        <v>43</v>
      </c>
      <c r="G168" s="2" t="s">
        <v>421</v>
      </c>
      <c r="H168" s="3" t="s">
        <v>657</v>
      </c>
      <c r="I168" s="4" t="s">
        <v>14</v>
      </c>
    </row>
    <row r="169" spans="1:9" ht="30" x14ac:dyDescent="0.25">
      <c r="A169" s="9">
        <v>168</v>
      </c>
      <c r="B169" s="10" t="s">
        <v>696</v>
      </c>
      <c r="C169" s="2" t="s">
        <v>697</v>
      </c>
      <c r="D169" s="2" t="s">
        <v>698</v>
      </c>
      <c r="E169" s="2" t="str">
        <f>"255.8231"</f>
        <v>255.8231</v>
      </c>
      <c r="F169" s="2" t="s">
        <v>86</v>
      </c>
      <c r="G169" s="2" t="s">
        <v>39</v>
      </c>
      <c r="H169" s="3" t="s">
        <v>657</v>
      </c>
      <c r="I169" s="4" t="s">
        <v>14</v>
      </c>
    </row>
    <row r="170" spans="1:9" ht="30" x14ac:dyDescent="0.25">
      <c r="A170" s="9">
        <v>169</v>
      </c>
      <c r="B170" s="10" t="s">
        <v>699</v>
      </c>
      <c r="C170" s="2" t="s">
        <v>699</v>
      </c>
      <c r="D170" s="2" t="s">
        <v>478</v>
      </c>
      <c r="E170" s="2" t="str">
        <f>"13.5236"</f>
        <v>13.5236</v>
      </c>
      <c r="F170" s="2" t="s">
        <v>17</v>
      </c>
      <c r="G170" s="2" t="s">
        <v>700</v>
      </c>
      <c r="H170" s="3" t="s">
        <v>657</v>
      </c>
      <c r="I170" s="4" t="s">
        <v>14</v>
      </c>
    </row>
    <row r="171" spans="1:9" ht="75" x14ac:dyDescent="0.25">
      <c r="A171" s="9">
        <v>170</v>
      </c>
      <c r="B171" s="10" t="s">
        <v>701</v>
      </c>
      <c r="C171" s="2" t="s">
        <v>701</v>
      </c>
      <c r="D171" s="2" t="s">
        <v>702</v>
      </c>
      <c r="E171" s="2" t="str">
        <f>"85.2624"</f>
        <v>85.2624</v>
      </c>
      <c r="F171" s="2" t="s">
        <v>17</v>
      </c>
      <c r="G171" s="2" t="s">
        <v>703</v>
      </c>
      <c r="H171" s="3" t="s">
        <v>657</v>
      </c>
      <c r="I171" s="4" t="s">
        <v>14</v>
      </c>
    </row>
    <row r="172" spans="1:9" ht="30" x14ac:dyDescent="0.25">
      <c r="A172" s="9">
        <v>171</v>
      </c>
      <c r="B172" s="10" t="s">
        <v>704</v>
      </c>
      <c r="C172" s="2" t="s">
        <v>705</v>
      </c>
      <c r="D172" s="2" t="s">
        <v>706</v>
      </c>
      <c r="E172" s="2" t="str">
        <f>"91.5456"</f>
        <v>91.5456</v>
      </c>
      <c r="F172" s="2" t="s">
        <v>86</v>
      </c>
      <c r="G172" s="2" t="s">
        <v>39</v>
      </c>
      <c r="H172" s="3" t="s">
        <v>657</v>
      </c>
      <c r="I172" s="4" t="s">
        <v>14</v>
      </c>
    </row>
    <row r="173" spans="1:9" ht="30" x14ac:dyDescent="0.25">
      <c r="A173" s="9">
        <v>172</v>
      </c>
      <c r="B173" s="10" t="s">
        <v>707</v>
      </c>
      <c r="C173" s="2" t="s">
        <v>708</v>
      </c>
      <c r="D173" s="2" t="s">
        <v>709</v>
      </c>
      <c r="E173" s="2" t="str">
        <f>"93.0331"</f>
        <v>93.0331</v>
      </c>
      <c r="F173" s="2" t="s">
        <v>22</v>
      </c>
      <c r="G173" s="2" t="s">
        <v>186</v>
      </c>
      <c r="H173" s="3" t="s">
        <v>657</v>
      </c>
      <c r="I173" s="4" t="s">
        <v>14</v>
      </c>
    </row>
    <row r="174" spans="1:9" ht="30" x14ac:dyDescent="0.25">
      <c r="A174" s="9">
        <v>173</v>
      </c>
      <c r="B174" s="10" t="s">
        <v>710</v>
      </c>
      <c r="C174" s="2" t="s">
        <v>710</v>
      </c>
      <c r="D174" s="2" t="s">
        <v>691</v>
      </c>
      <c r="E174" s="2" t="str">
        <f>"52.9029"</f>
        <v>52.9029</v>
      </c>
      <c r="F174" s="2" t="s">
        <v>64</v>
      </c>
      <c r="G174" s="2" t="s">
        <v>121</v>
      </c>
      <c r="H174" s="3" t="s">
        <v>657</v>
      </c>
      <c r="I174" s="4" t="s">
        <v>14</v>
      </c>
    </row>
    <row r="175" spans="1:9" ht="30" x14ac:dyDescent="0.25">
      <c r="A175" s="9">
        <v>174</v>
      </c>
      <c r="B175" s="10" t="s">
        <v>711</v>
      </c>
      <c r="C175" s="2" t="s">
        <v>712</v>
      </c>
      <c r="D175" s="2" t="s">
        <v>228</v>
      </c>
      <c r="E175" s="2" t="str">
        <f>"52.5754"</f>
        <v>52.5754</v>
      </c>
      <c r="F175" s="2" t="s">
        <v>17</v>
      </c>
      <c r="G175" s="2" t="s">
        <v>39</v>
      </c>
      <c r="H175" s="3" t="s">
        <v>657</v>
      </c>
      <c r="I175" s="4" t="s">
        <v>14</v>
      </c>
    </row>
    <row r="176" spans="1:9" ht="30" x14ac:dyDescent="0.25">
      <c r="A176" s="9">
        <v>175</v>
      </c>
      <c r="B176" s="10" t="s">
        <v>713</v>
      </c>
      <c r="C176" s="2" t="s">
        <v>713</v>
      </c>
      <c r="D176" s="2" t="s">
        <v>714</v>
      </c>
      <c r="E176" s="2" t="str">
        <f>"24.2009"</f>
        <v>24.2009</v>
      </c>
      <c r="F176" s="2" t="s">
        <v>17</v>
      </c>
      <c r="G176" s="2" t="s">
        <v>39</v>
      </c>
      <c r="H176" s="3" t="s">
        <v>657</v>
      </c>
      <c r="I176" s="4" t="s">
        <v>14</v>
      </c>
    </row>
    <row r="177" spans="1:9" ht="30" x14ac:dyDescent="0.25">
      <c r="A177" s="9">
        <v>176</v>
      </c>
      <c r="B177" s="10" t="s">
        <v>715</v>
      </c>
      <c r="C177" s="2" t="s">
        <v>716</v>
      </c>
      <c r="D177" s="2" t="s">
        <v>717</v>
      </c>
      <c r="E177" s="2" t="str">
        <f>"250.1013"</f>
        <v>250.1013</v>
      </c>
      <c r="F177" s="2" t="s">
        <v>43</v>
      </c>
      <c r="G177" s="2" t="s">
        <v>421</v>
      </c>
      <c r="H177" s="3" t="s">
        <v>657</v>
      </c>
      <c r="I177" s="4" t="s">
        <v>14</v>
      </c>
    </row>
    <row r="178" spans="1:9" x14ac:dyDescent="0.25">
      <c r="A178" s="9">
        <v>177</v>
      </c>
      <c r="B178" s="10" t="s">
        <v>718</v>
      </c>
      <c r="C178" s="2" t="s">
        <v>718</v>
      </c>
      <c r="D178" s="2" t="s">
        <v>719</v>
      </c>
      <c r="E178" s="2" t="str">
        <f>"220.6805"</f>
        <v>220.6805</v>
      </c>
      <c r="F178" s="2" t="s">
        <v>17</v>
      </c>
      <c r="G178" s="2" t="s">
        <v>39</v>
      </c>
      <c r="H178" s="3" t="s">
        <v>720</v>
      </c>
      <c r="I178" s="4" t="s">
        <v>14</v>
      </c>
    </row>
    <row r="179" spans="1:9" ht="30" x14ac:dyDescent="0.25">
      <c r="A179" s="9">
        <v>178</v>
      </c>
      <c r="B179" s="10" t="s">
        <v>721</v>
      </c>
      <c r="C179" s="2" t="s">
        <v>721</v>
      </c>
      <c r="D179" s="2" t="s">
        <v>722</v>
      </c>
      <c r="E179" s="2" t="str">
        <f>"3736.3540"</f>
        <v>3736.3540</v>
      </c>
      <c r="F179" s="2" t="s">
        <v>43</v>
      </c>
      <c r="G179" s="2" t="s">
        <v>39</v>
      </c>
      <c r="H179" s="3" t="s">
        <v>723</v>
      </c>
      <c r="I179" s="4" t="s">
        <v>14</v>
      </c>
    </row>
    <row r="180" spans="1:9" ht="60" x14ac:dyDescent="0.25">
      <c r="A180" s="9">
        <v>179</v>
      </c>
      <c r="B180" s="10" t="s">
        <v>724</v>
      </c>
      <c r="C180" s="2" t="s">
        <v>724</v>
      </c>
      <c r="D180" s="2" t="s">
        <v>725</v>
      </c>
      <c r="E180" s="2" t="str">
        <f>"21.4530"</f>
        <v>21.4530</v>
      </c>
      <c r="F180" s="2" t="s">
        <v>17</v>
      </c>
      <c r="G180" s="2" t="s">
        <v>293</v>
      </c>
      <c r="H180" s="3" t="s">
        <v>726</v>
      </c>
      <c r="I180" s="4" t="s">
        <v>14</v>
      </c>
    </row>
    <row r="181" spans="1:9" ht="45" x14ac:dyDescent="0.25">
      <c r="A181" s="9">
        <v>180</v>
      </c>
      <c r="B181" s="10" t="s">
        <v>727</v>
      </c>
      <c r="C181" s="2" t="s">
        <v>727</v>
      </c>
      <c r="D181" s="2" t="s">
        <v>728</v>
      </c>
      <c r="E181" s="2" t="str">
        <f>"39.7500"</f>
        <v>39.7500</v>
      </c>
      <c r="F181" s="2" t="s">
        <v>17</v>
      </c>
      <c r="G181" s="2" t="s">
        <v>729</v>
      </c>
      <c r="H181" s="3" t="s">
        <v>726</v>
      </c>
      <c r="I181" s="4" t="s">
        <v>14</v>
      </c>
    </row>
    <row r="182" spans="1:9" ht="60" x14ac:dyDescent="0.25">
      <c r="A182" s="9">
        <v>181</v>
      </c>
      <c r="B182" s="10" t="s">
        <v>730</v>
      </c>
      <c r="C182" s="2" t="s">
        <v>730</v>
      </c>
      <c r="D182" s="2" t="s">
        <v>478</v>
      </c>
      <c r="E182" s="2" t="str">
        <f>"1723.2132"</f>
        <v>1723.2132</v>
      </c>
      <c r="F182" s="2" t="s">
        <v>17</v>
      </c>
      <c r="G182" s="2" t="s">
        <v>731</v>
      </c>
      <c r="H182" s="3" t="s">
        <v>732</v>
      </c>
      <c r="I182" s="4" t="s">
        <v>14</v>
      </c>
    </row>
    <row r="183" spans="1:9" ht="75" x14ac:dyDescent="0.25">
      <c r="A183" s="9">
        <v>182</v>
      </c>
      <c r="B183" s="10" t="s">
        <v>733</v>
      </c>
      <c r="C183" s="2" t="s">
        <v>733</v>
      </c>
      <c r="D183" s="2" t="s">
        <v>111</v>
      </c>
      <c r="E183" s="2" t="str">
        <f>"3868.9062"</f>
        <v>3868.9062</v>
      </c>
      <c r="F183" s="2" t="s">
        <v>17</v>
      </c>
      <c r="G183" s="2" t="s">
        <v>734</v>
      </c>
      <c r="H183" s="3" t="s">
        <v>735</v>
      </c>
      <c r="I183" s="4" t="s">
        <v>14</v>
      </c>
    </row>
    <row r="184" spans="1:9" ht="150" x14ac:dyDescent="0.25">
      <c r="A184" s="9">
        <v>183</v>
      </c>
      <c r="B184" s="10" t="s">
        <v>736</v>
      </c>
      <c r="C184" s="2" t="s">
        <v>736</v>
      </c>
      <c r="D184" s="2" t="s">
        <v>123</v>
      </c>
      <c r="E184" s="2" t="str">
        <f>"155.5430"</f>
        <v>155.5430</v>
      </c>
      <c r="F184" s="2" t="s">
        <v>17</v>
      </c>
      <c r="G184" s="2" t="s">
        <v>244</v>
      </c>
      <c r="H184" s="3" t="s">
        <v>735</v>
      </c>
      <c r="I184" s="4" t="s">
        <v>14</v>
      </c>
    </row>
    <row r="185" spans="1:9" ht="210" x14ac:dyDescent="0.25">
      <c r="A185" s="9">
        <v>184</v>
      </c>
      <c r="B185" s="10" t="s">
        <v>737</v>
      </c>
      <c r="C185" s="2" t="s">
        <v>737</v>
      </c>
      <c r="D185" s="2" t="s">
        <v>306</v>
      </c>
      <c r="E185" s="2" t="str">
        <f>"1990.5846"</f>
        <v>1990.5846</v>
      </c>
      <c r="F185" s="2" t="s">
        <v>17</v>
      </c>
      <c r="G185" s="2" t="s">
        <v>124</v>
      </c>
      <c r="H185" s="3" t="s">
        <v>735</v>
      </c>
      <c r="I185" s="4" t="s">
        <v>14</v>
      </c>
    </row>
    <row r="186" spans="1:9" ht="75" x14ac:dyDescent="0.25">
      <c r="A186" s="9">
        <v>185</v>
      </c>
      <c r="B186" s="10" t="s">
        <v>738</v>
      </c>
      <c r="C186" s="2" t="s">
        <v>738</v>
      </c>
      <c r="D186" s="2" t="s">
        <v>111</v>
      </c>
      <c r="E186" s="2" t="str">
        <f>"4905.0094"</f>
        <v>4905.0094</v>
      </c>
      <c r="F186" s="2" t="s">
        <v>17</v>
      </c>
      <c r="G186" s="2" t="s">
        <v>739</v>
      </c>
      <c r="H186" s="3" t="s">
        <v>735</v>
      </c>
      <c r="I186" s="4" t="s">
        <v>14</v>
      </c>
    </row>
    <row r="187" spans="1:9" ht="180" x14ac:dyDescent="0.25">
      <c r="A187" s="9">
        <v>186</v>
      </c>
      <c r="B187" s="10" t="s">
        <v>740</v>
      </c>
      <c r="C187" s="2" t="s">
        <v>740</v>
      </c>
      <c r="D187" s="2" t="s">
        <v>123</v>
      </c>
      <c r="E187" s="2" t="str">
        <f>"1984.1132"</f>
        <v>1984.1132</v>
      </c>
      <c r="F187" s="2" t="s">
        <v>17</v>
      </c>
      <c r="G187" s="2" t="s">
        <v>741</v>
      </c>
      <c r="H187" s="3" t="s">
        <v>735</v>
      </c>
      <c r="I187" s="4" t="s">
        <v>14</v>
      </c>
    </row>
    <row r="188" spans="1:9" ht="150" x14ac:dyDescent="0.25">
      <c r="A188" s="9">
        <v>187</v>
      </c>
      <c r="B188" s="10" t="s">
        <v>742</v>
      </c>
      <c r="C188" s="2" t="s">
        <v>742</v>
      </c>
      <c r="D188" s="2" t="s">
        <v>123</v>
      </c>
      <c r="E188" s="2" t="str">
        <f>"1977.4008"</f>
        <v>1977.4008</v>
      </c>
      <c r="F188" s="2" t="s">
        <v>17</v>
      </c>
      <c r="G188" s="2" t="s">
        <v>244</v>
      </c>
      <c r="H188" s="3" t="s">
        <v>735</v>
      </c>
      <c r="I188" s="4" t="s">
        <v>14</v>
      </c>
    </row>
    <row r="189" spans="1:9" x14ac:dyDescent="0.25">
      <c r="A189" s="9">
        <v>188</v>
      </c>
      <c r="B189" s="10" t="s">
        <v>743</v>
      </c>
      <c r="C189" s="2" t="s">
        <v>744</v>
      </c>
      <c r="D189" s="2" t="s">
        <v>745</v>
      </c>
      <c r="E189" s="2" t="str">
        <f>"40.0610"</f>
        <v>40.0610</v>
      </c>
      <c r="F189" s="2" t="s">
        <v>746</v>
      </c>
      <c r="G189" s="2" t="s">
        <v>36</v>
      </c>
      <c r="H189" s="3" t="s">
        <v>735</v>
      </c>
      <c r="I189" s="4" t="s">
        <v>14</v>
      </c>
    </row>
    <row r="190" spans="1:9" ht="150" x14ac:dyDescent="0.25">
      <c r="A190" s="9">
        <v>189</v>
      </c>
      <c r="B190" s="10" t="s">
        <v>747</v>
      </c>
      <c r="C190" s="2" t="s">
        <v>747</v>
      </c>
      <c r="D190" s="2" t="s">
        <v>123</v>
      </c>
      <c r="E190" s="2" t="str">
        <f>"1838.5156"</f>
        <v>1838.5156</v>
      </c>
      <c r="F190" s="2" t="s">
        <v>17</v>
      </c>
      <c r="G190" s="2" t="s">
        <v>244</v>
      </c>
      <c r="H190" s="3" t="s">
        <v>735</v>
      </c>
      <c r="I190" s="4" t="s">
        <v>14</v>
      </c>
    </row>
    <row r="191" spans="1:9" ht="150" x14ac:dyDescent="0.25">
      <c r="A191" s="9">
        <v>190</v>
      </c>
      <c r="B191" s="10" t="s">
        <v>748</v>
      </c>
      <c r="C191" s="2" t="s">
        <v>748</v>
      </c>
      <c r="D191" s="2" t="s">
        <v>123</v>
      </c>
      <c r="E191" s="2" t="str">
        <f>"1676.2435"</f>
        <v>1676.2435</v>
      </c>
      <c r="F191" s="2" t="s">
        <v>17</v>
      </c>
      <c r="G191" s="2" t="s">
        <v>244</v>
      </c>
      <c r="H191" s="3" t="s">
        <v>735</v>
      </c>
      <c r="I191" s="4" t="s">
        <v>14</v>
      </c>
    </row>
    <row r="192" spans="1:9" ht="30" x14ac:dyDescent="0.25">
      <c r="A192" s="9">
        <v>191</v>
      </c>
      <c r="B192" s="10" t="s">
        <v>749</v>
      </c>
      <c r="C192" s="2" t="s">
        <v>750</v>
      </c>
      <c r="D192" s="2" t="s">
        <v>751</v>
      </c>
      <c r="E192" s="2" t="str">
        <f>"467.9880"</f>
        <v>467.9880</v>
      </c>
      <c r="F192" s="2" t="s">
        <v>64</v>
      </c>
      <c r="G192" s="2" t="s">
        <v>421</v>
      </c>
      <c r="H192" s="3" t="s">
        <v>735</v>
      </c>
      <c r="I192" s="4" t="s">
        <v>14</v>
      </c>
    </row>
    <row r="193" spans="1:9" ht="75" x14ac:dyDescent="0.25">
      <c r="A193" s="9">
        <v>192</v>
      </c>
      <c r="B193" s="10" t="s">
        <v>752</v>
      </c>
      <c r="C193" s="2" t="s">
        <v>752</v>
      </c>
      <c r="D193" s="2" t="s">
        <v>306</v>
      </c>
      <c r="E193" s="2" t="str">
        <f>"4998.8510"</f>
        <v>4998.8510</v>
      </c>
      <c r="F193" s="2" t="s">
        <v>17</v>
      </c>
      <c r="G193" s="2" t="s">
        <v>734</v>
      </c>
      <c r="H193" s="3" t="s">
        <v>735</v>
      </c>
      <c r="I193" s="4" t="s">
        <v>14</v>
      </c>
    </row>
    <row r="194" spans="1:9" x14ac:dyDescent="0.25">
      <c r="A194" s="9">
        <v>193</v>
      </c>
      <c r="B194" s="10" t="s">
        <v>753</v>
      </c>
      <c r="C194" s="2" t="s">
        <v>754</v>
      </c>
      <c r="D194" s="2" t="s">
        <v>745</v>
      </c>
      <c r="E194" s="2" t="str">
        <f>"29.8613"</f>
        <v>29.8613</v>
      </c>
      <c r="F194" s="2" t="s">
        <v>746</v>
      </c>
      <c r="G194" s="2" t="s">
        <v>36</v>
      </c>
      <c r="H194" s="3" t="s">
        <v>735</v>
      </c>
      <c r="I194" s="4" t="s">
        <v>14</v>
      </c>
    </row>
    <row r="195" spans="1:9" x14ac:dyDescent="0.25">
      <c r="A195" s="9">
        <v>194</v>
      </c>
      <c r="B195" s="10" t="s">
        <v>755</v>
      </c>
      <c r="C195" s="2" t="s">
        <v>755</v>
      </c>
      <c r="D195" s="2" t="s">
        <v>105</v>
      </c>
      <c r="E195" s="2" t="str">
        <f>"49.9877"</f>
        <v>49.9877</v>
      </c>
      <c r="F195" s="2" t="s">
        <v>17</v>
      </c>
      <c r="G195" s="2" t="s">
        <v>121</v>
      </c>
      <c r="H195" s="3" t="s">
        <v>735</v>
      </c>
      <c r="I195" s="4" t="s">
        <v>14</v>
      </c>
    </row>
    <row r="196" spans="1:9" x14ac:dyDescent="0.25">
      <c r="A196" s="9">
        <v>195</v>
      </c>
      <c r="B196" s="10" t="s">
        <v>756</v>
      </c>
      <c r="C196" s="2" t="s">
        <v>756</v>
      </c>
      <c r="D196" s="2" t="s">
        <v>757</v>
      </c>
      <c r="E196" s="2" t="str">
        <f>"102.0638"</f>
        <v>102.0638</v>
      </c>
      <c r="F196" s="2" t="s">
        <v>17</v>
      </c>
      <c r="G196" s="2" t="s">
        <v>115</v>
      </c>
      <c r="H196" s="3" t="s">
        <v>735</v>
      </c>
      <c r="I196" s="4" t="s">
        <v>14</v>
      </c>
    </row>
    <row r="197" spans="1:9" x14ac:dyDescent="0.25">
      <c r="A197" s="9">
        <v>196</v>
      </c>
      <c r="B197" s="10" t="s">
        <v>758</v>
      </c>
      <c r="C197" s="2" t="s">
        <v>759</v>
      </c>
      <c r="D197" s="2" t="s">
        <v>745</v>
      </c>
      <c r="E197" s="2" t="str">
        <f>"29.9257"</f>
        <v>29.9257</v>
      </c>
      <c r="F197" s="2" t="s">
        <v>746</v>
      </c>
      <c r="G197" s="2" t="s">
        <v>36</v>
      </c>
      <c r="H197" s="3" t="s">
        <v>735</v>
      </c>
      <c r="I197" s="4" t="s">
        <v>14</v>
      </c>
    </row>
    <row r="198" spans="1:9" x14ac:dyDescent="0.25">
      <c r="A198" s="9">
        <v>197</v>
      </c>
      <c r="B198" s="10" t="s">
        <v>760</v>
      </c>
      <c r="C198" s="2" t="s">
        <v>760</v>
      </c>
      <c r="D198" s="2" t="s">
        <v>114</v>
      </c>
      <c r="E198" s="2" t="str">
        <f>"781.0981"</f>
        <v>781.0981</v>
      </c>
      <c r="F198" s="2" t="s">
        <v>17</v>
      </c>
      <c r="G198" s="2" t="s">
        <v>238</v>
      </c>
      <c r="H198" s="3" t="s">
        <v>735</v>
      </c>
      <c r="I198" s="4" t="s">
        <v>14</v>
      </c>
    </row>
    <row r="199" spans="1:9" ht="60" x14ac:dyDescent="0.25">
      <c r="A199" s="9">
        <v>198</v>
      </c>
      <c r="B199" s="10" t="s">
        <v>761</v>
      </c>
      <c r="C199" s="2" t="s">
        <v>761</v>
      </c>
      <c r="D199" s="2" t="s">
        <v>111</v>
      </c>
      <c r="E199" s="2" t="str">
        <f>"4249.5260"</f>
        <v>4249.5260</v>
      </c>
      <c r="F199" s="2" t="s">
        <v>17</v>
      </c>
      <c r="G199" s="2" t="s">
        <v>762</v>
      </c>
      <c r="H199" s="3" t="s">
        <v>735</v>
      </c>
      <c r="I199" s="4" t="s">
        <v>14</v>
      </c>
    </row>
    <row r="200" spans="1:9" ht="75" x14ac:dyDescent="0.25">
      <c r="A200" s="9">
        <v>199</v>
      </c>
      <c r="B200" s="10" t="s">
        <v>763</v>
      </c>
      <c r="C200" s="2" t="s">
        <v>763</v>
      </c>
      <c r="D200" s="2" t="s">
        <v>111</v>
      </c>
      <c r="E200" s="2" t="str">
        <f>"9996.5002"</f>
        <v>9996.5002</v>
      </c>
      <c r="F200" s="2" t="s">
        <v>17</v>
      </c>
      <c r="G200" s="2" t="s">
        <v>734</v>
      </c>
      <c r="H200" s="3" t="s">
        <v>735</v>
      </c>
      <c r="I200" s="4" t="s">
        <v>14</v>
      </c>
    </row>
    <row r="201" spans="1:9" x14ac:dyDescent="0.25">
      <c r="A201" s="9">
        <v>200</v>
      </c>
      <c r="B201" s="10" t="s">
        <v>764</v>
      </c>
      <c r="C201" s="2" t="s">
        <v>765</v>
      </c>
      <c r="D201" s="2" t="s">
        <v>105</v>
      </c>
      <c r="E201" s="2" t="str">
        <f>"98.0715"</f>
        <v>98.0715</v>
      </c>
      <c r="F201" s="2" t="s">
        <v>22</v>
      </c>
      <c r="G201" s="2" t="s">
        <v>421</v>
      </c>
      <c r="H201" s="3" t="s">
        <v>735</v>
      </c>
      <c r="I201" s="4" t="s">
        <v>14</v>
      </c>
    </row>
    <row r="202" spans="1:9" x14ac:dyDescent="0.25">
      <c r="A202" s="9">
        <v>201</v>
      </c>
      <c r="B202" s="10" t="s">
        <v>766</v>
      </c>
      <c r="C202" s="2" t="s">
        <v>767</v>
      </c>
      <c r="D202" s="2" t="s">
        <v>745</v>
      </c>
      <c r="E202" s="2" t="str">
        <f>"18.7506"</f>
        <v>18.7506</v>
      </c>
      <c r="F202" s="2" t="s">
        <v>746</v>
      </c>
      <c r="G202" s="2" t="s">
        <v>36</v>
      </c>
      <c r="H202" s="3" t="s">
        <v>735</v>
      </c>
      <c r="I202" s="4" t="s">
        <v>14</v>
      </c>
    </row>
    <row r="203" spans="1:9" x14ac:dyDescent="0.25">
      <c r="A203" s="9">
        <v>202</v>
      </c>
      <c r="B203" s="10" t="s">
        <v>768</v>
      </c>
      <c r="C203" s="2" t="s">
        <v>769</v>
      </c>
      <c r="D203" s="2" t="s">
        <v>770</v>
      </c>
      <c r="E203" s="2" t="str">
        <f>"100.1036"</f>
        <v>100.1036</v>
      </c>
      <c r="F203" s="2" t="s">
        <v>22</v>
      </c>
      <c r="G203" s="2" t="s">
        <v>121</v>
      </c>
      <c r="H203" s="3" t="s">
        <v>771</v>
      </c>
      <c r="I203" s="4" t="s">
        <v>14</v>
      </c>
    </row>
    <row r="204" spans="1:9" x14ac:dyDescent="0.25">
      <c r="A204" s="9">
        <v>203</v>
      </c>
      <c r="B204" s="10" t="s">
        <v>772</v>
      </c>
      <c r="C204" s="2" t="s">
        <v>773</v>
      </c>
      <c r="D204" s="2" t="s">
        <v>396</v>
      </c>
      <c r="E204" s="2" t="str">
        <f>"901.0783"</f>
        <v>901.0783</v>
      </c>
      <c r="F204" s="2" t="s">
        <v>64</v>
      </c>
      <c r="G204" s="2" t="s">
        <v>774</v>
      </c>
      <c r="H204" s="3" t="s">
        <v>775</v>
      </c>
      <c r="I204" s="4" t="s">
        <v>14</v>
      </c>
    </row>
    <row r="205" spans="1:9" ht="45" x14ac:dyDescent="0.25">
      <c r="A205" s="9">
        <v>204</v>
      </c>
      <c r="B205" s="10" t="s">
        <v>776</v>
      </c>
      <c r="C205" s="2" t="s">
        <v>776</v>
      </c>
      <c r="D205" s="2" t="s">
        <v>111</v>
      </c>
      <c r="E205" s="2" t="str">
        <f>"9943.8833"</f>
        <v>9943.8833</v>
      </c>
      <c r="F205" s="2" t="s">
        <v>17</v>
      </c>
      <c r="G205" s="2" t="s">
        <v>777</v>
      </c>
      <c r="H205" s="3" t="s">
        <v>778</v>
      </c>
      <c r="I205" s="4" t="s">
        <v>14</v>
      </c>
    </row>
    <row r="206" spans="1:9" ht="105" x14ac:dyDescent="0.25">
      <c r="A206" s="9">
        <v>205</v>
      </c>
      <c r="B206" s="10" t="s">
        <v>779</v>
      </c>
      <c r="C206" s="2" t="s">
        <v>779</v>
      </c>
      <c r="D206" s="2" t="s">
        <v>123</v>
      </c>
      <c r="E206" s="2" t="str">
        <f>"4241.5656"</f>
        <v>4241.5656</v>
      </c>
      <c r="F206" s="2" t="s">
        <v>17</v>
      </c>
      <c r="G206" s="2" t="s">
        <v>311</v>
      </c>
      <c r="H206" s="3" t="s">
        <v>778</v>
      </c>
      <c r="I206" s="4" t="s">
        <v>14</v>
      </c>
    </row>
    <row r="207" spans="1:9" ht="30" x14ac:dyDescent="0.25">
      <c r="A207" s="9">
        <v>206</v>
      </c>
      <c r="B207" s="10" t="s">
        <v>780</v>
      </c>
      <c r="C207" s="2" t="s">
        <v>780</v>
      </c>
      <c r="D207" s="2" t="s">
        <v>781</v>
      </c>
      <c r="E207" s="2" t="str">
        <f>"103.0854"</f>
        <v>103.0854</v>
      </c>
      <c r="F207" s="2" t="s">
        <v>782</v>
      </c>
      <c r="G207" s="2" t="s">
        <v>783</v>
      </c>
      <c r="H207" s="3" t="s">
        <v>784</v>
      </c>
      <c r="I207" s="4" t="s">
        <v>14</v>
      </c>
    </row>
    <row r="208" spans="1:9" x14ac:dyDescent="0.25">
      <c r="A208" s="9">
        <v>207</v>
      </c>
      <c r="B208" s="10" t="s">
        <v>785</v>
      </c>
      <c r="C208" s="2" t="s">
        <v>786</v>
      </c>
      <c r="D208" s="2" t="s">
        <v>21</v>
      </c>
      <c r="E208" s="2" t="str">
        <f>"30.0004"</f>
        <v>30.0004</v>
      </c>
      <c r="F208" s="2" t="s">
        <v>17</v>
      </c>
      <c r="G208" s="2" t="s">
        <v>18</v>
      </c>
      <c r="H208" s="3" t="s">
        <v>784</v>
      </c>
      <c r="I208" s="4" t="s">
        <v>14</v>
      </c>
    </row>
    <row r="209" spans="1:9" ht="60" x14ac:dyDescent="0.25">
      <c r="A209" s="9">
        <v>208</v>
      </c>
      <c r="B209" s="10" t="s">
        <v>787</v>
      </c>
      <c r="C209" s="2" t="s">
        <v>787</v>
      </c>
      <c r="D209" s="2" t="s">
        <v>267</v>
      </c>
      <c r="E209" s="2" t="str">
        <f>"60.2865"</f>
        <v>60.2865</v>
      </c>
      <c r="F209" s="2" t="s">
        <v>17</v>
      </c>
      <c r="G209" s="2" t="s">
        <v>112</v>
      </c>
      <c r="H209" s="3" t="s">
        <v>784</v>
      </c>
      <c r="I209" s="4" t="s">
        <v>14</v>
      </c>
    </row>
    <row r="210" spans="1:9" ht="30" x14ac:dyDescent="0.25">
      <c r="A210" s="9">
        <v>209</v>
      </c>
      <c r="B210" s="10" t="s">
        <v>788</v>
      </c>
      <c r="C210" s="2" t="s">
        <v>789</v>
      </c>
      <c r="D210" s="2" t="s">
        <v>790</v>
      </c>
      <c r="E210" s="2" t="str">
        <f>"135.6806"</f>
        <v>135.6806</v>
      </c>
      <c r="F210" s="2" t="s">
        <v>17</v>
      </c>
      <c r="G210" s="2" t="s">
        <v>131</v>
      </c>
      <c r="H210" s="3" t="s">
        <v>784</v>
      </c>
      <c r="I210" s="4" t="s">
        <v>14</v>
      </c>
    </row>
    <row r="211" spans="1:9" ht="30" x14ac:dyDescent="0.25">
      <c r="A211" s="9">
        <v>210</v>
      </c>
      <c r="B211" s="10" t="s">
        <v>791</v>
      </c>
      <c r="C211" s="2" t="s">
        <v>792</v>
      </c>
      <c r="D211" s="2" t="s">
        <v>270</v>
      </c>
      <c r="E211" s="2" t="str">
        <f>"317.2475"</f>
        <v>317.2475</v>
      </c>
      <c r="F211" s="2" t="s">
        <v>64</v>
      </c>
      <c r="G211" s="2" t="s">
        <v>447</v>
      </c>
      <c r="H211" s="3" t="s">
        <v>793</v>
      </c>
      <c r="I211" s="4" t="s">
        <v>14</v>
      </c>
    </row>
    <row r="212" spans="1:9" ht="30" x14ac:dyDescent="0.25">
      <c r="A212" s="9">
        <v>211</v>
      </c>
      <c r="B212" s="10" t="s">
        <v>794</v>
      </c>
      <c r="C212" s="2" t="s">
        <v>795</v>
      </c>
      <c r="D212" s="2" t="s">
        <v>270</v>
      </c>
      <c r="E212" s="2" t="str">
        <f>"569.8762"</f>
        <v>569.8762</v>
      </c>
      <c r="F212" s="2" t="s">
        <v>17</v>
      </c>
      <c r="G212" s="2" t="s">
        <v>115</v>
      </c>
      <c r="H212" s="3" t="s">
        <v>793</v>
      </c>
      <c r="I212" s="4" t="s">
        <v>14</v>
      </c>
    </row>
    <row r="213" spans="1:9" ht="30" x14ac:dyDescent="0.25">
      <c r="A213" s="9">
        <v>212</v>
      </c>
      <c r="B213" s="10" t="s">
        <v>796</v>
      </c>
      <c r="C213" s="2" t="s">
        <v>797</v>
      </c>
      <c r="D213" s="2" t="s">
        <v>270</v>
      </c>
      <c r="E213" s="2" t="str">
        <f>"60.3398"</f>
        <v>60.3398</v>
      </c>
      <c r="F213" s="2" t="s">
        <v>22</v>
      </c>
      <c r="G213" s="2" t="s">
        <v>131</v>
      </c>
      <c r="H213" s="3" t="s">
        <v>793</v>
      </c>
      <c r="I213" s="4" t="s">
        <v>14</v>
      </c>
    </row>
    <row r="214" spans="1:9" ht="60" x14ac:dyDescent="0.25">
      <c r="A214" s="9">
        <v>213</v>
      </c>
      <c r="B214" s="10" t="s">
        <v>798</v>
      </c>
      <c r="C214" s="2" t="s">
        <v>798</v>
      </c>
      <c r="D214" s="2" t="s">
        <v>111</v>
      </c>
      <c r="E214" s="2" t="str">
        <f>"284.0002"</f>
        <v>284.0002</v>
      </c>
      <c r="F214" s="2" t="s">
        <v>17</v>
      </c>
      <c r="G214" s="2" t="s">
        <v>153</v>
      </c>
      <c r="H214" s="3" t="s">
        <v>793</v>
      </c>
      <c r="I214" s="4" t="s">
        <v>14</v>
      </c>
    </row>
    <row r="215" spans="1:9" ht="45" x14ac:dyDescent="0.25">
      <c r="A215" s="9">
        <v>214</v>
      </c>
      <c r="B215" s="10" t="s">
        <v>799</v>
      </c>
      <c r="C215" s="2" t="s">
        <v>799</v>
      </c>
      <c r="D215" s="2" t="s">
        <v>333</v>
      </c>
      <c r="E215" s="2" t="str">
        <f>"118.0845"</f>
        <v>118.0845</v>
      </c>
      <c r="F215" s="2" t="s">
        <v>17</v>
      </c>
      <c r="G215" s="2" t="s">
        <v>627</v>
      </c>
      <c r="H215" s="3" t="s">
        <v>793</v>
      </c>
      <c r="I215" s="4" t="s">
        <v>14</v>
      </c>
    </row>
    <row r="216" spans="1:9" ht="30" x14ac:dyDescent="0.25">
      <c r="A216" s="9">
        <v>215</v>
      </c>
      <c r="B216" s="10" t="s">
        <v>800</v>
      </c>
      <c r="C216" s="2" t="s">
        <v>801</v>
      </c>
      <c r="D216" s="2" t="s">
        <v>270</v>
      </c>
      <c r="E216" s="2" t="str">
        <f>"23.4963"</f>
        <v>23.4963</v>
      </c>
      <c r="F216" s="2" t="s">
        <v>17</v>
      </c>
      <c r="G216" s="2" t="s">
        <v>238</v>
      </c>
      <c r="H216" s="3" t="s">
        <v>793</v>
      </c>
      <c r="I216" s="4" t="s">
        <v>14</v>
      </c>
    </row>
    <row r="217" spans="1:9" ht="30" x14ac:dyDescent="0.25">
      <c r="A217" s="9">
        <v>216</v>
      </c>
      <c r="B217" s="10" t="s">
        <v>802</v>
      </c>
      <c r="C217" s="2" t="s">
        <v>802</v>
      </c>
      <c r="D217" s="2" t="s">
        <v>478</v>
      </c>
      <c r="E217" s="2" t="str">
        <f>"99.2030"</f>
        <v>99.2030</v>
      </c>
      <c r="F217" s="2" t="s">
        <v>17</v>
      </c>
      <c r="G217" s="2" t="s">
        <v>409</v>
      </c>
      <c r="H217" s="3" t="s">
        <v>793</v>
      </c>
      <c r="I217" s="4" t="s">
        <v>14</v>
      </c>
    </row>
    <row r="218" spans="1:9" ht="30" x14ac:dyDescent="0.25">
      <c r="A218" s="9">
        <v>217</v>
      </c>
      <c r="B218" s="10" t="s">
        <v>803</v>
      </c>
      <c r="C218" s="2" t="s">
        <v>803</v>
      </c>
      <c r="D218" s="2" t="s">
        <v>111</v>
      </c>
      <c r="E218" s="2" t="str">
        <f>"89.2578"</f>
        <v>89.2578</v>
      </c>
      <c r="F218" s="2" t="s">
        <v>17</v>
      </c>
      <c r="G218" s="2" t="s">
        <v>115</v>
      </c>
      <c r="H218" s="3" t="s">
        <v>793</v>
      </c>
      <c r="I218" s="4" t="s">
        <v>14</v>
      </c>
    </row>
    <row r="219" spans="1:9" ht="30" x14ac:dyDescent="0.25">
      <c r="A219" s="9">
        <v>218</v>
      </c>
      <c r="B219" s="10" t="s">
        <v>804</v>
      </c>
      <c r="C219" s="2" t="s">
        <v>805</v>
      </c>
      <c r="D219" s="2" t="s">
        <v>270</v>
      </c>
      <c r="E219" s="2" t="str">
        <f>"100.0070"</f>
        <v>100.0070</v>
      </c>
      <c r="F219" s="2" t="s">
        <v>22</v>
      </c>
      <c r="G219" s="2" t="s">
        <v>131</v>
      </c>
      <c r="H219" s="3" t="s">
        <v>793</v>
      </c>
      <c r="I219" s="4" t="s">
        <v>14</v>
      </c>
    </row>
    <row r="220" spans="1:9" x14ac:dyDescent="0.25">
      <c r="A220" s="9">
        <v>219</v>
      </c>
      <c r="B220" s="10" t="s">
        <v>806</v>
      </c>
      <c r="C220" s="2" t="s">
        <v>806</v>
      </c>
      <c r="D220" s="2" t="s">
        <v>807</v>
      </c>
      <c r="E220" s="2" t="str">
        <f>"57.9393"</f>
        <v>57.9393</v>
      </c>
      <c r="F220" s="2" t="s">
        <v>43</v>
      </c>
      <c r="G220" s="2" t="s">
        <v>39</v>
      </c>
      <c r="H220" s="3" t="s">
        <v>808</v>
      </c>
      <c r="I220" s="9" t="s">
        <v>14</v>
      </c>
    </row>
    <row r="221" spans="1:9" x14ac:dyDescent="0.25">
      <c r="A221" s="9">
        <v>220</v>
      </c>
      <c r="B221" s="10" t="s">
        <v>809</v>
      </c>
      <c r="C221" s="2" t="s">
        <v>809</v>
      </c>
      <c r="D221" s="2" t="s">
        <v>810</v>
      </c>
      <c r="E221" s="2" t="str">
        <f>"5.7262"</f>
        <v>5.7262</v>
      </c>
      <c r="F221" s="2" t="s">
        <v>17</v>
      </c>
      <c r="G221" s="2" t="s">
        <v>39</v>
      </c>
      <c r="H221" s="3" t="s">
        <v>808</v>
      </c>
      <c r="I221" s="9" t="s">
        <v>14</v>
      </c>
    </row>
    <row r="222" spans="1:9" ht="45" x14ac:dyDescent="0.25">
      <c r="A222" s="9">
        <v>221</v>
      </c>
      <c r="B222" s="10" t="s">
        <v>811</v>
      </c>
      <c r="C222" s="2" t="s">
        <v>811</v>
      </c>
      <c r="D222" s="2" t="s">
        <v>812</v>
      </c>
      <c r="E222" s="2" t="str">
        <f>"30.8820"</f>
        <v>30.8820</v>
      </c>
      <c r="F222" s="2" t="s">
        <v>43</v>
      </c>
      <c r="G222" s="2" t="s">
        <v>39</v>
      </c>
      <c r="H222" s="3" t="s">
        <v>808</v>
      </c>
      <c r="I222" s="9" t="s">
        <v>14</v>
      </c>
    </row>
    <row r="223" spans="1:9" ht="30" x14ac:dyDescent="0.25">
      <c r="A223" s="9">
        <v>222</v>
      </c>
      <c r="B223" s="10" t="s">
        <v>813</v>
      </c>
      <c r="C223" s="2" t="s">
        <v>814</v>
      </c>
      <c r="D223" s="2" t="s">
        <v>289</v>
      </c>
      <c r="E223" s="2" t="str">
        <f>"54.5808"</f>
        <v>54.5808</v>
      </c>
      <c r="F223" s="2" t="s">
        <v>17</v>
      </c>
      <c r="G223" s="2" t="s">
        <v>39</v>
      </c>
      <c r="H223" s="3" t="s">
        <v>815</v>
      </c>
      <c r="I223" s="4" t="s">
        <v>14</v>
      </c>
    </row>
    <row r="224" spans="1:9" x14ac:dyDescent="0.25">
      <c r="A224" s="9">
        <v>223</v>
      </c>
      <c r="B224" s="10" t="s">
        <v>816</v>
      </c>
      <c r="C224" s="2" t="s">
        <v>816</v>
      </c>
      <c r="D224" s="2" t="s">
        <v>817</v>
      </c>
      <c r="E224" s="2" t="str">
        <f>"231.4969"</f>
        <v>231.4969</v>
      </c>
      <c r="F224" s="2" t="s">
        <v>17</v>
      </c>
      <c r="G224" s="2" t="s">
        <v>39</v>
      </c>
      <c r="H224" s="3" t="s">
        <v>815</v>
      </c>
      <c r="I224" s="4" t="s">
        <v>14</v>
      </c>
    </row>
    <row r="225" spans="1:9" x14ac:dyDescent="0.25">
      <c r="A225" s="9">
        <v>224</v>
      </c>
      <c r="B225" s="10" t="s">
        <v>829</v>
      </c>
      <c r="C225" s="2" t="s">
        <v>830</v>
      </c>
      <c r="D225" s="2" t="s">
        <v>350</v>
      </c>
      <c r="E225" s="2" t="str">
        <f>"366.6600"</f>
        <v>366.6600</v>
      </c>
      <c r="F225" s="2" t="s">
        <v>64</v>
      </c>
      <c r="G225" s="2" t="s">
        <v>831</v>
      </c>
      <c r="H225" s="3" t="s">
        <v>832</v>
      </c>
      <c r="I225" s="4" t="s">
        <v>833</v>
      </c>
    </row>
    <row r="226" spans="1:9" ht="60" x14ac:dyDescent="0.25">
      <c r="A226" s="9">
        <v>225</v>
      </c>
      <c r="B226" s="10" t="s">
        <v>834</v>
      </c>
      <c r="C226" s="2" t="s">
        <v>834</v>
      </c>
      <c r="D226" s="2" t="s">
        <v>404</v>
      </c>
      <c r="E226" s="2" t="str">
        <f>"1970.3507"</f>
        <v>1970.3507</v>
      </c>
      <c r="F226" s="2" t="s">
        <v>17</v>
      </c>
      <c r="G226" s="2" t="s">
        <v>153</v>
      </c>
      <c r="H226" s="3" t="s">
        <v>835</v>
      </c>
      <c r="I226" s="4" t="s">
        <v>833</v>
      </c>
    </row>
    <row r="227" spans="1:9" ht="30" x14ac:dyDescent="0.25">
      <c r="A227" s="9">
        <v>226</v>
      </c>
      <c r="B227" s="10" t="s">
        <v>836</v>
      </c>
      <c r="C227" s="2" t="s">
        <v>837</v>
      </c>
      <c r="D227" s="2" t="s">
        <v>838</v>
      </c>
      <c r="E227" s="2" t="str">
        <f>"1962.8150"</f>
        <v>1962.8150</v>
      </c>
      <c r="F227" s="2" t="s">
        <v>43</v>
      </c>
      <c r="G227" s="2" t="s">
        <v>53</v>
      </c>
      <c r="H227" s="3" t="s">
        <v>839</v>
      </c>
      <c r="I227" s="4" t="s">
        <v>833</v>
      </c>
    </row>
    <row r="228" spans="1:9" ht="45" x14ac:dyDescent="0.25">
      <c r="A228" s="9">
        <v>227</v>
      </c>
      <c r="B228" s="10" t="s">
        <v>840</v>
      </c>
      <c r="C228" s="2" t="s">
        <v>841</v>
      </c>
      <c r="D228" s="2" t="s">
        <v>842</v>
      </c>
      <c r="E228" s="2" t="str">
        <f>"100.0000"</f>
        <v>100.0000</v>
      </c>
      <c r="F228" s="2" t="s">
        <v>17</v>
      </c>
      <c r="G228" s="2" t="s">
        <v>53</v>
      </c>
      <c r="H228" s="3" t="s">
        <v>835</v>
      </c>
      <c r="I228" s="4" t="s">
        <v>833</v>
      </c>
    </row>
    <row r="229" spans="1:9" ht="30" x14ac:dyDescent="0.25">
      <c r="A229" s="9">
        <v>228</v>
      </c>
      <c r="B229" s="10" t="s">
        <v>843</v>
      </c>
      <c r="C229" s="2" t="s">
        <v>844</v>
      </c>
      <c r="D229" s="2" t="s">
        <v>845</v>
      </c>
      <c r="E229" s="2" t="str">
        <f>"250.0000"</f>
        <v>250.0000</v>
      </c>
      <c r="F229" s="2" t="s">
        <v>43</v>
      </c>
      <c r="G229" s="2" t="s">
        <v>846</v>
      </c>
      <c r="H229" s="3" t="s">
        <v>832</v>
      </c>
      <c r="I229" s="4" t="s">
        <v>833</v>
      </c>
    </row>
    <row r="230" spans="1:9" x14ac:dyDescent="0.25">
      <c r="A230" s="9">
        <v>229</v>
      </c>
      <c r="B230" s="10" t="s">
        <v>847</v>
      </c>
      <c r="C230" s="2" t="s">
        <v>848</v>
      </c>
      <c r="D230" s="2" t="s">
        <v>849</v>
      </c>
      <c r="E230" s="2" t="str">
        <f>"894.0388"</f>
        <v>894.0388</v>
      </c>
      <c r="F230" s="2" t="s">
        <v>64</v>
      </c>
      <c r="G230" s="2" t="s">
        <v>534</v>
      </c>
      <c r="H230" s="3" t="s">
        <v>850</v>
      </c>
      <c r="I230" s="4" t="s">
        <v>833</v>
      </c>
    </row>
    <row r="231" spans="1:9" ht="30" x14ac:dyDescent="0.25">
      <c r="A231" s="9">
        <v>230</v>
      </c>
      <c r="B231" s="10" t="s">
        <v>851</v>
      </c>
      <c r="C231" s="2" t="s">
        <v>852</v>
      </c>
      <c r="D231" s="2" t="s">
        <v>853</v>
      </c>
      <c r="E231" s="2" t="str">
        <f>"875.1600"</f>
        <v>875.1600</v>
      </c>
      <c r="F231" s="2" t="s">
        <v>43</v>
      </c>
      <c r="G231" s="2" t="s">
        <v>854</v>
      </c>
      <c r="H231" s="3" t="s">
        <v>855</v>
      </c>
      <c r="I231" s="4" t="s">
        <v>340</v>
      </c>
    </row>
    <row r="232" spans="1:9" ht="30" x14ac:dyDescent="0.25">
      <c r="A232" s="9">
        <v>231</v>
      </c>
      <c r="B232" s="10" t="s">
        <v>856</v>
      </c>
      <c r="C232" s="2" t="s">
        <v>857</v>
      </c>
      <c r="D232" s="2" t="s">
        <v>858</v>
      </c>
      <c r="E232" s="2" t="str">
        <f>"500.0000"</f>
        <v>500.0000</v>
      </c>
      <c r="F232" s="2" t="s">
        <v>43</v>
      </c>
      <c r="G232" s="2" t="s">
        <v>859</v>
      </c>
      <c r="H232" s="3" t="s">
        <v>860</v>
      </c>
      <c r="I232" s="4" t="s">
        <v>340</v>
      </c>
    </row>
    <row r="233" spans="1:9" ht="30" x14ac:dyDescent="0.25">
      <c r="A233" s="9">
        <v>232</v>
      </c>
      <c r="B233" s="10" t="s">
        <v>861</v>
      </c>
      <c r="C233" s="2" t="s">
        <v>862</v>
      </c>
      <c r="D233" s="2" t="s">
        <v>863</v>
      </c>
      <c r="E233" s="2" t="str">
        <f>"298.5600"</f>
        <v>298.5600</v>
      </c>
      <c r="F233" s="2" t="s">
        <v>390</v>
      </c>
      <c r="G233" s="2" t="s">
        <v>864</v>
      </c>
      <c r="H233" s="3" t="s">
        <v>865</v>
      </c>
      <c r="I233" s="4" t="s">
        <v>833</v>
      </c>
    </row>
    <row r="234" spans="1:9" ht="105" x14ac:dyDescent="0.25">
      <c r="A234" s="9">
        <v>233</v>
      </c>
      <c r="B234" s="10" t="s">
        <v>866</v>
      </c>
      <c r="C234" s="2" t="s">
        <v>866</v>
      </c>
      <c r="D234" s="2" t="s">
        <v>123</v>
      </c>
      <c r="E234" s="2" t="str">
        <f>"1514.5016"</f>
        <v>1514.5016</v>
      </c>
      <c r="F234" s="2" t="s">
        <v>17</v>
      </c>
      <c r="G234" s="2" t="s">
        <v>311</v>
      </c>
      <c r="H234" s="3" t="s">
        <v>835</v>
      </c>
      <c r="I234" s="4" t="s">
        <v>833</v>
      </c>
    </row>
    <row r="235" spans="1:9" ht="30" x14ac:dyDescent="0.25">
      <c r="A235" s="9">
        <v>234</v>
      </c>
      <c r="B235" s="10" t="s">
        <v>867</v>
      </c>
      <c r="C235" s="2" t="s">
        <v>867</v>
      </c>
      <c r="D235" s="2" t="s">
        <v>868</v>
      </c>
      <c r="E235" s="2" t="str">
        <f>"9.0311"</f>
        <v>9.0311</v>
      </c>
      <c r="F235" s="2" t="s">
        <v>746</v>
      </c>
      <c r="G235" s="2" t="s">
        <v>12</v>
      </c>
      <c r="H235" s="3" t="s">
        <v>865</v>
      </c>
      <c r="I235" s="4" t="s">
        <v>833</v>
      </c>
    </row>
    <row r="236" spans="1:9" ht="30" x14ac:dyDescent="0.25">
      <c r="A236" s="9">
        <v>235</v>
      </c>
      <c r="B236" s="10" t="s">
        <v>869</v>
      </c>
      <c r="C236" s="2" t="s">
        <v>870</v>
      </c>
      <c r="D236" s="2" t="s">
        <v>845</v>
      </c>
      <c r="E236" s="2" t="str">
        <f>"250.0000"</f>
        <v>250.0000</v>
      </c>
      <c r="F236" s="2" t="s">
        <v>43</v>
      </c>
      <c r="G236" s="2" t="s">
        <v>846</v>
      </c>
      <c r="H236" s="3" t="s">
        <v>832</v>
      </c>
      <c r="I236" s="4" t="s">
        <v>833</v>
      </c>
    </row>
    <row r="237" spans="1:9" ht="60" x14ac:dyDescent="0.25">
      <c r="A237" s="9">
        <v>236</v>
      </c>
      <c r="B237" s="10" t="s">
        <v>871</v>
      </c>
      <c r="C237" s="2" t="s">
        <v>872</v>
      </c>
      <c r="D237" s="2" t="s">
        <v>838</v>
      </c>
      <c r="E237" s="2" t="str">
        <f>"745.8339"</f>
        <v>745.8339</v>
      </c>
      <c r="F237" s="2" t="s">
        <v>17</v>
      </c>
      <c r="G237" s="2" t="s">
        <v>153</v>
      </c>
      <c r="H237" s="3" t="s">
        <v>873</v>
      </c>
      <c r="I237" s="4" t="s">
        <v>833</v>
      </c>
    </row>
    <row r="238" spans="1:9" x14ac:dyDescent="0.25">
      <c r="A238" s="9">
        <v>237</v>
      </c>
      <c r="B238" s="10" t="s">
        <v>874</v>
      </c>
      <c r="C238" s="2" t="s">
        <v>874</v>
      </c>
      <c r="D238" s="2" t="s">
        <v>114</v>
      </c>
      <c r="E238" s="2" t="str">
        <f>"20.0000"</f>
        <v>20.0000</v>
      </c>
      <c r="F238" s="2" t="s">
        <v>17</v>
      </c>
      <c r="G238" s="2" t="s">
        <v>115</v>
      </c>
      <c r="H238" s="3" t="s">
        <v>875</v>
      </c>
      <c r="I238" s="4" t="s">
        <v>833</v>
      </c>
    </row>
    <row r="239" spans="1:9" ht="105" x14ac:dyDescent="0.25">
      <c r="A239" s="9">
        <v>238</v>
      </c>
      <c r="B239" s="10" t="s">
        <v>876</v>
      </c>
      <c r="C239" s="2" t="s">
        <v>876</v>
      </c>
      <c r="D239" s="2" t="s">
        <v>877</v>
      </c>
      <c r="E239" s="2" t="str">
        <f>"124.6003"</f>
        <v>124.6003</v>
      </c>
      <c r="F239" s="2" t="s">
        <v>17</v>
      </c>
      <c r="G239" s="2" t="s">
        <v>18</v>
      </c>
      <c r="H239" s="3" t="s">
        <v>878</v>
      </c>
      <c r="I239" s="4" t="s">
        <v>833</v>
      </c>
    </row>
    <row r="240" spans="1:9" ht="30" x14ac:dyDescent="0.25">
      <c r="A240" s="9">
        <v>239</v>
      </c>
      <c r="B240" s="10" t="s">
        <v>879</v>
      </c>
      <c r="C240" s="2" t="s">
        <v>880</v>
      </c>
      <c r="D240" s="2" t="s">
        <v>881</v>
      </c>
      <c r="E240" s="2" t="str">
        <f>"949.3200"</f>
        <v>949.3200</v>
      </c>
      <c r="F240" s="2" t="s">
        <v>43</v>
      </c>
      <c r="G240" s="2" t="s">
        <v>882</v>
      </c>
      <c r="H240" s="3" t="s">
        <v>873</v>
      </c>
      <c r="I240" s="4" t="s">
        <v>833</v>
      </c>
    </row>
    <row r="241" spans="1:9" ht="30" x14ac:dyDescent="0.25">
      <c r="A241" s="9">
        <v>240</v>
      </c>
      <c r="B241" s="10" t="s">
        <v>883</v>
      </c>
      <c r="C241" s="2" t="s">
        <v>884</v>
      </c>
      <c r="D241" s="2" t="s">
        <v>885</v>
      </c>
      <c r="E241" s="2" t="str">
        <f>"233.8200"</f>
        <v>233.8200</v>
      </c>
      <c r="F241" s="2" t="s">
        <v>43</v>
      </c>
      <c r="G241" s="2" t="s">
        <v>53</v>
      </c>
      <c r="H241" s="3" t="s">
        <v>835</v>
      </c>
      <c r="I241" s="4" t="s">
        <v>833</v>
      </c>
    </row>
    <row r="242" spans="1:9" ht="30" x14ac:dyDescent="0.25">
      <c r="A242" s="9">
        <v>241</v>
      </c>
      <c r="B242" s="10" t="s">
        <v>886</v>
      </c>
      <c r="C242" s="2" t="s">
        <v>886</v>
      </c>
      <c r="D242" s="2" t="s">
        <v>887</v>
      </c>
      <c r="E242" s="2" t="str">
        <f>"3.4846"</f>
        <v>3.4846</v>
      </c>
      <c r="F242" s="2" t="s">
        <v>17</v>
      </c>
      <c r="G242" s="2" t="s">
        <v>126</v>
      </c>
      <c r="H242" s="3" t="s">
        <v>835</v>
      </c>
      <c r="I242" s="4" t="s">
        <v>833</v>
      </c>
    </row>
    <row r="243" spans="1:9" ht="30" x14ac:dyDescent="0.25">
      <c r="A243" s="9">
        <v>242</v>
      </c>
      <c r="B243" s="10" t="s">
        <v>888</v>
      </c>
      <c r="C243" s="2" t="s">
        <v>888</v>
      </c>
      <c r="D243" s="2" t="s">
        <v>889</v>
      </c>
      <c r="E243" s="2" t="str">
        <f>"10.0000"</f>
        <v>10.0000</v>
      </c>
      <c r="F243" s="2" t="s">
        <v>746</v>
      </c>
      <c r="G243" s="2" t="s">
        <v>12</v>
      </c>
      <c r="H243" s="3" t="s">
        <v>890</v>
      </c>
      <c r="I243" s="4" t="s">
        <v>833</v>
      </c>
    </row>
    <row r="244" spans="1:9" ht="90" x14ac:dyDescent="0.25">
      <c r="A244" s="9">
        <v>243</v>
      </c>
      <c r="B244" s="10" t="s">
        <v>891</v>
      </c>
      <c r="C244" s="2" t="s">
        <v>891</v>
      </c>
      <c r="D244" s="2" t="s">
        <v>148</v>
      </c>
      <c r="E244" s="2" t="str">
        <f>"26.1597"</f>
        <v>26.1597</v>
      </c>
      <c r="F244" s="2" t="s">
        <v>17</v>
      </c>
      <c r="G244" s="2" t="s">
        <v>892</v>
      </c>
      <c r="H244" s="3" t="s">
        <v>835</v>
      </c>
      <c r="I244" s="4" t="s">
        <v>833</v>
      </c>
    </row>
    <row r="245" spans="1:9" ht="45" x14ac:dyDescent="0.25">
      <c r="A245" s="9">
        <v>244</v>
      </c>
      <c r="B245" s="10" t="s">
        <v>893</v>
      </c>
      <c r="C245" s="2" t="s">
        <v>893</v>
      </c>
      <c r="D245" s="2" t="s">
        <v>894</v>
      </c>
      <c r="E245" s="2" t="str">
        <f>"99.9999"</f>
        <v>99.9999</v>
      </c>
      <c r="F245" s="2" t="s">
        <v>17</v>
      </c>
      <c r="G245" s="2" t="s">
        <v>895</v>
      </c>
      <c r="H245" s="3" t="s">
        <v>896</v>
      </c>
      <c r="I245" s="4" t="s">
        <v>340</v>
      </c>
    </row>
    <row r="246" spans="1:9" ht="45" x14ac:dyDescent="0.25">
      <c r="A246" s="9">
        <v>245</v>
      </c>
      <c r="B246" s="10" t="s">
        <v>897</v>
      </c>
      <c r="C246" s="2" t="s">
        <v>898</v>
      </c>
      <c r="D246" s="2" t="s">
        <v>894</v>
      </c>
      <c r="E246" s="2" t="str">
        <f>"1000.0074"</f>
        <v>1000.0074</v>
      </c>
      <c r="F246" s="2" t="s">
        <v>43</v>
      </c>
      <c r="G246" s="2" t="s">
        <v>846</v>
      </c>
      <c r="H246" s="3" t="s">
        <v>896</v>
      </c>
      <c r="I246" s="4" t="s">
        <v>340</v>
      </c>
    </row>
    <row r="247" spans="1:9" ht="45" x14ac:dyDescent="0.25">
      <c r="A247" s="9">
        <v>246</v>
      </c>
      <c r="B247" s="10" t="s">
        <v>899</v>
      </c>
      <c r="C247" s="2" t="s">
        <v>900</v>
      </c>
      <c r="D247" s="2" t="s">
        <v>901</v>
      </c>
      <c r="E247" s="2" t="str">
        <f>"100.0000"</f>
        <v>100.0000</v>
      </c>
      <c r="F247" s="2" t="s">
        <v>17</v>
      </c>
      <c r="G247" s="2" t="s">
        <v>121</v>
      </c>
      <c r="H247" s="3" t="s">
        <v>875</v>
      </c>
      <c r="I247" s="4" t="s">
        <v>833</v>
      </c>
    </row>
    <row r="248" spans="1:9" ht="30" x14ac:dyDescent="0.25">
      <c r="A248" s="9">
        <v>247</v>
      </c>
      <c r="B248" s="10" t="s">
        <v>902</v>
      </c>
      <c r="C248" s="2" t="s">
        <v>902</v>
      </c>
      <c r="D248" s="2" t="s">
        <v>903</v>
      </c>
      <c r="E248" s="2" t="str">
        <f>"475.8467"</f>
        <v>475.8467</v>
      </c>
      <c r="F248" s="2" t="s">
        <v>17</v>
      </c>
      <c r="G248" s="2" t="s">
        <v>142</v>
      </c>
      <c r="H248" s="3" t="s">
        <v>904</v>
      </c>
      <c r="I248" s="4" t="s">
        <v>833</v>
      </c>
    </row>
    <row r="249" spans="1:9" ht="30" x14ac:dyDescent="0.25">
      <c r="A249" s="9">
        <v>248</v>
      </c>
      <c r="B249" s="10" t="s">
        <v>905</v>
      </c>
      <c r="C249" s="2" t="s">
        <v>905</v>
      </c>
      <c r="D249" s="2" t="s">
        <v>849</v>
      </c>
      <c r="E249" s="2" t="str">
        <f>"709.8362"</f>
        <v>709.8362</v>
      </c>
      <c r="F249" s="2" t="s">
        <v>390</v>
      </c>
      <c r="G249" s="2" t="s">
        <v>859</v>
      </c>
      <c r="H249" s="3" t="s">
        <v>850</v>
      </c>
      <c r="I249" s="4" t="s">
        <v>833</v>
      </c>
    </row>
    <row r="250" spans="1:9" ht="75" x14ac:dyDescent="0.25">
      <c r="A250" s="9">
        <v>249</v>
      </c>
      <c r="B250" s="10" t="s">
        <v>906</v>
      </c>
      <c r="C250" s="2" t="s">
        <v>907</v>
      </c>
      <c r="D250" s="2" t="s">
        <v>908</v>
      </c>
      <c r="E250" s="2" t="str">
        <f>"9.0219"</f>
        <v>9.0219</v>
      </c>
      <c r="F250" s="2" t="s">
        <v>22</v>
      </c>
      <c r="G250" s="2" t="s">
        <v>121</v>
      </c>
      <c r="H250" s="3" t="s">
        <v>835</v>
      </c>
      <c r="I250" s="4" t="s">
        <v>833</v>
      </c>
    </row>
    <row r="251" spans="1:9" ht="30" x14ac:dyDescent="0.25">
      <c r="A251" s="9">
        <v>250</v>
      </c>
      <c r="B251" s="10" t="s">
        <v>909</v>
      </c>
      <c r="C251" s="2" t="s">
        <v>910</v>
      </c>
      <c r="D251" s="2" t="s">
        <v>849</v>
      </c>
      <c r="E251" s="2" t="str">
        <f>"894.0000"</f>
        <v>894.0000</v>
      </c>
      <c r="F251" s="2" t="s">
        <v>64</v>
      </c>
      <c r="G251" s="2" t="s">
        <v>859</v>
      </c>
      <c r="H251" s="3" t="s">
        <v>850</v>
      </c>
      <c r="I251" s="4" t="s">
        <v>833</v>
      </c>
    </row>
    <row r="252" spans="1:9" ht="225" x14ac:dyDescent="0.25">
      <c r="A252" s="9">
        <v>251</v>
      </c>
      <c r="B252" s="10" t="s">
        <v>911</v>
      </c>
      <c r="C252" s="2" t="s">
        <v>911</v>
      </c>
      <c r="D252" s="2" t="s">
        <v>493</v>
      </c>
      <c r="E252" s="2" t="str">
        <f>"8.2185"</f>
        <v>8.2185</v>
      </c>
      <c r="F252" s="2" t="s">
        <v>17</v>
      </c>
      <c r="G252" s="2" t="s">
        <v>912</v>
      </c>
      <c r="H252" s="3" t="s">
        <v>835</v>
      </c>
      <c r="I252" s="4" t="s">
        <v>833</v>
      </c>
    </row>
    <row r="253" spans="1:9" ht="30" x14ac:dyDescent="0.25">
      <c r="A253" s="9">
        <v>252</v>
      </c>
      <c r="B253" s="10" t="s">
        <v>913</v>
      </c>
      <c r="C253" s="2" t="s">
        <v>914</v>
      </c>
      <c r="D253" s="2" t="s">
        <v>915</v>
      </c>
      <c r="E253" s="2" t="str">
        <f>"9.0000"</f>
        <v>9.0000</v>
      </c>
      <c r="F253" s="2" t="s">
        <v>43</v>
      </c>
      <c r="G253" s="2" t="s">
        <v>12</v>
      </c>
      <c r="H253" s="3" t="s">
        <v>835</v>
      </c>
      <c r="I253" s="4" t="s">
        <v>833</v>
      </c>
    </row>
    <row r="254" spans="1:9" ht="30" x14ac:dyDescent="0.25">
      <c r="A254" s="9">
        <v>253</v>
      </c>
      <c r="B254" s="10" t="s">
        <v>916</v>
      </c>
      <c r="C254" s="2" t="s">
        <v>916</v>
      </c>
      <c r="D254" s="2" t="s">
        <v>917</v>
      </c>
      <c r="E254" s="2" t="str">
        <f>"1906.3180"</f>
        <v>1906.3180</v>
      </c>
      <c r="F254" s="2" t="s">
        <v>43</v>
      </c>
      <c r="G254" s="2" t="s">
        <v>408</v>
      </c>
      <c r="H254" s="3" t="s">
        <v>855</v>
      </c>
      <c r="I254" s="4" t="s">
        <v>340</v>
      </c>
    </row>
    <row r="255" spans="1:9" ht="75" x14ac:dyDescent="0.25">
      <c r="A255" s="9">
        <v>254</v>
      </c>
      <c r="B255" s="10" t="s">
        <v>918</v>
      </c>
      <c r="C255" s="2" t="s">
        <v>919</v>
      </c>
      <c r="D255" s="2" t="s">
        <v>920</v>
      </c>
      <c r="E255" s="2" t="str">
        <f>"10.0000"</f>
        <v>10.0000</v>
      </c>
      <c r="F255" s="2" t="s">
        <v>22</v>
      </c>
      <c r="G255" s="2" t="s">
        <v>121</v>
      </c>
      <c r="H255" s="3" t="s">
        <v>835</v>
      </c>
      <c r="I255" s="4" t="s">
        <v>833</v>
      </c>
    </row>
    <row r="256" spans="1:9" ht="30" x14ac:dyDescent="0.25">
      <c r="A256" s="9">
        <v>255</v>
      </c>
      <c r="B256" s="10" t="s">
        <v>921</v>
      </c>
      <c r="C256" s="2" t="s">
        <v>921</v>
      </c>
      <c r="D256" s="2" t="s">
        <v>868</v>
      </c>
      <c r="E256" s="2" t="str">
        <f>"35.0003"</f>
        <v>35.0003</v>
      </c>
      <c r="F256" s="2" t="s">
        <v>746</v>
      </c>
      <c r="G256" s="2" t="s">
        <v>12</v>
      </c>
      <c r="H256" s="3" t="s">
        <v>832</v>
      </c>
      <c r="I256" s="4" t="s">
        <v>833</v>
      </c>
    </row>
    <row r="257" spans="1:9" ht="90" x14ac:dyDescent="0.25">
      <c r="A257" s="9">
        <v>256</v>
      </c>
      <c r="B257" s="10" t="s">
        <v>922</v>
      </c>
      <c r="C257" s="2" t="s">
        <v>922</v>
      </c>
      <c r="D257" s="2" t="s">
        <v>148</v>
      </c>
      <c r="E257" s="2" t="str">
        <f>"499.5610"</f>
        <v>499.5610</v>
      </c>
      <c r="F257" s="2" t="s">
        <v>17</v>
      </c>
      <c r="G257" s="2" t="s">
        <v>892</v>
      </c>
      <c r="H257" s="3" t="s">
        <v>923</v>
      </c>
      <c r="I257" s="4" t="s">
        <v>833</v>
      </c>
    </row>
    <row r="258" spans="1:9" ht="30" x14ac:dyDescent="0.25">
      <c r="A258" s="9">
        <v>257</v>
      </c>
      <c r="B258" s="10" t="s">
        <v>924</v>
      </c>
      <c r="C258" s="2" t="s">
        <v>924</v>
      </c>
      <c r="D258" s="2" t="s">
        <v>925</v>
      </c>
      <c r="E258" s="2" t="str">
        <f>"45.0611"</f>
        <v>45.0611</v>
      </c>
      <c r="F258" s="2" t="s">
        <v>17</v>
      </c>
      <c r="G258" s="2" t="s">
        <v>926</v>
      </c>
      <c r="H258" s="3" t="s">
        <v>927</v>
      </c>
      <c r="I258" s="4" t="s">
        <v>833</v>
      </c>
    </row>
    <row r="259" spans="1:9" x14ac:dyDescent="0.25">
      <c r="A259" s="9">
        <v>258</v>
      </c>
      <c r="B259" s="10" t="s">
        <v>928</v>
      </c>
      <c r="C259" s="2" t="s">
        <v>928</v>
      </c>
      <c r="D259" s="2" t="s">
        <v>925</v>
      </c>
      <c r="E259" s="2" t="str">
        <f>"276.9675"</f>
        <v>276.9675</v>
      </c>
      <c r="F259" s="2" t="s">
        <v>17</v>
      </c>
      <c r="G259" s="2" t="s">
        <v>926</v>
      </c>
      <c r="H259" s="3" t="s">
        <v>865</v>
      </c>
      <c r="I259" s="4" t="s">
        <v>833</v>
      </c>
    </row>
    <row r="260" spans="1:9" ht="60" x14ac:dyDescent="0.25">
      <c r="A260" s="9">
        <v>259</v>
      </c>
      <c r="B260" s="10" t="s">
        <v>929</v>
      </c>
      <c r="C260" s="2" t="s">
        <v>929</v>
      </c>
      <c r="D260" s="2" t="s">
        <v>838</v>
      </c>
      <c r="E260" s="2" t="str">
        <f>"2168.4219"</f>
        <v>2168.4219</v>
      </c>
      <c r="F260" s="2" t="s">
        <v>17</v>
      </c>
      <c r="G260" s="2" t="s">
        <v>930</v>
      </c>
      <c r="H260" s="3" t="s">
        <v>839</v>
      </c>
      <c r="I260" s="4" t="s">
        <v>833</v>
      </c>
    </row>
    <row r="261" spans="1:9" ht="30" x14ac:dyDescent="0.25">
      <c r="A261" s="9">
        <v>260</v>
      </c>
      <c r="B261" s="10" t="s">
        <v>931</v>
      </c>
      <c r="C261" s="2" t="s">
        <v>932</v>
      </c>
      <c r="D261" s="2" t="s">
        <v>933</v>
      </c>
      <c r="E261" s="2" t="str">
        <f>"34.3268"</f>
        <v>34.3268</v>
      </c>
      <c r="F261" s="2" t="s">
        <v>934</v>
      </c>
      <c r="G261" s="2" t="s">
        <v>584</v>
      </c>
      <c r="H261" s="3" t="s">
        <v>865</v>
      </c>
      <c r="I261" s="4" t="s">
        <v>833</v>
      </c>
    </row>
    <row r="262" spans="1:9" ht="75" x14ac:dyDescent="0.25">
      <c r="A262" s="9">
        <v>261</v>
      </c>
      <c r="B262" s="10" t="s">
        <v>935</v>
      </c>
      <c r="C262" s="2" t="s">
        <v>936</v>
      </c>
      <c r="D262" s="2" t="s">
        <v>937</v>
      </c>
      <c r="E262" s="2" t="str">
        <f>"1995.2224"</f>
        <v>1995.2224</v>
      </c>
      <c r="F262" s="2" t="s">
        <v>43</v>
      </c>
      <c r="G262" s="2" t="s">
        <v>938</v>
      </c>
      <c r="H262" s="3" t="s">
        <v>873</v>
      </c>
      <c r="I262" s="4" t="s">
        <v>833</v>
      </c>
    </row>
    <row r="263" spans="1:9" x14ac:dyDescent="0.25">
      <c r="A263" s="9">
        <v>262</v>
      </c>
      <c r="B263" s="10" t="s">
        <v>939</v>
      </c>
      <c r="C263" s="2" t="s">
        <v>939</v>
      </c>
      <c r="D263" s="2" t="s">
        <v>114</v>
      </c>
      <c r="E263" s="2" t="str">
        <f>"141.4840"</f>
        <v>141.4840</v>
      </c>
      <c r="F263" s="2" t="s">
        <v>17</v>
      </c>
      <c r="G263" s="2" t="s">
        <v>115</v>
      </c>
      <c r="H263" s="3" t="s">
        <v>835</v>
      </c>
      <c r="I263" s="4" t="s">
        <v>833</v>
      </c>
    </row>
    <row r="264" spans="1:9" ht="30" x14ac:dyDescent="0.25">
      <c r="A264" s="9">
        <v>263</v>
      </c>
      <c r="B264" s="10" t="s">
        <v>940</v>
      </c>
      <c r="C264" s="2" t="s">
        <v>941</v>
      </c>
      <c r="D264" s="2" t="s">
        <v>942</v>
      </c>
      <c r="E264" s="2" t="str">
        <f>"0.5737"</f>
        <v>0.5737</v>
      </c>
      <c r="F264" s="2" t="s">
        <v>746</v>
      </c>
      <c r="G264" s="2" t="s">
        <v>12</v>
      </c>
      <c r="H264" s="3" t="s">
        <v>878</v>
      </c>
      <c r="I264" s="4" t="s">
        <v>833</v>
      </c>
    </row>
    <row r="265" spans="1:9" ht="30" x14ac:dyDescent="0.25">
      <c r="A265" s="9">
        <v>264</v>
      </c>
      <c r="B265" s="10" t="s">
        <v>943</v>
      </c>
      <c r="C265" s="2" t="s">
        <v>944</v>
      </c>
      <c r="D265" s="2" t="s">
        <v>350</v>
      </c>
      <c r="E265" s="2" t="str">
        <f>"310.6200"</f>
        <v>310.6200</v>
      </c>
      <c r="F265" s="2" t="s">
        <v>22</v>
      </c>
      <c r="G265" s="2" t="s">
        <v>831</v>
      </c>
      <c r="H265" s="3" t="s">
        <v>927</v>
      </c>
      <c r="I265" s="4" t="s">
        <v>833</v>
      </c>
    </row>
    <row r="266" spans="1:9" ht="45" x14ac:dyDescent="0.25">
      <c r="A266" s="9">
        <v>265</v>
      </c>
      <c r="B266" s="10" t="s">
        <v>945</v>
      </c>
      <c r="C266" s="2" t="s">
        <v>946</v>
      </c>
      <c r="D266" s="2" t="s">
        <v>894</v>
      </c>
      <c r="E266" s="2" t="str">
        <f>"55.6000"</f>
        <v>55.6000</v>
      </c>
      <c r="F266" s="2" t="s">
        <v>43</v>
      </c>
      <c r="G266" s="2" t="s">
        <v>408</v>
      </c>
      <c r="H266" s="3" t="s">
        <v>896</v>
      </c>
      <c r="I266" s="4" t="s">
        <v>340</v>
      </c>
    </row>
    <row r="267" spans="1:9" ht="30" x14ac:dyDescent="0.25">
      <c r="A267" s="9">
        <v>266</v>
      </c>
      <c r="B267" s="10" t="s">
        <v>947</v>
      </c>
      <c r="C267" s="2" t="s">
        <v>948</v>
      </c>
      <c r="D267" s="2" t="s">
        <v>377</v>
      </c>
      <c r="E267" s="2" t="str">
        <f>"975.0000"</f>
        <v>975.0000</v>
      </c>
      <c r="F267" s="2" t="s">
        <v>64</v>
      </c>
      <c r="G267" s="2" t="s">
        <v>831</v>
      </c>
      <c r="H267" s="3" t="s">
        <v>832</v>
      </c>
      <c r="I267" s="4" t="s">
        <v>833</v>
      </c>
    </row>
    <row r="268" spans="1:9" ht="30" x14ac:dyDescent="0.25">
      <c r="A268" s="9">
        <v>267</v>
      </c>
      <c r="B268" s="10" t="s">
        <v>949</v>
      </c>
      <c r="C268" s="2" t="s">
        <v>949</v>
      </c>
      <c r="D268" s="2" t="s">
        <v>868</v>
      </c>
      <c r="E268" s="2" t="str">
        <f>"49.9999"</f>
        <v>49.9999</v>
      </c>
      <c r="F268" s="2" t="s">
        <v>746</v>
      </c>
      <c r="G268" s="2" t="s">
        <v>12</v>
      </c>
      <c r="H268" s="3" t="s">
        <v>832</v>
      </c>
      <c r="I268" s="4" t="s">
        <v>833</v>
      </c>
    </row>
    <row r="269" spans="1:9" ht="30" x14ac:dyDescent="0.25">
      <c r="A269" s="9">
        <v>268</v>
      </c>
      <c r="B269" s="10" t="s">
        <v>950</v>
      </c>
      <c r="C269" s="2" t="s">
        <v>950</v>
      </c>
      <c r="D269" s="2" t="s">
        <v>925</v>
      </c>
      <c r="E269" s="2" t="str">
        <f>"39.2816"</f>
        <v>39.2816</v>
      </c>
      <c r="F269" s="2" t="s">
        <v>17</v>
      </c>
      <c r="G269" s="2" t="s">
        <v>895</v>
      </c>
      <c r="H269" s="3" t="s">
        <v>860</v>
      </c>
      <c r="I269" s="4" t="s">
        <v>340</v>
      </c>
    </row>
    <row r="270" spans="1:9" ht="30" x14ac:dyDescent="0.25">
      <c r="A270" s="9">
        <v>269</v>
      </c>
      <c r="B270" s="10" t="s">
        <v>951</v>
      </c>
      <c r="C270" s="2" t="s">
        <v>951</v>
      </c>
      <c r="D270" s="2" t="s">
        <v>925</v>
      </c>
      <c r="E270" s="2" t="str">
        <f>"98.7130"</f>
        <v>98.7130</v>
      </c>
      <c r="F270" s="2" t="s">
        <v>17</v>
      </c>
      <c r="G270" s="2" t="s">
        <v>926</v>
      </c>
      <c r="H270" s="3" t="s">
        <v>855</v>
      </c>
      <c r="I270" s="4" t="s">
        <v>340</v>
      </c>
    </row>
    <row r="271" spans="1:9" ht="30" x14ac:dyDescent="0.25">
      <c r="A271" s="9">
        <v>270</v>
      </c>
      <c r="B271" s="10" t="s">
        <v>952</v>
      </c>
      <c r="C271" s="2" t="s">
        <v>952</v>
      </c>
      <c r="D271" s="2" t="s">
        <v>953</v>
      </c>
      <c r="E271" s="2" t="str">
        <f>"2793.6612"</f>
        <v>2793.6612</v>
      </c>
      <c r="F271" s="2" t="s">
        <v>17</v>
      </c>
      <c r="G271" s="2" t="s">
        <v>954</v>
      </c>
      <c r="H271" s="3" t="s">
        <v>955</v>
      </c>
      <c r="I271" s="4" t="s">
        <v>833</v>
      </c>
    </row>
    <row r="272" spans="1:9" ht="45" x14ac:dyDescent="0.25">
      <c r="A272" s="9">
        <v>271</v>
      </c>
      <c r="B272" s="10" t="s">
        <v>956</v>
      </c>
      <c r="C272" s="2" t="s">
        <v>956</v>
      </c>
      <c r="D272" s="2" t="s">
        <v>343</v>
      </c>
      <c r="E272" s="2" t="str">
        <f>"547.0193"</f>
        <v>547.0193</v>
      </c>
      <c r="F272" s="2" t="s">
        <v>17</v>
      </c>
      <c r="G272" s="2" t="s">
        <v>895</v>
      </c>
      <c r="H272" s="3" t="s">
        <v>957</v>
      </c>
      <c r="I272" s="4" t="s">
        <v>340</v>
      </c>
    </row>
    <row r="273" spans="1:9" x14ac:dyDescent="0.25">
      <c r="A273" s="9">
        <v>272</v>
      </c>
      <c r="B273" s="10" t="s">
        <v>958</v>
      </c>
      <c r="C273" s="2" t="s">
        <v>959</v>
      </c>
      <c r="D273" s="2" t="s">
        <v>960</v>
      </c>
      <c r="E273" s="2" t="str">
        <f>"40.0000"</f>
        <v>40.0000</v>
      </c>
      <c r="F273" s="2" t="s">
        <v>746</v>
      </c>
      <c r="G273" s="2" t="s">
        <v>36</v>
      </c>
      <c r="H273" s="3" t="s">
        <v>878</v>
      </c>
      <c r="I273" s="4" t="s">
        <v>833</v>
      </c>
    </row>
    <row r="274" spans="1:9" ht="45" x14ac:dyDescent="0.25">
      <c r="A274" s="9">
        <v>273</v>
      </c>
      <c r="B274" s="10" t="s">
        <v>961</v>
      </c>
      <c r="C274" s="2" t="s">
        <v>962</v>
      </c>
      <c r="D274" s="2" t="s">
        <v>894</v>
      </c>
      <c r="E274" s="2" t="str">
        <f>"600.0000"</f>
        <v>600.0000</v>
      </c>
      <c r="F274" s="2" t="s">
        <v>64</v>
      </c>
      <c r="G274" s="2" t="s">
        <v>534</v>
      </c>
      <c r="H274" s="3" t="s">
        <v>850</v>
      </c>
      <c r="I274" s="4" t="s">
        <v>833</v>
      </c>
    </row>
    <row r="275" spans="1:9" ht="30" x14ac:dyDescent="0.25">
      <c r="A275" s="9">
        <v>274</v>
      </c>
      <c r="B275" s="10" t="s">
        <v>963</v>
      </c>
      <c r="C275" s="2" t="s">
        <v>964</v>
      </c>
      <c r="D275" s="2" t="s">
        <v>965</v>
      </c>
      <c r="E275" s="2" t="str">
        <f>"59.7800"</f>
        <v>59.7800</v>
      </c>
      <c r="F275" s="2" t="s">
        <v>64</v>
      </c>
      <c r="G275" s="2" t="s">
        <v>831</v>
      </c>
      <c r="H275" s="3" t="s">
        <v>860</v>
      </c>
      <c r="I275" s="4" t="s">
        <v>340</v>
      </c>
    </row>
    <row r="276" spans="1:9" ht="30" x14ac:dyDescent="0.25">
      <c r="A276" s="9">
        <v>275</v>
      </c>
      <c r="B276" s="10" t="s">
        <v>966</v>
      </c>
      <c r="C276" s="2" t="s">
        <v>966</v>
      </c>
      <c r="D276" s="2" t="s">
        <v>967</v>
      </c>
      <c r="E276" s="2" t="str">
        <f>"54.4006"</f>
        <v>54.4006</v>
      </c>
      <c r="F276" s="2" t="s">
        <v>746</v>
      </c>
      <c r="G276" s="2" t="s">
        <v>729</v>
      </c>
      <c r="H276" s="3" t="s">
        <v>835</v>
      </c>
      <c r="I276" s="4" t="s">
        <v>833</v>
      </c>
    </row>
    <row r="277" spans="1:9" ht="45" x14ac:dyDescent="0.25">
      <c r="A277" s="9">
        <v>276</v>
      </c>
      <c r="B277" s="10" t="s">
        <v>968</v>
      </c>
      <c r="C277" s="2" t="s">
        <v>969</v>
      </c>
      <c r="D277" s="2" t="s">
        <v>894</v>
      </c>
      <c r="E277" s="2" t="str">
        <f>"518.5600"</f>
        <v>518.5600</v>
      </c>
      <c r="F277" s="2" t="s">
        <v>43</v>
      </c>
      <c r="G277" s="2" t="s">
        <v>859</v>
      </c>
      <c r="H277" s="3" t="s">
        <v>970</v>
      </c>
      <c r="I277" s="4" t="s">
        <v>833</v>
      </c>
    </row>
    <row r="278" spans="1:9" x14ac:dyDescent="0.25">
      <c r="A278" s="9">
        <v>277</v>
      </c>
      <c r="B278" s="10" t="s">
        <v>971</v>
      </c>
      <c r="C278" s="2" t="s">
        <v>972</v>
      </c>
      <c r="D278" s="2" t="s">
        <v>973</v>
      </c>
      <c r="E278" s="2" t="str">
        <f>"99.3900"</f>
        <v>99.3900</v>
      </c>
      <c r="F278" s="2" t="s">
        <v>64</v>
      </c>
      <c r="G278" s="2" t="s">
        <v>115</v>
      </c>
      <c r="H278" s="3" t="s">
        <v>832</v>
      </c>
      <c r="I278" s="4" t="s">
        <v>833</v>
      </c>
    </row>
    <row r="279" spans="1:9" ht="45" x14ac:dyDescent="0.25">
      <c r="A279" s="9">
        <v>278</v>
      </c>
      <c r="B279" s="10" t="s">
        <v>974</v>
      </c>
      <c r="C279" s="2" t="s">
        <v>975</v>
      </c>
      <c r="D279" s="2" t="s">
        <v>894</v>
      </c>
      <c r="E279" s="2" t="str">
        <f>"100.0000"</f>
        <v>100.0000</v>
      </c>
      <c r="F279" s="2" t="s">
        <v>43</v>
      </c>
      <c r="G279" s="2" t="s">
        <v>859</v>
      </c>
      <c r="H279" s="3" t="s">
        <v>832</v>
      </c>
      <c r="I279" s="4" t="s">
        <v>833</v>
      </c>
    </row>
    <row r="280" spans="1:9" ht="30" x14ac:dyDescent="0.25">
      <c r="A280" s="9">
        <v>279</v>
      </c>
      <c r="B280" s="10" t="s">
        <v>976</v>
      </c>
      <c r="C280" s="2" t="s">
        <v>976</v>
      </c>
      <c r="D280" s="2" t="s">
        <v>977</v>
      </c>
      <c r="E280" s="2" t="str">
        <f>"199.2000"</f>
        <v>199.2000</v>
      </c>
      <c r="F280" s="2" t="s">
        <v>17</v>
      </c>
      <c r="G280" s="2" t="s">
        <v>238</v>
      </c>
      <c r="H280" s="3" t="s">
        <v>875</v>
      </c>
      <c r="I280" s="4" t="s">
        <v>833</v>
      </c>
    </row>
    <row r="281" spans="1:9" ht="30" x14ac:dyDescent="0.25">
      <c r="A281" s="9">
        <v>280</v>
      </c>
      <c r="B281" s="10" t="s">
        <v>978</v>
      </c>
      <c r="C281" s="2" t="s">
        <v>979</v>
      </c>
      <c r="D281" s="2" t="s">
        <v>863</v>
      </c>
      <c r="E281" s="2" t="str">
        <f>"500.0000"</f>
        <v>500.0000</v>
      </c>
      <c r="F281" s="2" t="s">
        <v>43</v>
      </c>
      <c r="G281" s="2" t="s">
        <v>980</v>
      </c>
      <c r="H281" s="3" t="s">
        <v>860</v>
      </c>
      <c r="I281" s="4" t="s">
        <v>340</v>
      </c>
    </row>
    <row r="282" spans="1:9" ht="30" x14ac:dyDescent="0.25">
      <c r="A282" s="9">
        <v>281</v>
      </c>
      <c r="B282" s="10" t="s">
        <v>981</v>
      </c>
      <c r="C282" s="2" t="s">
        <v>981</v>
      </c>
      <c r="D282" s="2" t="s">
        <v>350</v>
      </c>
      <c r="E282" s="2" t="str">
        <f>"1489.2500"</f>
        <v>1489.2500</v>
      </c>
      <c r="F282" s="2" t="s">
        <v>17</v>
      </c>
      <c r="G282" s="2" t="s">
        <v>408</v>
      </c>
      <c r="H282" s="3" t="s">
        <v>904</v>
      </c>
      <c r="I282" s="4" t="s">
        <v>833</v>
      </c>
    </row>
    <row r="283" spans="1:9" ht="45" x14ac:dyDescent="0.25">
      <c r="A283" s="9">
        <v>282</v>
      </c>
      <c r="B283" s="10" t="s">
        <v>982</v>
      </c>
      <c r="C283" s="2" t="s">
        <v>982</v>
      </c>
      <c r="D283" s="2" t="s">
        <v>111</v>
      </c>
      <c r="E283" s="2" t="str">
        <f>"928.6598"</f>
        <v>928.6598</v>
      </c>
      <c r="F283" s="2" t="s">
        <v>17</v>
      </c>
      <c r="G283" s="2" t="s">
        <v>983</v>
      </c>
      <c r="H283" s="3" t="s">
        <v>835</v>
      </c>
      <c r="I283" s="4" t="s">
        <v>833</v>
      </c>
    </row>
    <row r="284" spans="1:9" x14ac:dyDescent="0.25">
      <c r="A284" s="9">
        <v>283</v>
      </c>
      <c r="B284" s="10" t="s">
        <v>984</v>
      </c>
      <c r="C284" s="2" t="s">
        <v>985</v>
      </c>
      <c r="D284" s="2" t="s">
        <v>849</v>
      </c>
      <c r="E284" s="2" t="str">
        <f>"294.0000"</f>
        <v>294.0000</v>
      </c>
      <c r="F284" s="2" t="s">
        <v>64</v>
      </c>
      <c r="G284" s="2" t="s">
        <v>831</v>
      </c>
      <c r="H284" s="3" t="s">
        <v>850</v>
      </c>
      <c r="I284" s="4" t="s">
        <v>833</v>
      </c>
    </row>
    <row r="285" spans="1:9" x14ac:dyDescent="0.25">
      <c r="A285" s="9">
        <v>284</v>
      </c>
      <c r="B285" s="10" t="s">
        <v>986</v>
      </c>
      <c r="C285" s="2" t="s">
        <v>987</v>
      </c>
      <c r="D285" s="2" t="s">
        <v>350</v>
      </c>
      <c r="E285" s="2" t="str">
        <f>"204.8475"</f>
        <v>204.8475</v>
      </c>
      <c r="F285" s="2" t="s">
        <v>64</v>
      </c>
      <c r="G285" s="2" t="s">
        <v>831</v>
      </c>
      <c r="H285" s="3" t="s">
        <v>832</v>
      </c>
      <c r="I285" s="4" t="s">
        <v>833</v>
      </c>
    </row>
    <row r="286" spans="1:9" ht="45" x14ac:dyDescent="0.25">
      <c r="A286" s="9">
        <v>285</v>
      </c>
      <c r="B286" s="10" t="s">
        <v>988</v>
      </c>
      <c r="C286" s="2" t="s">
        <v>989</v>
      </c>
      <c r="D286" s="2" t="s">
        <v>990</v>
      </c>
      <c r="E286" s="2" t="str">
        <f>"5.0000"</f>
        <v>5.0000</v>
      </c>
      <c r="F286" s="2" t="s">
        <v>43</v>
      </c>
      <c r="G286" s="2" t="s">
        <v>36</v>
      </c>
      <c r="H286" s="3" t="s">
        <v>878</v>
      </c>
      <c r="I286" s="4" t="s">
        <v>833</v>
      </c>
    </row>
    <row r="287" spans="1:9" ht="30" x14ac:dyDescent="0.25">
      <c r="A287" s="9">
        <v>286</v>
      </c>
      <c r="B287" s="10" t="s">
        <v>991</v>
      </c>
      <c r="C287" s="2" t="s">
        <v>992</v>
      </c>
      <c r="D287" s="2" t="s">
        <v>993</v>
      </c>
      <c r="E287" s="2" t="str">
        <f>"975.0000"</f>
        <v>975.0000</v>
      </c>
      <c r="F287" s="2" t="s">
        <v>64</v>
      </c>
      <c r="G287" s="2" t="s">
        <v>831</v>
      </c>
      <c r="H287" s="3" t="s">
        <v>860</v>
      </c>
      <c r="I287" s="4" t="s">
        <v>340</v>
      </c>
    </row>
    <row r="288" spans="1:9" ht="60" x14ac:dyDescent="0.25">
      <c r="A288" s="9">
        <v>287</v>
      </c>
      <c r="B288" s="10" t="s">
        <v>994</v>
      </c>
      <c r="C288" s="2" t="s">
        <v>995</v>
      </c>
      <c r="D288" s="2" t="s">
        <v>996</v>
      </c>
      <c r="E288" s="2" t="str">
        <f>"10.0000"</f>
        <v>10.0000</v>
      </c>
      <c r="F288" s="2" t="s">
        <v>22</v>
      </c>
      <c r="G288" s="2" t="s">
        <v>121</v>
      </c>
      <c r="H288" s="3" t="s">
        <v>835</v>
      </c>
      <c r="I288" s="4" t="s">
        <v>833</v>
      </c>
    </row>
    <row r="289" spans="1:9" ht="30" x14ac:dyDescent="0.25">
      <c r="A289" s="9">
        <v>288</v>
      </c>
      <c r="B289" s="10" t="s">
        <v>997</v>
      </c>
      <c r="C289" s="2" t="s">
        <v>997</v>
      </c>
      <c r="D289" s="2" t="s">
        <v>998</v>
      </c>
      <c r="E289" s="2" t="str">
        <f>"90.0003"</f>
        <v>90.0003</v>
      </c>
      <c r="F289" s="2" t="s">
        <v>17</v>
      </c>
      <c r="G289" s="2" t="s">
        <v>895</v>
      </c>
      <c r="H289" s="3" t="s">
        <v>927</v>
      </c>
      <c r="I289" s="4" t="s">
        <v>833</v>
      </c>
    </row>
    <row r="290" spans="1:9" ht="30" x14ac:dyDescent="0.25">
      <c r="A290" s="9">
        <v>289</v>
      </c>
      <c r="B290" s="10" t="s">
        <v>999</v>
      </c>
      <c r="C290" s="2" t="s">
        <v>999</v>
      </c>
      <c r="D290" s="2" t="s">
        <v>1000</v>
      </c>
      <c r="E290" s="2" t="str">
        <f>"9.9999"</f>
        <v>9.9999</v>
      </c>
      <c r="F290" s="2" t="s">
        <v>17</v>
      </c>
      <c r="G290" s="2" t="s">
        <v>126</v>
      </c>
      <c r="H290" s="3" t="s">
        <v>835</v>
      </c>
      <c r="I290" s="4" t="s">
        <v>833</v>
      </c>
    </row>
    <row r="291" spans="1:9" ht="30" x14ac:dyDescent="0.25">
      <c r="A291" s="9">
        <v>290</v>
      </c>
      <c r="B291" s="10" t="s">
        <v>1001</v>
      </c>
      <c r="C291" s="2" t="s">
        <v>1001</v>
      </c>
      <c r="D291" s="2" t="s">
        <v>1002</v>
      </c>
      <c r="E291" s="2" t="str">
        <f>"8.1079"</f>
        <v>8.1079</v>
      </c>
      <c r="F291" s="2" t="s">
        <v>746</v>
      </c>
      <c r="G291" s="2" t="s">
        <v>12</v>
      </c>
      <c r="H291" s="3" t="s">
        <v>875</v>
      </c>
      <c r="I291" s="4" t="s">
        <v>833</v>
      </c>
    </row>
    <row r="292" spans="1:9" ht="30" x14ac:dyDescent="0.25">
      <c r="A292" s="9">
        <v>291</v>
      </c>
      <c r="B292" s="10" t="s">
        <v>1003</v>
      </c>
      <c r="C292" s="2" t="s">
        <v>1003</v>
      </c>
      <c r="D292" s="2" t="s">
        <v>1004</v>
      </c>
      <c r="E292" s="2" t="str">
        <f>"734.3661"</f>
        <v>734.3661</v>
      </c>
      <c r="F292" s="2" t="s">
        <v>17</v>
      </c>
      <c r="G292" s="2" t="s">
        <v>126</v>
      </c>
      <c r="H292" s="3" t="s">
        <v>835</v>
      </c>
      <c r="I292" s="4" t="s">
        <v>833</v>
      </c>
    </row>
    <row r="293" spans="1:9" x14ac:dyDescent="0.25">
      <c r="A293" s="9">
        <v>292</v>
      </c>
      <c r="B293" s="10" t="s">
        <v>1005</v>
      </c>
      <c r="C293" s="2" t="s">
        <v>1005</v>
      </c>
      <c r="D293" s="2" t="s">
        <v>1006</v>
      </c>
      <c r="E293" s="2" t="str">
        <f>"0.9744"</f>
        <v>0.9744</v>
      </c>
      <c r="F293" s="2" t="s">
        <v>746</v>
      </c>
      <c r="G293" s="2" t="s">
        <v>36</v>
      </c>
      <c r="H293" s="3" t="s">
        <v>865</v>
      </c>
      <c r="I293" s="4" t="s">
        <v>833</v>
      </c>
    </row>
    <row r="294" spans="1:9" x14ac:dyDescent="0.25">
      <c r="A294" s="9">
        <v>293</v>
      </c>
      <c r="B294" s="10" t="s">
        <v>1007</v>
      </c>
      <c r="C294" s="2" t="s">
        <v>1008</v>
      </c>
      <c r="D294" s="2" t="s">
        <v>1009</v>
      </c>
      <c r="E294" s="2" t="str">
        <f>"324.3000"</f>
        <v>324.3000</v>
      </c>
      <c r="F294" s="2" t="s">
        <v>43</v>
      </c>
      <c r="G294" s="2" t="s">
        <v>1010</v>
      </c>
      <c r="H294" s="3" t="s">
        <v>835</v>
      </c>
      <c r="I294" s="4" t="s">
        <v>833</v>
      </c>
    </row>
    <row r="295" spans="1:9" ht="30" x14ac:dyDescent="0.25">
      <c r="A295" s="9">
        <v>294</v>
      </c>
      <c r="B295" s="10" t="s">
        <v>1011</v>
      </c>
      <c r="C295" s="2" t="s">
        <v>1012</v>
      </c>
      <c r="D295" s="2" t="s">
        <v>1013</v>
      </c>
      <c r="E295" s="2" t="str">
        <f>"250.0000"</f>
        <v>250.0000</v>
      </c>
      <c r="F295" s="2" t="s">
        <v>120</v>
      </c>
      <c r="G295" s="2" t="s">
        <v>846</v>
      </c>
      <c r="H295" s="3" t="s">
        <v>850</v>
      </c>
      <c r="I295" s="4" t="s">
        <v>833</v>
      </c>
    </row>
    <row r="296" spans="1:9" ht="45" x14ac:dyDescent="0.25">
      <c r="A296" s="9">
        <v>295</v>
      </c>
      <c r="B296" s="10" t="s">
        <v>1014</v>
      </c>
      <c r="C296" s="2" t="s">
        <v>1014</v>
      </c>
      <c r="D296" s="2" t="s">
        <v>894</v>
      </c>
      <c r="E296" s="2" t="str">
        <f>"100.0000"</f>
        <v>100.0000</v>
      </c>
      <c r="F296" s="2" t="s">
        <v>17</v>
      </c>
      <c r="G296" s="2" t="s">
        <v>895</v>
      </c>
      <c r="H296" s="3" t="s">
        <v>835</v>
      </c>
      <c r="I296" s="4" t="s">
        <v>833</v>
      </c>
    </row>
    <row r="297" spans="1:9" x14ac:dyDescent="0.25">
      <c r="A297" s="9">
        <v>296</v>
      </c>
      <c r="B297" s="10" t="s">
        <v>1015</v>
      </c>
      <c r="C297" s="2" t="s">
        <v>1016</v>
      </c>
      <c r="D297" s="2" t="s">
        <v>350</v>
      </c>
      <c r="E297" s="2" t="str">
        <f>"2017.8540"</f>
        <v>2017.8540</v>
      </c>
      <c r="F297" s="2" t="s">
        <v>43</v>
      </c>
      <c r="G297" s="2" t="s">
        <v>408</v>
      </c>
      <c r="H297" s="3" t="s">
        <v>832</v>
      </c>
      <c r="I297" s="4" t="s">
        <v>833</v>
      </c>
    </row>
    <row r="298" spans="1:9" ht="30" x14ac:dyDescent="0.25">
      <c r="A298" s="9">
        <v>297</v>
      </c>
      <c r="B298" s="10" t="s">
        <v>1017</v>
      </c>
      <c r="C298" s="2" t="s">
        <v>1017</v>
      </c>
      <c r="D298" s="2" t="s">
        <v>868</v>
      </c>
      <c r="E298" s="2" t="str">
        <f>"25.0001"</f>
        <v>25.0001</v>
      </c>
      <c r="F298" s="2" t="s">
        <v>746</v>
      </c>
      <c r="G298" s="2" t="s">
        <v>12</v>
      </c>
      <c r="H298" s="3" t="s">
        <v>832</v>
      </c>
      <c r="I298" s="4" t="s">
        <v>833</v>
      </c>
    </row>
    <row r="299" spans="1:9" ht="30" x14ac:dyDescent="0.25">
      <c r="A299" s="9">
        <v>298</v>
      </c>
      <c r="B299" s="10" t="s">
        <v>1018</v>
      </c>
      <c r="C299" s="2" t="s">
        <v>1018</v>
      </c>
      <c r="D299" s="2" t="s">
        <v>868</v>
      </c>
      <c r="E299" s="2" t="str">
        <f>"63.9547"</f>
        <v>63.9547</v>
      </c>
      <c r="F299" s="2" t="s">
        <v>746</v>
      </c>
      <c r="G299" s="2" t="s">
        <v>12</v>
      </c>
      <c r="H299" s="3" t="s">
        <v>832</v>
      </c>
      <c r="I299" s="4" t="s">
        <v>833</v>
      </c>
    </row>
    <row r="300" spans="1:9" ht="30" x14ac:dyDescent="0.25">
      <c r="A300" s="9">
        <v>299</v>
      </c>
      <c r="B300" s="10" t="s">
        <v>1019</v>
      </c>
      <c r="C300" s="2" t="s">
        <v>1019</v>
      </c>
      <c r="D300" s="2" t="s">
        <v>1020</v>
      </c>
      <c r="E300" s="2" t="str">
        <f>"154.4961"</f>
        <v>154.4961</v>
      </c>
      <c r="F300" s="2" t="s">
        <v>17</v>
      </c>
      <c r="G300" s="2" t="s">
        <v>126</v>
      </c>
      <c r="H300" s="3" t="s">
        <v>835</v>
      </c>
      <c r="I300" s="4" t="s">
        <v>833</v>
      </c>
    </row>
    <row r="301" spans="1:9" ht="30" x14ac:dyDescent="0.25">
      <c r="A301" s="9">
        <v>300</v>
      </c>
      <c r="B301" s="10" t="s">
        <v>1021</v>
      </c>
      <c r="C301" s="2" t="s">
        <v>1021</v>
      </c>
      <c r="D301" s="2" t="s">
        <v>887</v>
      </c>
      <c r="E301" s="2" t="str">
        <f>"10.5721"</f>
        <v>10.5721</v>
      </c>
      <c r="F301" s="2" t="s">
        <v>17</v>
      </c>
      <c r="G301" s="2" t="s">
        <v>126</v>
      </c>
      <c r="H301" s="3" t="s">
        <v>835</v>
      </c>
      <c r="I301" s="4" t="s">
        <v>833</v>
      </c>
    </row>
    <row r="302" spans="1:9" ht="45" x14ac:dyDescent="0.25">
      <c r="A302" s="9">
        <v>301</v>
      </c>
      <c r="B302" s="10" t="s">
        <v>1022</v>
      </c>
      <c r="C302" s="2" t="s">
        <v>1022</v>
      </c>
      <c r="D302" s="2" t="s">
        <v>1023</v>
      </c>
      <c r="E302" s="2" t="str">
        <f>"190.4198"</f>
        <v>190.4198</v>
      </c>
      <c r="F302" s="2" t="s">
        <v>17</v>
      </c>
      <c r="G302" s="2" t="s">
        <v>279</v>
      </c>
      <c r="H302" s="3" t="s">
        <v>904</v>
      </c>
      <c r="I302" s="4" t="s">
        <v>833</v>
      </c>
    </row>
    <row r="303" spans="1:9" ht="30" x14ac:dyDescent="0.25">
      <c r="A303" s="9">
        <v>302</v>
      </c>
      <c r="B303" s="10" t="s">
        <v>1024</v>
      </c>
      <c r="C303" s="2" t="s">
        <v>1024</v>
      </c>
      <c r="D303" s="2" t="s">
        <v>925</v>
      </c>
      <c r="E303" s="2" t="str">
        <f>"154.0606"</f>
        <v>154.0606</v>
      </c>
      <c r="F303" s="2" t="s">
        <v>17</v>
      </c>
      <c r="G303" s="2" t="s">
        <v>926</v>
      </c>
      <c r="H303" s="3" t="s">
        <v>855</v>
      </c>
      <c r="I303" s="4" t="s">
        <v>340</v>
      </c>
    </row>
    <row r="304" spans="1:9" x14ac:dyDescent="0.25">
      <c r="A304" s="9">
        <v>303</v>
      </c>
      <c r="B304" s="10" t="s">
        <v>1025</v>
      </c>
      <c r="C304" s="2" t="s">
        <v>1026</v>
      </c>
      <c r="D304" s="2" t="s">
        <v>849</v>
      </c>
      <c r="E304" s="2" t="str">
        <f>"800.0000"</f>
        <v>800.0000</v>
      </c>
      <c r="F304" s="2" t="s">
        <v>64</v>
      </c>
      <c r="G304" s="2" t="s">
        <v>831</v>
      </c>
      <c r="H304" s="3" t="s">
        <v>850</v>
      </c>
      <c r="I304" s="4" t="s">
        <v>833</v>
      </c>
    </row>
    <row r="305" spans="1:9" x14ac:dyDescent="0.25">
      <c r="A305" s="9">
        <v>304</v>
      </c>
      <c r="B305" s="10" t="s">
        <v>1027</v>
      </c>
      <c r="C305" s="2" t="s">
        <v>1028</v>
      </c>
      <c r="D305" s="2" t="s">
        <v>849</v>
      </c>
      <c r="E305" s="2" t="str">
        <f>"821.8000"</f>
        <v>821.8000</v>
      </c>
      <c r="F305" s="2" t="s">
        <v>64</v>
      </c>
      <c r="G305" s="2" t="s">
        <v>831</v>
      </c>
      <c r="H305" s="3" t="s">
        <v>875</v>
      </c>
      <c r="I305" s="4" t="s">
        <v>833</v>
      </c>
    </row>
    <row r="306" spans="1:9" x14ac:dyDescent="0.25">
      <c r="A306" s="9">
        <v>305</v>
      </c>
      <c r="B306" s="10" t="s">
        <v>1029</v>
      </c>
      <c r="C306" s="2" t="s">
        <v>1029</v>
      </c>
      <c r="D306" s="2" t="s">
        <v>1020</v>
      </c>
      <c r="E306" s="2" t="str">
        <f>"10.0000"</f>
        <v>10.0000</v>
      </c>
      <c r="F306" s="2" t="s">
        <v>43</v>
      </c>
      <c r="G306" s="2" t="s">
        <v>534</v>
      </c>
      <c r="H306" s="3" t="s">
        <v>835</v>
      </c>
      <c r="I306" s="4" t="s">
        <v>833</v>
      </c>
    </row>
    <row r="307" spans="1:9" ht="60" x14ac:dyDescent="0.25">
      <c r="A307" s="9">
        <v>306</v>
      </c>
      <c r="B307" s="10" t="s">
        <v>1030</v>
      </c>
      <c r="C307" s="2" t="s">
        <v>1030</v>
      </c>
      <c r="D307" s="2" t="s">
        <v>114</v>
      </c>
      <c r="E307" s="2" t="str">
        <f>"1983.4383"</f>
        <v>1983.4383</v>
      </c>
      <c r="F307" s="2" t="s">
        <v>17</v>
      </c>
      <c r="G307" s="2" t="s">
        <v>153</v>
      </c>
      <c r="H307" s="3" t="s">
        <v>835</v>
      </c>
      <c r="I307" s="4" t="s">
        <v>833</v>
      </c>
    </row>
    <row r="308" spans="1:9" x14ac:dyDescent="0.25">
      <c r="A308" s="9">
        <v>307</v>
      </c>
      <c r="B308" s="10" t="s">
        <v>1031</v>
      </c>
      <c r="C308" s="2" t="s">
        <v>1032</v>
      </c>
      <c r="D308" s="2" t="s">
        <v>973</v>
      </c>
      <c r="E308" s="2" t="str">
        <f>"100.0000"</f>
        <v>100.0000</v>
      </c>
      <c r="F308" s="2" t="s">
        <v>64</v>
      </c>
      <c r="G308" s="2" t="s">
        <v>115</v>
      </c>
      <c r="H308" s="3" t="s">
        <v>832</v>
      </c>
      <c r="I308" s="4" t="s">
        <v>833</v>
      </c>
    </row>
    <row r="309" spans="1:9" x14ac:dyDescent="0.25">
      <c r="A309" s="9">
        <v>308</v>
      </c>
      <c r="B309" s="10" t="s">
        <v>1033</v>
      </c>
      <c r="C309" s="2" t="s">
        <v>1033</v>
      </c>
      <c r="D309" s="2" t="s">
        <v>1034</v>
      </c>
      <c r="E309" s="2" t="str">
        <f>"39.7797"</f>
        <v>39.7797</v>
      </c>
      <c r="F309" s="2" t="s">
        <v>17</v>
      </c>
      <c r="G309" s="2" t="s">
        <v>408</v>
      </c>
      <c r="H309" s="3" t="s">
        <v>832</v>
      </c>
      <c r="I309" s="4" t="s">
        <v>833</v>
      </c>
    </row>
    <row r="310" spans="1:9" ht="45" x14ac:dyDescent="0.25">
      <c r="A310" s="9">
        <v>309</v>
      </c>
      <c r="B310" s="10" t="s">
        <v>1035</v>
      </c>
      <c r="C310" s="2" t="s">
        <v>1036</v>
      </c>
      <c r="D310" s="2" t="s">
        <v>1037</v>
      </c>
      <c r="E310" s="2" t="str">
        <f>"1000.0000"</f>
        <v>1000.0000</v>
      </c>
      <c r="F310" s="2" t="s">
        <v>17</v>
      </c>
      <c r="G310" s="2" t="s">
        <v>115</v>
      </c>
      <c r="H310" s="3" t="s">
        <v>835</v>
      </c>
      <c r="I310" s="4" t="s">
        <v>833</v>
      </c>
    </row>
    <row r="311" spans="1:9" ht="45" x14ac:dyDescent="0.25">
      <c r="A311" s="9">
        <v>310</v>
      </c>
      <c r="B311" s="10" t="s">
        <v>1038</v>
      </c>
      <c r="C311" s="2" t="s">
        <v>1038</v>
      </c>
      <c r="D311" s="2" t="s">
        <v>404</v>
      </c>
      <c r="E311" s="2" t="str">
        <f>"695.7905"</f>
        <v>695.7905</v>
      </c>
      <c r="F311" s="2" t="s">
        <v>17</v>
      </c>
      <c r="G311" s="2" t="s">
        <v>983</v>
      </c>
      <c r="H311" s="3" t="s">
        <v>835</v>
      </c>
      <c r="I311" s="4" t="s">
        <v>833</v>
      </c>
    </row>
    <row r="312" spans="1:9" ht="30" x14ac:dyDescent="0.25">
      <c r="A312" s="9">
        <v>311</v>
      </c>
      <c r="B312" s="10" t="s">
        <v>1039</v>
      </c>
      <c r="C312" s="2" t="s">
        <v>1040</v>
      </c>
      <c r="D312" s="2" t="s">
        <v>1041</v>
      </c>
      <c r="E312" s="2" t="str">
        <f>"470.7069"</f>
        <v>470.7069</v>
      </c>
      <c r="F312" s="2" t="s">
        <v>17</v>
      </c>
      <c r="G312" s="2" t="s">
        <v>293</v>
      </c>
      <c r="H312" s="3" t="s">
        <v>835</v>
      </c>
      <c r="I312" s="4" t="s">
        <v>833</v>
      </c>
    </row>
    <row r="313" spans="1:9" ht="30" x14ac:dyDescent="0.25">
      <c r="A313" s="9">
        <v>312</v>
      </c>
      <c r="B313" s="10" t="s">
        <v>1042</v>
      </c>
      <c r="C313" s="2" t="s">
        <v>1043</v>
      </c>
      <c r="D313" s="2" t="s">
        <v>350</v>
      </c>
      <c r="E313" s="2" t="str">
        <f>"398.0200"</f>
        <v>398.0200</v>
      </c>
      <c r="F313" s="2" t="s">
        <v>390</v>
      </c>
      <c r="G313" s="2" t="s">
        <v>1044</v>
      </c>
      <c r="H313" s="3" t="s">
        <v>832</v>
      </c>
      <c r="I313" s="4" t="s">
        <v>833</v>
      </c>
    </row>
    <row r="314" spans="1:9" x14ac:dyDescent="0.25">
      <c r="A314" s="9">
        <v>313</v>
      </c>
      <c r="B314" s="10" t="s">
        <v>1045</v>
      </c>
      <c r="C314" s="2" t="s">
        <v>1046</v>
      </c>
      <c r="D314" s="2" t="s">
        <v>350</v>
      </c>
      <c r="E314" s="2" t="str">
        <f>"900.0000"</f>
        <v>900.0000</v>
      </c>
      <c r="F314" s="2" t="s">
        <v>64</v>
      </c>
      <c r="G314" s="2" t="s">
        <v>831</v>
      </c>
      <c r="H314" s="3" t="s">
        <v>832</v>
      </c>
      <c r="I314" s="4" t="s">
        <v>833</v>
      </c>
    </row>
    <row r="315" spans="1:9" ht="30" x14ac:dyDescent="0.25">
      <c r="A315" s="9">
        <v>314</v>
      </c>
      <c r="B315" s="10" t="s">
        <v>1047</v>
      </c>
      <c r="C315" s="2" t="s">
        <v>1048</v>
      </c>
      <c r="D315" s="2" t="s">
        <v>853</v>
      </c>
      <c r="E315" s="2" t="str">
        <f>"220.3269"</f>
        <v>220.3269</v>
      </c>
      <c r="F315" s="2" t="s">
        <v>43</v>
      </c>
      <c r="G315" s="2" t="s">
        <v>1049</v>
      </c>
      <c r="H315" s="3" t="s">
        <v>855</v>
      </c>
      <c r="I315" s="4" t="s">
        <v>340</v>
      </c>
    </row>
    <row r="316" spans="1:9" ht="105" x14ac:dyDescent="0.25">
      <c r="A316" s="9">
        <v>315</v>
      </c>
      <c r="B316" s="10" t="s">
        <v>1050</v>
      </c>
      <c r="C316" s="2" t="s">
        <v>1050</v>
      </c>
      <c r="D316" s="2" t="s">
        <v>1051</v>
      </c>
      <c r="E316" s="2" t="str">
        <f>"9.4196"</f>
        <v>9.4196</v>
      </c>
      <c r="F316" s="2" t="s">
        <v>17</v>
      </c>
      <c r="G316" s="2" t="s">
        <v>279</v>
      </c>
      <c r="H316" s="3" t="s">
        <v>835</v>
      </c>
      <c r="I316" s="4" t="s">
        <v>833</v>
      </c>
    </row>
    <row r="317" spans="1:9" ht="30" x14ac:dyDescent="0.25">
      <c r="A317" s="9">
        <v>316</v>
      </c>
      <c r="B317" s="10" t="s">
        <v>1052</v>
      </c>
      <c r="C317" s="2" t="s">
        <v>1052</v>
      </c>
      <c r="D317" s="2" t="s">
        <v>1053</v>
      </c>
      <c r="E317" s="2" t="str">
        <f>"1986.5002"</f>
        <v>1986.5002</v>
      </c>
      <c r="F317" s="2" t="s">
        <v>17</v>
      </c>
      <c r="G317" s="2" t="s">
        <v>126</v>
      </c>
      <c r="H317" s="3" t="s">
        <v>873</v>
      </c>
      <c r="I317" s="4" t="s">
        <v>833</v>
      </c>
    </row>
    <row r="318" spans="1:9" ht="30" x14ac:dyDescent="0.25">
      <c r="A318" s="9">
        <v>317</v>
      </c>
      <c r="B318" s="2" t="s">
        <v>100</v>
      </c>
      <c r="C318" s="2" t="s">
        <v>101</v>
      </c>
      <c r="D318" s="2" t="s">
        <v>102</v>
      </c>
      <c r="E318" s="2" t="s">
        <v>1106</v>
      </c>
      <c r="F318" s="2" t="s">
        <v>17</v>
      </c>
      <c r="G318" s="2" t="s">
        <v>53</v>
      </c>
      <c r="H318" s="3" t="s">
        <v>103</v>
      </c>
      <c r="I318" s="4" t="s">
        <v>104</v>
      </c>
    </row>
    <row r="319" spans="1:9" ht="30" x14ac:dyDescent="0.25">
      <c r="A319" s="9">
        <v>318</v>
      </c>
      <c r="B319" s="2" t="s">
        <v>392</v>
      </c>
      <c r="C319" s="2" t="s">
        <v>393</v>
      </c>
      <c r="D319" s="2" t="s">
        <v>394</v>
      </c>
      <c r="E319" s="2" t="s">
        <v>1055</v>
      </c>
      <c r="F319" s="2" t="s">
        <v>22</v>
      </c>
      <c r="G319" s="2" t="s">
        <v>395</v>
      </c>
      <c r="H319" s="3" t="s">
        <v>391</v>
      </c>
      <c r="I319" s="4" t="s">
        <v>104</v>
      </c>
    </row>
    <row r="320" spans="1:9" x14ac:dyDescent="0.25">
      <c r="A320" s="9">
        <v>319</v>
      </c>
      <c r="B320" s="2" t="s">
        <v>397</v>
      </c>
      <c r="C320" s="2" t="s">
        <v>398</v>
      </c>
      <c r="D320" s="2" t="s">
        <v>399</v>
      </c>
      <c r="E320" s="2" t="s">
        <v>1056</v>
      </c>
      <c r="F320" s="2" t="s">
        <v>17</v>
      </c>
      <c r="G320" s="2" t="s">
        <v>121</v>
      </c>
      <c r="H320" s="3" t="s">
        <v>391</v>
      </c>
      <c r="I320" s="4" t="s">
        <v>104</v>
      </c>
    </row>
    <row r="321" spans="1:9" ht="30" x14ac:dyDescent="0.25">
      <c r="A321" s="9">
        <v>320</v>
      </c>
      <c r="B321" s="2" t="s">
        <v>400</v>
      </c>
      <c r="C321" s="2" t="s">
        <v>400</v>
      </c>
      <c r="D321" s="2" t="s">
        <v>401</v>
      </c>
      <c r="E321" s="2" t="s">
        <v>1057</v>
      </c>
      <c r="F321" s="2" t="s">
        <v>17</v>
      </c>
      <c r="G321" s="2" t="s">
        <v>402</v>
      </c>
      <c r="H321" s="3" t="s">
        <v>391</v>
      </c>
      <c r="I321" s="4" t="s">
        <v>104</v>
      </c>
    </row>
    <row r="322" spans="1:9" ht="120" x14ac:dyDescent="0.25">
      <c r="A322" s="9">
        <v>321</v>
      </c>
      <c r="B322" s="2" t="s">
        <v>403</v>
      </c>
      <c r="C322" s="2" t="s">
        <v>403</v>
      </c>
      <c r="D322" s="2" t="s">
        <v>404</v>
      </c>
      <c r="E322" s="2" t="s">
        <v>1058</v>
      </c>
      <c r="F322" s="2" t="s">
        <v>17</v>
      </c>
      <c r="G322" s="2" t="s">
        <v>257</v>
      </c>
      <c r="H322" s="3" t="s">
        <v>391</v>
      </c>
      <c r="I322" s="4" t="s">
        <v>104</v>
      </c>
    </row>
    <row r="323" spans="1:9" ht="45" x14ac:dyDescent="0.25">
      <c r="A323" s="9">
        <v>322</v>
      </c>
      <c r="B323" s="2" t="s">
        <v>405</v>
      </c>
      <c r="C323" s="2" t="s">
        <v>406</v>
      </c>
      <c r="D323" s="2" t="s">
        <v>407</v>
      </c>
      <c r="E323" s="2" t="s">
        <v>1059</v>
      </c>
      <c r="F323" s="2" t="s">
        <v>22</v>
      </c>
      <c r="G323" s="2" t="s">
        <v>408</v>
      </c>
      <c r="H323" s="3" t="s">
        <v>391</v>
      </c>
      <c r="I323" s="4" t="s">
        <v>104</v>
      </c>
    </row>
    <row r="324" spans="1:9" ht="30" x14ac:dyDescent="0.25">
      <c r="A324" s="9">
        <v>323</v>
      </c>
      <c r="B324" s="2" t="s">
        <v>410</v>
      </c>
      <c r="C324" s="2" t="s">
        <v>411</v>
      </c>
      <c r="D324" s="2" t="s">
        <v>105</v>
      </c>
      <c r="E324" s="2" t="s">
        <v>1060</v>
      </c>
      <c r="F324" s="2" t="s">
        <v>64</v>
      </c>
      <c r="G324" s="2" t="s">
        <v>142</v>
      </c>
      <c r="H324" s="3" t="s">
        <v>391</v>
      </c>
      <c r="I324" s="4" t="s">
        <v>104</v>
      </c>
    </row>
    <row r="325" spans="1:9" ht="30" x14ac:dyDescent="0.25">
      <c r="A325" s="9">
        <v>324</v>
      </c>
      <c r="B325" s="2" t="s">
        <v>412</v>
      </c>
      <c r="C325" s="2" t="s">
        <v>413</v>
      </c>
      <c r="D325" s="2" t="s">
        <v>414</v>
      </c>
      <c r="E325" s="2" t="s">
        <v>1061</v>
      </c>
      <c r="F325" s="2" t="s">
        <v>64</v>
      </c>
      <c r="G325" s="2" t="s">
        <v>131</v>
      </c>
      <c r="H325" s="3" t="s">
        <v>391</v>
      </c>
      <c r="I325" s="4" t="s">
        <v>104</v>
      </c>
    </row>
    <row r="326" spans="1:9" x14ac:dyDescent="0.25">
      <c r="A326" s="9">
        <v>325</v>
      </c>
      <c r="B326" s="2" t="s">
        <v>415</v>
      </c>
      <c r="C326" s="2" t="s">
        <v>416</v>
      </c>
      <c r="D326" s="2" t="s">
        <v>417</v>
      </c>
      <c r="E326" s="2" t="s">
        <v>1062</v>
      </c>
      <c r="F326" s="2" t="s">
        <v>17</v>
      </c>
      <c r="G326" s="2" t="s">
        <v>121</v>
      </c>
      <c r="H326" s="3" t="s">
        <v>391</v>
      </c>
      <c r="I326" s="4" t="s">
        <v>104</v>
      </c>
    </row>
    <row r="327" spans="1:9" ht="30" x14ac:dyDescent="0.25">
      <c r="A327" s="9">
        <v>326</v>
      </c>
      <c r="B327" s="2" t="s">
        <v>418</v>
      </c>
      <c r="C327" s="2" t="s">
        <v>419</v>
      </c>
      <c r="D327" s="2" t="s">
        <v>420</v>
      </c>
      <c r="E327" s="2" t="s">
        <v>1063</v>
      </c>
      <c r="F327" s="2" t="s">
        <v>22</v>
      </c>
      <c r="G327" s="2" t="s">
        <v>421</v>
      </c>
      <c r="H327" s="3" t="s">
        <v>391</v>
      </c>
      <c r="I327" s="4" t="s">
        <v>104</v>
      </c>
    </row>
    <row r="328" spans="1:9" ht="30" x14ac:dyDescent="0.25">
      <c r="A328" s="9">
        <v>327</v>
      </c>
      <c r="B328" s="2" t="s">
        <v>422</v>
      </c>
      <c r="C328" s="2" t="s">
        <v>423</v>
      </c>
      <c r="D328" s="2" t="s">
        <v>424</v>
      </c>
      <c r="E328" s="2" t="s">
        <v>1064</v>
      </c>
      <c r="F328" s="2" t="s">
        <v>22</v>
      </c>
      <c r="G328" s="2" t="s">
        <v>115</v>
      </c>
      <c r="H328" s="3" t="s">
        <v>391</v>
      </c>
      <c r="I328" s="4" t="s">
        <v>104</v>
      </c>
    </row>
    <row r="329" spans="1:9" x14ac:dyDescent="0.25">
      <c r="A329" s="9">
        <v>328</v>
      </c>
      <c r="B329" s="2" t="s">
        <v>425</v>
      </c>
      <c r="C329" s="2" t="s">
        <v>426</v>
      </c>
      <c r="D329" s="2" t="s">
        <v>427</v>
      </c>
      <c r="E329" s="2" t="s">
        <v>1065</v>
      </c>
      <c r="F329" s="2" t="s">
        <v>43</v>
      </c>
      <c r="G329" s="2" t="s">
        <v>428</v>
      </c>
      <c r="H329" s="3" t="s">
        <v>391</v>
      </c>
      <c r="I329" s="4" t="s">
        <v>104</v>
      </c>
    </row>
    <row r="330" spans="1:9" ht="30" x14ac:dyDescent="0.25">
      <c r="A330" s="9">
        <v>329</v>
      </c>
      <c r="B330" s="2" t="s">
        <v>429</v>
      </c>
      <c r="C330" s="2" t="s">
        <v>430</v>
      </c>
      <c r="D330" s="2" t="s">
        <v>404</v>
      </c>
      <c r="E330" s="2" t="s">
        <v>1066</v>
      </c>
      <c r="F330" s="2" t="s">
        <v>17</v>
      </c>
      <c r="G330" s="2" t="s">
        <v>431</v>
      </c>
      <c r="H330" s="3" t="s">
        <v>391</v>
      </c>
      <c r="I330" s="4" t="s">
        <v>104</v>
      </c>
    </row>
    <row r="331" spans="1:9" ht="45" x14ac:dyDescent="0.25">
      <c r="A331" s="9">
        <v>330</v>
      </c>
      <c r="B331" s="2" t="s">
        <v>432</v>
      </c>
      <c r="C331" s="2" t="s">
        <v>432</v>
      </c>
      <c r="D331" s="2" t="s">
        <v>433</v>
      </c>
      <c r="E331" s="2" t="s">
        <v>1067</v>
      </c>
      <c r="F331" s="2" t="s">
        <v>17</v>
      </c>
      <c r="G331" s="2" t="s">
        <v>322</v>
      </c>
      <c r="H331" s="3" t="s">
        <v>391</v>
      </c>
      <c r="I331" s="4" t="s">
        <v>104</v>
      </c>
    </row>
    <row r="332" spans="1:9" ht="90" x14ac:dyDescent="0.25">
      <c r="A332" s="9">
        <v>331</v>
      </c>
      <c r="B332" s="2" t="s">
        <v>434</v>
      </c>
      <c r="C332" s="2" t="s">
        <v>434</v>
      </c>
      <c r="D332" s="2" t="s">
        <v>435</v>
      </c>
      <c r="E332" s="2" t="s">
        <v>1068</v>
      </c>
      <c r="F332" s="2" t="s">
        <v>17</v>
      </c>
      <c r="G332" s="2" t="s">
        <v>436</v>
      </c>
      <c r="H332" s="3" t="s">
        <v>391</v>
      </c>
      <c r="I332" s="4" t="s">
        <v>104</v>
      </c>
    </row>
    <row r="333" spans="1:9" ht="30" x14ac:dyDescent="0.25">
      <c r="A333" s="9">
        <v>332</v>
      </c>
      <c r="B333" s="2" t="s">
        <v>437</v>
      </c>
      <c r="C333" s="2" t="s">
        <v>438</v>
      </c>
      <c r="D333" s="2" t="s">
        <v>439</v>
      </c>
      <c r="E333" s="2" t="s">
        <v>1069</v>
      </c>
      <c r="F333" s="2" t="s">
        <v>64</v>
      </c>
      <c r="G333" s="2" t="s">
        <v>440</v>
      </c>
      <c r="H333" s="3" t="s">
        <v>391</v>
      </c>
      <c r="I333" s="4" t="s">
        <v>104</v>
      </c>
    </row>
    <row r="334" spans="1:9" ht="30" x14ac:dyDescent="0.25">
      <c r="A334" s="9">
        <v>333</v>
      </c>
      <c r="B334" s="2" t="s">
        <v>441</v>
      </c>
      <c r="C334" s="2" t="s">
        <v>442</v>
      </c>
      <c r="D334" s="2" t="s">
        <v>443</v>
      </c>
      <c r="E334" s="2" t="s">
        <v>1070</v>
      </c>
      <c r="F334" s="2" t="s">
        <v>22</v>
      </c>
      <c r="G334" s="2" t="s">
        <v>131</v>
      </c>
      <c r="H334" s="3" t="s">
        <v>391</v>
      </c>
      <c r="I334" s="4" t="s">
        <v>104</v>
      </c>
    </row>
    <row r="335" spans="1:9" x14ac:dyDescent="0.25">
      <c r="A335" s="9">
        <v>334</v>
      </c>
      <c r="B335" s="2" t="s">
        <v>444</v>
      </c>
      <c r="C335" s="2" t="s">
        <v>445</v>
      </c>
      <c r="D335" s="2" t="s">
        <v>446</v>
      </c>
      <c r="E335" s="2" t="s">
        <v>1071</v>
      </c>
      <c r="F335" s="2" t="s">
        <v>64</v>
      </c>
      <c r="G335" s="2" t="s">
        <v>447</v>
      </c>
      <c r="H335" s="3" t="s">
        <v>391</v>
      </c>
      <c r="I335" s="4" t="s">
        <v>104</v>
      </c>
    </row>
    <row r="336" spans="1:9" x14ac:dyDescent="0.25">
      <c r="A336" s="9">
        <v>335</v>
      </c>
      <c r="B336" s="2" t="s">
        <v>448</v>
      </c>
      <c r="C336" s="2" t="s">
        <v>449</v>
      </c>
      <c r="D336" s="2" t="s">
        <v>433</v>
      </c>
      <c r="E336" s="2" t="s">
        <v>1072</v>
      </c>
      <c r="F336" s="2" t="s">
        <v>17</v>
      </c>
      <c r="G336" s="2" t="s">
        <v>238</v>
      </c>
      <c r="H336" s="3" t="s">
        <v>391</v>
      </c>
      <c r="I336" s="4" t="s">
        <v>104</v>
      </c>
    </row>
    <row r="337" spans="1:9" x14ac:dyDescent="0.25">
      <c r="A337" s="9">
        <v>336</v>
      </c>
      <c r="B337" s="2" t="s">
        <v>450</v>
      </c>
      <c r="C337" s="2" t="s">
        <v>451</v>
      </c>
      <c r="D337" s="2" t="s">
        <v>452</v>
      </c>
      <c r="E337" s="2" t="s">
        <v>1073</v>
      </c>
      <c r="F337" s="2" t="s">
        <v>64</v>
      </c>
      <c r="G337" s="2" t="s">
        <v>131</v>
      </c>
      <c r="H337" s="3" t="s">
        <v>391</v>
      </c>
      <c r="I337" s="4" t="s">
        <v>104</v>
      </c>
    </row>
    <row r="338" spans="1:9" ht="150" x14ac:dyDescent="0.25">
      <c r="A338" s="9">
        <v>337</v>
      </c>
      <c r="B338" s="2" t="s">
        <v>453</v>
      </c>
      <c r="C338" s="2" t="s">
        <v>453</v>
      </c>
      <c r="D338" s="2" t="s">
        <v>404</v>
      </c>
      <c r="E338" s="2" t="s">
        <v>1074</v>
      </c>
      <c r="F338" s="2" t="s">
        <v>17</v>
      </c>
      <c r="G338" s="2" t="s">
        <v>244</v>
      </c>
      <c r="H338" s="3" t="s">
        <v>391</v>
      </c>
      <c r="I338" s="4" t="s">
        <v>104</v>
      </c>
    </row>
    <row r="339" spans="1:9" ht="45" x14ac:dyDescent="0.25">
      <c r="A339" s="9">
        <v>338</v>
      </c>
      <c r="B339" s="2" t="s">
        <v>455</v>
      </c>
      <c r="C339" s="2" t="s">
        <v>456</v>
      </c>
      <c r="D339" s="2" t="s">
        <v>457</v>
      </c>
      <c r="E339" s="2" t="s">
        <v>1075</v>
      </c>
      <c r="F339" s="2" t="s">
        <v>22</v>
      </c>
      <c r="G339" s="2" t="s">
        <v>131</v>
      </c>
      <c r="H339" s="3" t="s">
        <v>391</v>
      </c>
      <c r="I339" s="4" t="s">
        <v>104</v>
      </c>
    </row>
    <row r="340" spans="1:9" ht="30" x14ac:dyDescent="0.25">
      <c r="A340" s="9">
        <v>339</v>
      </c>
      <c r="B340" s="2" t="s">
        <v>458</v>
      </c>
      <c r="C340" s="2" t="s">
        <v>459</v>
      </c>
      <c r="D340" s="2" t="s">
        <v>460</v>
      </c>
      <c r="E340" s="2" t="s">
        <v>1076</v>
      </c>
      <c r="F340" s="2" t="s">
        <v>43</v>
      </c>
      <c r="G340" s="2" t="s">
        <v>53</v>
      </c>
      <c r="H340" s="3" t="s">
        <v>391</v>
      </c>
      <c r="I340" s="4" t="s">
        <v>104</v>
      </c>
    </row>
    <row r="341" spans="1:9" ht="30" x14ac:dyDescent="0.25">
      <c r="A341" s="9">
        <v>340</v>
      </c>
      <c r="B341" s="2" t="s">
        <v>462</v>
      </c>
      <c r="C341" s="2" t="s">
        <v>463</v>
      </c>
      <c r="D341" s="2" t="s">
        <v>464</v>
      </c>
      <c r="E341" s="2" t="s">
        <v>1077</v>
      </c>
      <c r="F341" s="2" t="s">
        <v>17</v>
      </c>
      <c r="G341" s="2" t="s">
        <v>465</v>
      </c>
      <c r="H341" s="3" t="s">
        <v>391</v>
      </c>
      <c r="I341" s="4" t="s">
        <v>104</v>
      </c>
    </row>
    <row r="342" spans="1:9" ht="120" x14ac:dyDescent="0.25">
      <c r="A342" s="9">
        <v>341</v>
      </c>
      <c r="B342" s="2" t="s">
        <v>467</v>
      </c>
      <c r="C342" s="2" t="s">
        <v>467</v>
      </c>
      <c r="D342" s="2" t="s">
        <v>123</v>
      </c>
      <c r="E342" s="2" t="s">
        <v>1078</v>
      </c>
      <c r="F342" s="2" t="s">
        <v>17</v>
      </c>
      <c r="G342" s="2" t="s">
        <v>257</v>
      </c>
      <c r="H342" s="3" t="s">
        <v>391</v>
      </c>
      <c r="I342" s="4" t="s">
        <v>104</v>
      </c>
    </row>
    <row r="343" spans="1:9" ht="30" x14ac:dyDescent="0.25">
      <c r="A343" s="9">
        <v>342</v>
      </c>
      <c r="B343" s="2" t="s">
        <v>468</v>
      </c>
      <c r="C343" s="2" t="s">
        <v>469</v>
      </c>
      <c r="D343" s="2" t="s">
        <v>470</v>
      </c>
      <c r="E343" s="2" t="s">
        <v>1079</v>
      </c>
      <c r="F343" s="2" t="s">
        <v>22</v>
      </c>
      <c r="G343" s="2" t="s">
        <v>131</v>
      </c>
      <c r="H343" s="3" t="s">
        <v>391</v>
      </c>
      <c r="I343" s="4" t="s">
        <v>104</v>
      </c>
    </row>
    <row r="344" spans="1:9" ht="30" x14ac:dyDescent="0.25">
      <c r="A344" s="9">
        <v>343</v>
      </c>
      <c r="B344" s="2" t="s">
        <v>471</v>
      </c>
      <c r="C344" s="2" t="s">
        <v>472</v>
      </c>
      <c r="D344" s="2" t="s">
        <v>460</v>
      </c>
      <c r="E344" s="2" t="s">
        <v>1080</v>
      </c>
      <c r="F344" s="2" t="s">
        <v>43</v>
      </c>
      <c r="G344" s="2" t="s">
        <v>121</v>
      </c>
      <c r="H344" s="3" t="s">
        <v>391</v>
      </c>
      <c r="I344" s="4" t="s">
        <v>104</v>
      </c>
    </row>
    <row r="345" spans="1:9" ht="30" x14ac:dyDescent="0.25">
      <c r="A345" s="9">
        <v>344</v>
      </c>
      <c r="B345" s="2" t="s">
        <v>473</v>
      </c>
      <c r="C345" s="2" t="s">
        <v>474</v>
      </c>
      <c r="D345" s="2" t="s">
        <v>396</v>
      </c>
      <c r="E345" s="2" t="s">
        <v>1081</v>
      </c>
      <c r="F345" s="2" t="s">
        <v>43</v>
      </c>
      <c r="G345" s="2" t="s">
        <v>53</v>
      </c>
      <c r="H345" s="3" t="s">
        <v>391</v>
      </c>
      <c r="I345" s="4" t="s">
        <v>104</v>
      </c>
    </row>
    <row r="346" spans="1:9" ht="150" x14ac:dyDescent="0.25">
      <c r="A346" s="9">
        <v>345</v>
      </c>
      <c r="B346" s="2" t="s">
        <v>475</v>
      </c>
      <c r="C346" s="2" t="s">
        <v>475</v>
      </c>
      <c r="D346" s="2" t="s">
        <v>404</v>
      </c>
      <c r="E346" s="2" t="s">
        <v>1082</v>
      </c>
      <c r="F346" s="2" t="s">
        <v>17</v>
      </c>
      <c r="G346" s="2" t="s">
        <v>244</v>
      </c>
      <c r="H346" s="3" t="s">
        <v>391</v>
      </c>
      <c r="I346" s="4" t="s">
        <v>104</v>
      </c>
    </row>
    <row r="347" spans="1:9" x14ac:dyDescent="0.25">
      <c r="A347" s="9">
        <v>346</v>
      </c>
      <c r="B347" s="2" t="s">
        <v>476</v>
      </c>
      <c r="C347" s="2" t="s">
        <v>477</v>
      </c>
      <c r="D347" s="2" t="s">
        <v>396</v>
      </c>
      <c r="E347" s="2" t="s">
        <v>1083</v>
      </c>
      <c r="F347" s="2" t="s">
        <v>64</v>
      </c>
      <c r="G347" s="2" t="s">
        <v>447</v>
      </c>
      <c r="H347" s="3" t="s">
        <v>391</v>
      </c>
      <c r="I347" s="4" t="s">
        <v>104</v>
      </c>
    </row>
    <row r="348" spans="1:9" ht="60" x14ac:dyDescent="0.25">
      <c r="A348" s="9">
        <v>347</v>
      </c>
      <c r="B348" s="2" t="s">
        <v>480</v>
      </c>
      <c r="C348" s="2" t="s">
        <v>480</v>
      </c>
      <c r="D348" s="2" t="s">
        <v>481</v>
      </c>
      <c r="E348" s="2" t="s">
        <v>1084</v>
      </c>
      <c r="F348" s="2" t="s">
        <v>17</v>
      </c>
      <c r="G348" s="2" t="s">
        <v>126</v>
      </c>
      <c r="H348" s="3" t="s">
        <v>391</v>
      </c>
      <c r="I348" s="4" t="s">
        <v>104</v>
      </c>
    </row>
    <row r="349" spans="1:9" ht="30" x14ac:dyDescent="0.25">
      <c r="A349" s="9">
        <v>348</v>
      </c>
      <c r="B349" s="2" t="s">
        <v>482</v>
      </c>
      <c r="C349" s="2" t="s">
        <v>482</v>
      </c>
      <c r="D349" s="2" t="s">
        <v>433</v>
      </c>
      <c r="E349" s="2" t="s">
        <v>1085</v>
      </c>
      <c r="F349" s="2" t="s">
        <v>17</v>
      </c>
      <c r="G349" s="2" t="s">
        <v>126</v>
      </c>
      <c r="H349" s="3" t="s">
        <v>391</v>
      </c>
      <c r="I349" s="4" t="s">
        <v>104</v>
      </c>
    </row>
    <row r="350" spans="1:9" ht="30" x14ac:dyDescent="0.25">
      <c r="A350" s="9">
        <v>349</v>
      </c>
      <c r="B350" s="2" t="s">
        <v>483</v>
      </c>
      <c r="C350" s="2" t="s">
        <v>483</v>
      </c>
      <c r="D350" s="2" t="s">
        <v>433</v>
      </c>
      <c r="E350" s="2" t="s">
        <v>1086</v>
      </c>
      <c r="F350" s="2" t="s">
        <v>17</v>
      </c>
      <c r="G350" s="2" t="s">
        <v>466</v>
      </c>
      <c r="H350" s="3" t="s">
        <v>391</v>
      </c>
      <c r="I350" s="4" t="s">
        <v>104</v>
      </c>
    </row>
    <row r="351" spans="1:9" ht="45" x14ac:dyDescent="0.25">
      <c r="A351" s="9">
        <v>350</v>
      </c>
      <c r="B351" s="2" t="s">
        <v>484</v>
      </c>
      <c r="C351" s="2" t="s">
        <v>484</v>
      </c>
      <c r="D351" s="2" t="s">
        <v>485</v>
      </c>
      <c r="E351" s="2" t="s">
        <v>1087</v>
      </c>
      <c r="F351" s="2" t="s">
        <v>17</v>
      </c>
      <c r="G351" s="2" t="s">
        <v>402</v>
      </c>
      <c r="H351" s="3" t="s">
        <v>391</v>
      </c>
      <c r="I351" s="4" t="s">
        <v>104</v>
      </c>
    </row>
    <row r="352" spans="1:9" ht="150" x14ac:dyDescent="0.25">
      <c r="A352" s="9">
        <v>351</v>
      </c>
      <c r="B352" s="2" t="s">
        <v>486</v>
      </c>
      <c r="C352" s="2" t="s">
        <v>486</v>
      </c>
      <c r="D352" s="2" t="s">
        <v>433</v>
      </c>
      <c r="E352" s="2" t="s">
        <v>1088</v>
      </c>
      <c r="F352" s="2" t="s">
        <v>17</v>
      </c>
      <c r="G352" s="2" t="s">
        <v>487</v>
      </c>
      <c r="H352" s="3" t="s">
        <v>391</v>
      </c>
      <c r="I352" s="4" t="s">
        <v>104</v>
      </c>
    </row>
    <row r="353" spans="1:9" ht="60" x14ac:dyDescent="0.25">
      <c r="A353" s="9">
        <v>352</v>
      </c>
      <c r="B353" s="2" t="s">
        <v>488</v>
      </c>
      <c r="C353" s="2" t="s">
        <v>489</v>
      </c>
      <c r="D353" s="2" t="s">
        <v>490</v>
      </c>
      <c r="E353" s="2" t="s">
        <v>1089</v>
      </c>
      <c r="F353" s="2" t="s">
        <v>17</v>
      </c>
      <c r="G353" s="2" t="s">
        <v>447</v>
      </c>
      <c r="H353" s="3" t="s">
        <v>391</v>
      </c>
      <c r="I353" s="4" t="s">
        <v>104</v>
      </c>
    </row>
    <row r="354" spans="1:9" ht="30" x14ac:dyDescent="0.25">
      <c r="A354" s="9">
        <v>353</v>
      </c>
      <c r="B354" s="2" t="s">
        <v>491</v>
      </c>
      <c r="C354" s="2" t="s">
        <v>492</v>
      </c>
      <c r="D354" s="2" t="s">
        <v>443</v>
      </c>
      <c r="E354" s="2" t="s">
        <v>1090</v>
      </c>
      <c r="F354" s="2" t="s">
        <v>64</v>
      </c>
      <c r="G354" s="2" t="s">
        <v>115</v>
      </c>
      <c r="H354" s="3" t="s">
        <v>391</v>
      </c>
      <c r="I354" s="4" t="s">
        <v>104</v>
      </c>
    </row>
    <row r="355" spans="1:9" ht="60" x14ac:dyDescent="0.25">
      <c r="A355" s="9">
        <v>354</v>
      </c>
      <c r="B355" s="2" t="s">
        <v>494</v>
      </c>
      <c r="C355" s="2" t="s">
        <v>494</v>
      </c>
      <c r="D355" s="2" t="s">
        <v>404</v>
      </c>
      <c r="E355" s="2" t="s">
        <v>1091</v>
      </c>
      <c r="F355" s="2" t="s">
        <v>17</v>
      </c>
      <c r="G355" s="2" t="s">
        <v>319</v>
      </c>
      <c r="H355" s="3" t="s">
        <v>391</v>
      </c>
      <c r="I355" s="4" t="s">
        <v>104</v>
      </c>
    </row>
    <row r="356" spans="1:9" ht="30" x14ac:dyDescent="0.25">
      <c r="A356" s="9">
        <v>355</v>
      </c>
      <c r="B356" s="2" t="s">
        <v>495</v>
      </c>
      <c r="C356" s="2" t="s">
        <v>495</v>
      </c>
      <c r="D356" s="2" t="s">
        <v>496</v>
      </c>
      <c r="E356" s="2" t="s">
        <v>1092</v>
      </c>
      <c r="F356" s="2" t="s">
        <v>17</v>
      </c>
      <c r="G356" s="2" t="s">
        <v>126</v>
      </c>
      <c r="H356" s="3" t="s">
        <v>391</v>
      </c>
      <c r="I356" s="4" t="s">
        <v>104</v>
      </c>
    </row>
    <row r="357" spans="1:9" ht="45" x14ac:dyDescent="0.25">
      <c r="A357" s="9">
        <v>356</v>
      </c>
      <c r="B357" s="2" t="s">
        <v>497</v>
      </c>
      <c r="C357" s="2" t="s">
        <v>498</v>
      </c>
      <c r="D357" s="2" t="s">
        <v>499</v>
      </c>
      <c r="E357" s="2" t="s">
        <v>1093</v>
      </c>
      <c r="F357" s="2" t="s">
        <v>22</v>
      </c>
      <c r="G357" s="2" t="s">
        <v>121</v>
      </c>
      <c r="H357" s="3" t="s">
        <v>391</v>
      </c>
      <c r="I357" s="4" t="s">
        <v>104</v>
      </c>
    </row>
    <row r="358" spans="1:9" x14ac:dyDescent="0.25">
      <c r="A358" s="9">
        <v>357</v>
      </c>
      <c r="B358" s="2" t="s">
        <v>500</v>
      </c>
      <c r="C358" s="2" t="s">
        <v>501</v>
      </c>
      <c r="D358" s="2" t="s">
        <v>399</v>
      </c>
      <c r="E358" s="2" t="s">
        <v>1094</v>
      </c>
      <c r="F358" s="2" t="s">
        <v>22</v>
      </c>
      <c r="G358" s="2" t="s">
        <v>131</v>
      </c>
      <c r="H358" s="3" t="s">
        <v>391</v>
      </c>
      <c r="I358" s="4" t="s">
        <v>104</v>
      </c>
    </row>
    <row r="359" spans="1:9" x14ac:dyDescent="0.25">
      <c r="A359" s="9">
        <v>358</v>
      </c>
      <c r="B359" s="2" t="s">
        <v>502</v>
      </c>
      <c r="C359" s="2" t="s">
        <v>503</v>
      </c>
      <c r="D359" s="2" t="s">
        <v>493</v>
      </c>
      <c r="E359" s="2" t="s">
        <v>1095</v>
      </c>
      <c r="F359" s="2" t="s">
        <v>22</v>
      </c>
      <c r="G359" s="2" t="s">
        <v>409</v>
      </c>
      <c r="H359" s="3" t="s">
        <v>391</v>
      </c>
      <c r="I359" s="4" t="s">
        <v>104</v>
      </c>
    </row>
    <row r="360" spans="1:9" ht="150" x14ac:dyDescent="0.25">
      <c r="A360" s="9">
        <v>359</v>
      </c>
      <c r="B360" s="2" t="s">
        <v>504</v>
      </c>
      <c r="C360" s="2" t="s">
        <v>504</v>
      </c>
      <c r="D360" s="2" t="s">
        <v>404</v>
      </c>
      <c r="E360" s="2" t="s">
        <v>1096</v>
      </c>
      <c r="F360" s="2" t="s">
        <v>17</v>
      </c>
      <c r="G360" s="2" t="s">
        <v>244</v>
      </c>
      <c r="H360" s="3" t="s">
        <v>391</v>
      </c>
      <c r="I360" s="4" t="s">
        <v>104</v>
      </c>
    </row>
    <row r="361" spans="1:9" ht="150" x14ac:dyDescent="0.25">
      <c r="A361" s="9">
        <v>360</v>
      </c>
      <c r="B361" s="2" t="s">
        <v>505</v>
      </c>
      <c r="C361" s="2" t="s">
        <v>505</v>
      </c>
      <c r="D361" s="2" t="s">
        <v>506</v>
      </c>
      <c r="E361" s="2" t="s">
        <v>1097</v>
      </c>
      <c r="F361" s="2" t="s">
        <v>17</v>
      </c>
      <c r="G361" s="2" t="s">
        <v>487</v>
      </c>
      <c r="H361" s="3" t="s">
        <v>391</v>
      </c>
      <c r="I361" s="4" t="s">
        <v>104</v>
      </c>
    </row>
    <row r="362" spans="1:9" ht="60" x14ac:dyDescent="0.25">
      <c r="A362" s="9">
        <v>361</v>
      </c>
      <c r="B362" s="2" t="s">
        <v>507</v>
      </c>
      <c r="C362" s="2" t="s">
        <v>507</v>
      </c>
      <c r="D362" s="2" t="s">
        <v>496</v>
      </c>
      <c r="E362" s="2" t="s">
        <v>1098</v>
      </c>
      <c r="F362" s="2" t="s">
        <v>17</v>
      </c>
      <c r="G362" s="2" t="s">
        <v>508</v>
      </c>
      <c r="H362" s="3" t="s">
        <v>391</v>
      </c>
      <c r="I362" s="4" t="s">
        <v>104</v>
      </c>
    </row>
    <row r="363" spans="1:9" ht="60" x14ac:dyDescent="0.25">
      <c r="A363" s="9">
        <v>362</v>
      </c>
      <c r="B363" s="2" t="s">
        <v>509</v>
      </c>
      <c r="C363" s="2" t="s">
        <v>509</v>
      </c>
      <c r="D363" s="2" t="s">
        <v>454</v>
      </c>
      <c r="E363" s="2" t="s">
        <v>1099</v>
      </c>
      <c r="F363" s="2" t="s">
        <v>17</v>
      </c>
      <c r="G363" s="2" t="s">
        <v>319</v>
      </c>
      <c r="H363" s="3" t="s">
        <v>391</v>
      </c>
      <c r="I363" s="4" t="s">
        <v>104</v>
      </c>
    </row>
    <row r="364" spans="1:9" ht="75" x14ac:dyDescent="0.25">
      <c r="A364" s="9">
        <v>363</v>
      </c>
      <c r="B364" s="2" t="s">
        <v>510</v>
      </c>
      <c r="C364" s="2" t="s">
        <v>510</v>
      </c>
      <c r="D364" s="2" t="s">
        <v>511</v>
      </c>
      <c r="E364" s="2" t="s">
        <v>1100</v>
      </c>
      <c r="F364" s="2" t="s">
        <v>17</v>
      </c>
      <c r="G364" s="2" t="s">
        <v>126</v>
      </c>
      <c r="H364" s="3" t="s">
        <v>512</v>
      </c>
      <c r="I364" s="4" t="s">
        <v>104</v>
      </c>
    </row>
    <row r="365" spans="1:9" ht="30" x14ac:dyDescent="0.25">
      <c r="A365" s="9">
        <v>364</v>
      </c>
      <c r="B365" s="2" t="s">
        <v>513</v>
      </c>
      <c r="C365" s="2" t="s">
        <v>513</v>
      </c>
      <c r="D365" s="2" t="s">
        <v>514</v>
      </c>
      <c r="E365" s="2" t="s">
        <v>1101</v>
      </c>
      <c r="F365" s="2" t="s">
        <v>17</v>
      </c>
      <c r="G365" s="2" t="s">
        <v>126</v>
      </c>
      <c r="H365" s="3" t="s">
        <v>512</v>
      </c>
      <c r="I365" s="4" t="s">
        <v>104</v>
      </c>
    </row>
    <row r="366" spans="1:9" ht="30" x14ac:dyDescent="0.25">
      <c r="A366" s="9">
        <v>365</v>
      </c>
      <c r="B366" s="2" t="s">
        <v>515</v>
      </c>
      <c r="C366" s="2" t="s">
        <v>516</v>
      </c>
      <c r="D366" s="2" t="s">
        <v>517</v>
      </c>
      <c r="E366" s="2" t="s">
        <v>1102</v>
      </c>
      <c r="F366" s="2" t="s">
        <v>17</v>
      </c>
      <c r="G366" s="2" t="s">
        <v>53</v>
      </c>
      <c r="H366" s="3" t="s">
        <v>512</v>
      </c>
      <c r="I366" s="4" t="s">
        <v>104</v>
      </c>
    </row>
    <row r="367" spans="1:9" ht="30" x14ac:dyDescent="0.25">
      <c r="A367" s="9">
        <v>366</v>
      </c>
      <c r="B367" s="2" t="s">
        <v>518</v>
      </c>
      <c r="C367" s="2" t="s">
        <v>518</v>
      </c>
      <c r="D367" s="2" t="s">
        <v>496</v>
      </c>
      <c r="E367" s="2" t="s">
        <v>1103</v>
      </c>
      <c r="F367" s="2" t="s">
        <v>17</v>
      </c>
      <c r="G367" s="2" t="s">
        <v>126</v>
      </c>
      <c r="H367" s="3" t="s">
        <v>512</v>
      </c>
      <c r="I367" s="4" t="s">
        <v>104</v>
      </c>
    </row>
    <row r="368" spans="1:9" ht="30" x14ac:dyDescent="0.25">
      <c r="A368" s="9">
        <v>367</v>
      </c>
      <c r="B368" s="2" t="s">
        <v>520</v>
      </c>
      <c r="C368" s="2" t="s">
        <v>521</v>
      </c>
      <c r="D368" s="2" t="s">
        <v>522</v>
      </c>
      <c r="E368" s="2" t="s">
        <v>1104</v>
      </c>
      <c r="F368" s="2" t="s">
        <v>17</v>
      </c>
      <c r="G368" s="2" t="s">
        <v>121</v>
      </c>
      <c r="H368" s="3" t="s">
        <v>519</v>
      </c>
      <c r="I368" s="4" t="s">
        <v>104</v>
      </c>
    </row>
    <row r="369" spans="1:9" ht="90" x14ac:dyDescent="0.25">
      <c r="A369" s="9">
        <v>368</v>
      </c>
      <c r="B369" s="2" t="s">
        <v>523</v>
      </c>
      <c r="C369" s="2" t="s">
        <v>523</v>
      </c>
      <c r="D369" s="2" t="s">
        <v>435</v>
      </c>
      <c r="E369" s="2" t="s">
        <v>1105</v>
      </c>
      <c r="F369" s="2" t="s">
        <v>17</v>
      </c>
      <c r="G369" s="2" t="s">
        <v>436</v>
      </c>
      <c r="H369" s="3" t="s">
        <v>519</v>
      </c>
      <c r="I369" s="4" t="s">
        <v>104</v>
      </c>
    </row>
    <row r="370" spans="1:9" ht="30" x14ac:dyDescent="0.25">
      <c r="A370" s="9">
        <v>369</v>
      </c>
      <c r="B370" s="2" t="s">
        <v>527</v>
      </c>
      <c r="C370" s="2" t="s">
        <v>528</v>
      </c>
      <c r="D370" s="2" t="s">
        <v>529</v>
      </c>
      <c r="E370" s="2" t="s">
        <v>1107</v>
      </c>
      <c r="F370" s="2" t="s">
        <v>22</v>
      </c>
      <c r="G370" s="2" t="s">
        <v>131</v>
      </c>
      <c r="H370" s="3" t="s">
        <v>530</v>
      </c>
      <c r="I370" s="4" t="s">
        <v>104</v>
      </c>
    </row>
    <row r="371" spans="1:9" ht="30" x14ac:dyDescent="0.25">
      <c r="A371" s="9">
        <v>370</v>
      </c>
      <c r="B371" s="2" t="s">
        <v>531</v>
      </c>
      <c r="C371" s="2" t="s">
        <v>532</v>
      </c>
      <c r="D371" s="2" t="s">
        <v>533</v>
      </c>
      <c r="E371" s="2" t="s">
        <v>1108</v>
      </c>
      <c r="F371" s="2" t="s">
        <v>22</v>
      </c>
      <c r="G371" s="2" t="s">
        <v>534</v>
      </c>
      <c r="H371" s="3" t="s">
        <v>530</v>
      </c>
      <c r="I371" s="4" t="s">
        <v>104</v>
      </c>
    </row>
    <row r="372" spans="1:9" ht="45" x14ac:dyDescent="0.25">
      <c r="A372" s="9">
        <v>371</v>
      </c>
      <c r="B372" s="2" t="s">
        <v>536</v>
      </c>
      <c r="C372" s="2" t="s">
        <v>536</v>
      </c>
      <c r="D372" s="2" t="s">
        <v>537</v>
      </c>
      <c r="E372" s="2" t="s">
        <v>1109</v>
      </c>
      <c r="F372" s="2" t="s">
        <v>17</v>
      </c>
      <c r="G372" s="2" t="s">
        <v>126</v>
      </c>
      <c r="H372" s="3" t="s">
        <v>530</v>
      </c>
      <c r="I372" s="4" t="s">
        <v>104</v>
      </c>
    </row>
    <row r="373" spans="1:9" ht="30" x14ac:dyDescent="0.25">
      <c r="A373" s="9">
        <v>372</v>
      </c>
      <c r="B373" s="2" t="s">
        <v>538</v>
      </c>
      <c r="C373" s="2" t="s">
        <v>539</v>
      </c>
      <c r="D373" s="2" t="s">
        <v>540</v>
      </c>
      <c r="E373" s="2" t="s">
        <v>1110</v>
      </c>
      <c r="F373" s="2" t="s">
        <v>43</v>
      </c>
      <c r="G373" s="2" t="s">
        <v>53</v>
      </c>
      <c r="H373" s="3" t="s">
        <v>530</v>
      </c>
      <c r="I373" s="4" t="s">
        <v>104</v>
      </c>
    </row>
    <row r="374" spans="1:9" ht="30" x14ac:dyDescent="0.25">
      <c r="A374" s="9">
        <v>373</v>
      </c>
      <c r="B374" s="2" t="s">
        <v>541</v>
      </c>
      <c r="C374" s="2" t="s">
        <v>542</v>
      </c>
      <c r="D374" s="2" t="s">
        <v>543</v>
      </c>
      <c r="E374" s="2" t="s">
        <v>1111</v>
      </c>
      <c r="F374" s="2" t="s">
        <v>22</v>
      </c>
      <c r="G374" s="2" t="s">
        <v>447</v>
      </c>
      <c r="H374" s="3" t="s">
        <v>530</v>
      </c>
      <c r="I374" s="4" t="s">
        <v>104</v>
      </c>
    </row>
    <row r="375" spans="1:9" ht="45" x14ac:dyDescent="0.25">
      <c r="A375" s="9">
        <v>374</v>
      </c>
      <c r="B375" s="2" t="s">
        <v>544</v>
      </c>
      <c r="C375" s="2" t="s">
        <v>545</v>
      </c>
      <c r="D375" s="2" t="s">
        <v>546</v>
      </c>
      <c r="E375" s="2" t="s">
        <v>1112</v>
      </c>
      <c r="F375" s="2" t="s">
        <v>22</v>
      </c>
      <c r="G375" s="2" t="s">
        <v>447</v>
      </c>
      <c r="H375" s="3" t="s">
        <v>530</v>
      </c>
      <c r="I375" s="4" t="s">
        <v>104</v>
      </c>
    </row>
    <row r="376" spans="1:9" ht="30" x14ac:dyDescent="0.25">
      <c r="A376" s="9">
        <v>375</v>
      </c>
      <c r="B376" s="2" t="s">
        <v>547</v>
      </c>
      <c r="C376" s="2" t="s">
        <v>548</v>
      </c>
      <c r="D376" s="2" t="s">
        <v>549</v>
      </c>
      <c r="E376" s="2" t="s">
        <v>1113</v>
      </c>
      <c r="F376" s="2" t="s">
        <v>22</v>
      </c>
      <c r="G376" s="2" t="s">
        <v>131</v>
      </c>
      <c r="H376" s="3" t="s">
        <v>530</v>
      </c>
      <c r="I376" s="4" t="s">
        <v>104</v>
      </c>
    </row>
    <row r="377" spans="1:9" ht="45" x14ac:dyDescent="0.25">
      <c r="A377" s="9">
        <v>376</v>
      </c>
      <c r="B377" s="2" t="s">
        <v>550</v>
      </c>
      <c r="C377" s="2" t="s">
        <v>551</v>
      </c>
      <c r="D377" s="2" t="s">
        <v>433</v>
      </c>
      <c r="E377" s="2" t="s">
        <v>1114</v>
      </c>
      <c r="F377" s="2" t="s">
        <v>17</v>
      </c>
      <c r="G377" s="2" t="s">
        <v>106</v>
      </c>
      <c r="H377" s="3" t="s">
        <v>530</v>
      </c>
      <c r="I377" s="4" t="s">
        <v>104</v>
      </c>
    </row>
    <row r="378" spans="1:9" ht="45" x14ac:dyDescent="0.25">
      <c r="A378" s="9">
        <v>377</v>
      </c>
      <c r="B378" s="2" t="s">
        <v>552</v>
      </c>
      <c r="C378" s="2" t="s">
        <v>553</v>
      </c>
      <c r="D378" s="2" t="s">
        <v>554</v>
      </c>
      <c r="E378" s="2" t="s">
        <v>1115</v>
      </c>
      <c r="F378" s="2" t="s">
        <v>22</v>
      </c>
      <c r="G378" s="2" t="s">
        <v>121</v>
      </c>
      <c r="H378" s="3" t="s">
        <v>530</v>
      </c>
      <c r="I378" s="4" t="s">
        <v>104</v>
      </c>
    </row>
    <row r="379" spans="1:9" ht="30" x14ac:dyDescent="0.25">
      <c r="A379" s="9">
        <v>378</v>
      </c>
      <c r="B379" s="2" t="s">
        <v>555</v>
      </c>
      <c r="C379" s="2" t="s">
        <v>556</v>
      </c>
      <c r="D379" s="2" t="s">
        <v>540</v>
      </c>
      <c r="E379" s="2" t="s">
        <v>1116</v>
      </c>
      <c r="F379" s="2" t="s">
        <v>17</v>
      </c>
      <c r="G379" s="2" t="s">
        <v>121</v>
      </c>
      <c r="H379" s="3" t="s">
        <v>530</v>
      </c>
      <c r="I379" s="4" t="s">
        <v>104</v>
      </c>
    </row>
    <row r="380" spans="1:9" ht="60" x14ac:dyDescent="0.25">
      <c r="A380" s="9">
        <v>379</v>
      </c>
      <c r="B380" s="2" t="s">
        <v>557</v>
      </c>
      <c r="C380" s="2" t="s">
        <v>558</v>
      </c>
      <c r="D380" s="2" t="s">
        <v>559</v>
      </c>
      <c r="E380" s="2" t="s">
        <v>1117</v>
      </c>
      <c r="F380" s="2" t="s">
        <v>17</v>
      </c>
      <c r="G380" s="2" t="s">
        <v>115</v>
      </c>
      <c r="H380" s="3" t="s">
        <v>530</v>
      </c>
      <c r="I380" s="4" t="s">
        <v>104</v>
      </c>
    </row>
    <row r="381" spans="1:9" ht="60" x14ac:dyDescent="0.25">
      <c r="A381" s="9">
        <v>380</v>
      </c>
      <c r="B381" s="2" t="s">
        <v>560</v>
      </c>
      <c r="C381" s="2" t="s">
        <v>560</v>
      </c>
      <c r="D381" s="2" t="s">
        <v>404</v>
      </c>
      <c r="E381" s="2" t="s">
        <v>1118</v>
      </c>
      <c r="F381" s="2" t="s">
        <v>17</v>
      </c>
      <c r="G381" s="2" t="s">
        <v>319</v>
      </c>
      <c r="H381" s="3" t="s">
        <v>530</v>
      </c>
      <c r="I381" s="4" t="s">
        <v>104</v>
      </c>
    </row>
    <row r="382" spans="1:9" ht="30" x14ac:dyDescent="0.25">
      <c r="A382" s="9">
        <v>381</v>
      </c>
      <c r="B382" s="2" t="s">
        <v>561</v>
      </c>
      <c r="C382" s="2" t="s">
        <v>561</v>
      </c>
      <c r="D382" s="2" t="s">
        <v>105</v>
      </c>
      <c r="E382" s="2" t="s">
        <v>1119</v>
      </c>
      <c r="F382" s="2" t="s">
        <v>17</v>
      </c>
      <c r="G382" s="2" t="s">
        <v>535</v>
      </c>
      <c r="H382" s="3" t="s">
        <v>530</v>
      </c>
      <c r="I382" s="4" t="s">
        <v>104</v>
      </c>
    </row>
    <row r="383" spans="1:9" ht="30" x14ac:dyDescent="0.25">
      <c r="A383" s="9">
        <v>382</v>
      </c>
      <c r="B383" s="2" t="s">
        <v>562</v>
      </c>
      <c r="C383" s="2" t="s">
        <v>563</v>
      </c>
      <c r="D383" s="2" t="s">
        <v>564</v>
      </c>
      <c r="E383" s="2" t="s">
        <v>1120</v>
      </c>
      <c r="F383" s="2" t="s">
        <v>17</v>
      </c>
      <c r="G383" s="2" t="s">
        <v>53</v>
      </c>
      <c r="H383" s="3" t="s">
        <v>530</v>
      </c>
      <c r="I383" s="4" t="s">
        <v>104</v>
      </c>
    </row>
    <row r="384" spans="1:9" ht="45" x14ac:dyDescent="0.25">
      <c r="A384" s="9">
        <v>383</v>
      </c>
      <c r="B384" s="2" t="s">
        <v>565</v>
      </c>
      <c r="C384" s="2" t="s">
        <v>566</v>
      </c>
      <c r="D384" s="2" t="s">
        <v>567</v>
      </c>
      <c r="E384" s="2" t="s">
        <v>1121</v>
      </c>
      <c r="F384" s="2" t="s">
        <v>17</v>
      </c>
      <c r="G384" s="2" t="s">
        <v>115</v>
      </c>
      <c r="H384" s="3" t="s">
        <v>530</v>
      </c>
      <c r="I384" s="4" t="s">
        <v>104</v>
      </c>
    </row>
    <row r="385" spans="1:9" ht="30" x14ac:dyDescent="0.25">
      <c r="A385" s="9">
        <v>384</v>
      </c>
      <c r="B385" s="2" t="s">
        <v>568</v>
      </c>
      <c r="C385" s="2" t="s">
        <v>569</v>
      </c>
      <c r="D385" s="2" t="s">
        <v>570</v>
      </c>
      <c r="E385" s="2" t="s">
        <v>1122</v>
      </c>
      <c r="F385" s="2" t="s">
        <v>22</v>
      </c>
      <c r="G385" s="2" t="s">
        <v>421</v>
      </c>
      <c r="H385" s="3" t="s">
        <v>530</v>
      </c>
      <c r="I385" s="4" t="s">
        <v>104</v>
      </c>
    </row>
    <row r="386" spans="1:9" ht="30" x14ac:dyDescent="0.25">
      <c r="A386" s="9">
        <v>385</v>
      </c>
      <c r="B386" s="2" t="s">
        <v>571</v>
      </c>
      <c r="C386" s="2" t="s">
        <v>571</v>
      </c>
      <c r="D386" s="2" t="s">
        <v>572</v>
      </c>
      <c r="E386" s="2" t="s">
        <v>1123</v>
      </c>
      <c r="F386" s="2" t="s">
        <v>17</v>
      </c>
      <c r="G386" s="2" t="s">
        <v>126</v>
      </c>
      <c r="H386" s="3" t="s">
        <v>530</v>
      </c>
      <c r="I386" s="4" t="s">
        <v>104</v>
      </c>
    </row>
    <row r="387" spans="1:9" x14ac:dyDescent="0.25">
      <c r="A387" s="9">
        <v>386</v>
      </c>
      <c r="B387" s="2" t="s">
        <v>573</v>
      </c>
      <c r="C387" s="2" t="s">
        <v>574</v>
      </c>
      <c r="D387" s="2" t="s">
        <v>575</v>
      </c>
      <c r="E387" s="2" t="s">
        <v>1124</v>
      </c>
      <c r="F387" s="2" t="s">
        <v>64</v>
      </c>
      <c r="G387" s="2" t="s">
        <v>121</v>
      </c>
      <c r="H387" s="3" t="s">
        <v>530</v>
      </c>
      <c r="I387" s="4" t="s">
        <v>104</v>
      </c>
    </row>
    <row r="388" spans="1:9" x14ac:dyDescent="0.25">
      <c r="A388" s="9">
        <v>387</v>
      </c>
      <c r="B388" s="2" t="s">
        <v>576</v>
      </c>
      <c r="C388" s="2" t="s">
        <v>577</v>
      </c>
      <c r="D388" s="2" t="s">
        <v>578</v>
      </c>
      <c r="E388" s="2" t="s">
        <v>1125</v>
      </c>
      <c r="F388" s="2" t="s">
        <v>17</v>
      </c>
      <c r="G388" s="2" t="s">
        <v>421</v>
      </c>
      <c r="H388" s="3" t="s">
        <v>530</v>
      </c>
      <c r="I388" s="4" t="s">
        <v>104</v>
      </c>
    </row>
    <row r="389" spans="1:9" x14ac:dyDescent="0.25">
      <c r="A389" s="9">
        <v>388</v>
      </c>
      <c r="B389" s="2" t="s">
        <v>579</v>
      </c>
      <c r="C389" s="2" t="s">
        <v>580</v>
      </c>
      <c r="D389" s="2" t="s">
        <v>581</v>
      </c>
      <c r="E389" s="2" t="s">
        <v>1126</v>
      </c>
      <c r="F389" s="2" t="s">
        <v>17</v>
      </c>
      <c r="G389" s="2" t="s">
        <v>421</v>
      </c>
      <c r="H389" s="3" t="s">
        <v>530</v>
      </c>
      <c r="I389" s="4" t="s">
        <v>104</v>
      </c>
    </row>
    <row r="390" spans="1:9" ht="45" x14ac:dyDescent="0.25">
      <c r="A390" s="9">
        <v>389</v>
      </c>
      <c r="B390" s="2" t="s">
        <v>582</v>
      </c>
      <c r="C390" s="2" t="s">
        <v>583</v>
      </c>
      <c r="D390" s="2" t="s">
        <v>407</v>
      </c>
      <c r="E390" s="2" t="s">
        <v>1061</v>
      </c>
      <c r="F390" s="2" t="s">
        <v>22</v>
      </c>
      <c r="G390" s="2" t="s">
        <v>584</v>
      </c>
      <c r="H390" s="3" t="s">
        <v>530</v>
      </c>
      <c r="I390" s="4" t="s">
        <v>104</v>
      </c>
    </row>
    <row r="391" spans="1:9" ht="45" x14ac:dyDescent="0.25">
      <c r="A391" s="9">
        <v>390</v>
      </c>
      <c r="B391" s="2" t="s">
        <v>585</v>
      </c>
      <c r="C391" s="2" t="s">
        <v>586</v>
      </c>
      <c r="D391" s="2" t="s">
        <v>587</v>
      </c>
      <c r="E391" s="2" t="s">
        <v>1127</v>
      </c>
      <c r="F391" s="2" t="s">
        <v>43</v>
      </c>
      <c r="G391" s="2" t="s">
        <v>461</v>
      </c>
      <c r="H391" s="3" t="s">
        <v>530</v>
      </c>
      <c r="I391" s="4" t="s">
        <v>104</v>
      </c>
    </row>
    <row r="392" spans="1:9" ht="30" x14ac:dyDescent="0.25">
      <c r="A392" s="9">
        <v>391</v>
      </c>
      <c r="B392" s="2" t="s">
        <v>588</v>
      </c>
      <c r="C392" s="2" t="s">
        <v>588</v>
      </c>
      <c r="D392" s="2" t="s">
        <v>123</v>
      </c>
      <c r="E392" s="2" t="s">
        <v>1128</v>
      </c>
      <c r="F392" s="2" t="s">
        <v>17</v>
      </c>
      <c r="G392" s="2" t="s">
        <v>126</v>
      </c>
      <c r="H392" s="3" t="s">
        <v>530</v>
      </c>
      <c r="I392" s="4" t="s">
        <v>104</v>
      </c>
    </row>
    <row r="393" spans="1:9" x14ac:dyDescent="0.25">
      <c r="A393" s="9">
        <v>392</v>
      </c>
      <c r="B393" s="2" t="s">
        <v>589</v>
      </c>
      <c r="C393" s="2" t="s">
        <v>590</v>
      </c>
      <c r="D393" s="2" t="s">
        <v>396</v>
      </c>
      <c r="E393" s="2" t="s">
        <v>1129</v>
      </c>
      <c r="F393" s="2" t="s">
        <v>17</v>
      </c>
      <c r="G393" s="2" t="s">
        <v>121</v>
      </c>
      <c r="H393" s="3" t="s">
        <v>530</v>
      </c>
      <c r="I393" s="4" t="s">
        <v>104</v>
      </c>
    </row>
    <row r="394" spans="1:9" ht="30" x14ac:dyDescent="0.25">
      <c r="A394" s="9">
        <v>393</v>
      </c>
      <c r="B394" s="2" t="s">
        <v>591</v>
      </c>
      <c r="C394" s="2" t="s">
        <v>592</v>
      </c>
      <c r="D394" s="2" t="s">
        <v>593</v>
      </c>
      <c r="E394" s="2" t="s">
        <v>1130</v>
      </c>
      <c r="F394" s="2" t="s">
        <v>17</v>
      </c>
      <c r="G394" s="2" t="s">
        <v>53</v>
      </c>
      <c r="H394" s="3" t="s">
        <v>530</v>
      </c>
      <c r="I394" s="4" t="s">
        <v>104</v>
      </c>
    </row>
    <row r="395" spans="1:9" ht="30" x14ac:dyDescent="0.25">
      <c r="A395" s="9">
        <v>394</v>
      </c>
      <c r="B395" s="2" t="s">
        <v>594</v>
      </c>
      <c r="C395" s="2" t="s">
        <v>594</v>
      </c>
      <c r="D395" s="2" t="s">
        <v>404</v>
      </c>
      <c r="E395" s="2" t="s">
        <v>1131</v>
      </c>
      <c r="F395" s="2" t="s">
        <v>17</v>
      </c>
      <c r="G395" s="2" t="s">
        <v>126</v>
      </c>
      <c r="H395" s="3" t="s">
        <v>530</v>
      </c>
      <c r="I395" s="4" t="s">
        <v>104</v>
      </c>
    </row>
    <row r="396" spans="1:9" ht="45" x14ac:dyDescent="0.25">
      <c r="A396" s="9">
        <v>395</v>
      </c>
      <c r="B396" s="2" t="s">
        <v>595</v>
      </c>
      <c r="C396" s="2" t="s">
        <v>595</v>
      </c>
      <c r="D396" s="2" t="s">
        <v>596</v>
      </c>
      <c r="E396" s="2" t="s">
        <v>1132</v>
      </c>
      <c r="F396" s="2" t="s">
        <v>17</v>
      </c>
      <c r="G396" s="2" t="s">
        <v>126</v>
      </c>
      <c r="H396" s="3" t="s">
        <v>530</v>
      </c>
      <c r="I396" s="4" t="s">
        <v>104</v>
      </c>
    </row>
    <row r="397" spans="1:9" ht="45" x14ac:dyDescent="0.25">
      <c r="A397" s="9">
        <v>396</v>
      </c>
      <c r="B397" s="2" t="s">
        <v>820</v>
      </c>
      <c r="C397" s="2" t="s">
        <v>820</v>
      </c>
      <c r="D397" s="2" t="s">
        <v>537</v>
      </c>
      <c r="E397" s="2" t="s">
        <v>1133</v>
      </c>
      <c r="F397" s="2" t="s">
        <v>17</v>
      </c>
      <c r="G397" s="2" t="s">
        <v>126</v>
      </c>
      <c r="H397" s="3" t="s">
        <v>818</v>
      </c>
      <c r="I397" s="4" t="s">
        <v>819</v>
      </c>
    </row>
    <row r="398" spans="1:9" ht="60" x14ac:dyDescent="0.25">
      <c r="A398" s="9">
        <v>397</v>
      </c>
      <c r="B398" s="2" t="s">
        <v>821</v>
      </c>
      <c r="C398" s="2" t="s">
        <v>821</v>
      </c>
      <c r="D398" s="2" t="s">
        <v>822</v>
      </c>
      <c r="E398" s="2" t="s">
        <v>1134</v>
      </c>
      <c r="F398" s="2" t="s">
        <v>17</v>
      </c>
      <c r="G398" s="2" t="s">
        <v>319</v>
      </c>
      <c r="H398" s="3" t="s">
        <v>818</v>
      </c>
      <c r="I398" s="4" t="s">
        <v>819</v>
      </c>
    </row>
    <row r="399" spans="1:9" ht="30" x14ac:dyDescent="0.25">
      <c r="A399" s="9">
        <v>398</v>
      </c>
      <c r="B399" s="2" t="s">
        <v>823</v>
      </c>
      <c r="C399" s="2" t="s">
        <v>823</v>
      </c>
      <c r="D399" s="2" t="s">
        <v>496</v>
      </c>
      <c r="E399" s="2" t="s">
        <v>1135</v>
      </c>
      <c r="F399" s="2" t="s">
        <v>17</v>
      </c>
      <c r="G399" s="2" t="s">
        <v>126</v>
      </c>
      <c r="H399" s="3" t="s">
        <v>818</v>
      </c>
      <c r="I399" s="4" t="s">
        <v>819</v>
      </c>
    </row>
    <row r="400" spans="1:9" x14ac:dyDescent="0.25">
      <c r="A400" s="9">
        <v>399</v>
      </c>
      <c r="B400" s="2" t="s">
        <v>824</v>
      </c>
      <c r="C400" s="2" t="s">
        <v>825</v>
      </c>
      <c r="D400" s="2" t="s">
        <v>826</v>
      </c>
      <c r="E400" s="2" t="s">
        <v>1136</v>
      </c>
      <c r="F400" s="2" t="s">
        <v>22</v>
      </c>
      <c r="G400" s="2" t="s">
        <v>121</v>
      </c>
      <c r="H400" s="3" t="s">
        <v>818</v>
      </c>
      <c r="I400" s="4" t="s">
        <v>819</v>
      </c>
    </row>
    <row r="401" spans="1:9" ht="30" x14ac:dyDescent="0.25">
      <c r="A401" s="9">
        <v>400</v>
      </c>
      <c r="B401" s="2" t="s">
        <v>828</v>
      </c>
      <c r="C401" s="2" t="s">
        <v>828</v>
      </c>
      <c r="D401" s="2" t="s">
        <v>496</v>
      </c>
      <c r="E401" s="2" t="s">
        <v>1137</v>
      </c>
      <c r="F401" s="2" t="s">
        <v>17</v>
      </c>
      <c r="G401" s="2" t="s">
        <v>126</v>
      </c>
      <c r="H401" s="3" t="s">
        <v>827</v>
      </c>
      <c r="I401" s="4" t="s">
        <v>819</v>
      </c>
    </row>
    <row r="402" spans="1:9" ht="45" x14ac:dyDescent="0.25">
      <c r="A402" s="9">
        <v>401</v>
      </c>
      <c r="B402" s="3" t="s">
        <v>107</v>
      </c>
      <c r="C402" s="4" t="s">
        <v>107</v>
      </c>
      <c r="D402" s="4" t="s">
        <v>108</v>
      </c>
      <c r="E402" s="4" t="s">
        <v>1138</v>
      </c>
      <c r="F402" s="4" t="s">
        <v>17</v>
      </c>
      <c r="G402" s="4" t="s">
        <v>39</v>
      </c>
      <c r="H402" s="4" t="s">
        <v>109</v>
      </c>
      <c r="I402" s="9" t="s">
        <v>14</v>
      </c>
    </row>
    <row r="403" spans="1:9" ht="30" x14ac:dyDescent="0.25">
      <c r="A403" s="9">
        <v>402</v>
      </c>
      <c r="B403" s="3" t="s">
        <v>1139</v>
      </c>
      <c r="C403" s="4" t="s">
        <v>1140</v>
      </c>
      <c r="D403" s="4" t="s">
        <v>1141</v>
      </c>
      <c r="E403" s="4" t="s">
        <v>1142</v>
      </c>
      <c r="F403" s="4" t="s">
        <v>64</v>
      </c>
      <c r="G403" s="4" t="s">
        <v>12</v>
      </c>
      <c r="H403" s="4" t="s">
        <v>1143</v>
      </c>
      <c r="I403" s="9" t="s">
        <v>250</v>
      </c>
    </row>
    <row r="404" spans="1:9" ht="30" x14ac:dyDescent="0.25">
      <c r="A404" s="9">
        <v>403</v>
      </c>
      <c r="B404" s="3" t="s">
        <v>641</v>
      </c>
      <c r="C404" s="4" t="s">
        <v>641</v>
      </c>
      <c r="D404" s="4" t="s">
        <v>204</v>
      </c>
      <c r="E404" s="4" t="s">
        <v>1144</v>
      </c>
      <c r="F404" s="4" t="s">
        <v>17</v>
      </c>
      <c r="G404" s="4" t="s">
        <v>39</v>
      </c>
      <c r="H404" s="4" t="s">
        <v>642</v>
      </c>
      <c r="I404" s="9" t="s">
        <v>14</v>
      </c>
    </row>
    <row r="405" spans="1:9" x14ac:dyDescent="0.25">
      <c r="A405" s="9">
        <v>404</v>
      </c>
      <c r="B405" s="3" t="s">
        <v>1145</v>
      </c>
      <c r="C405" s="4" t="s">
        <v>1146</v>
      </c>
      <c r="D405" s="4" t="s">
        <v>1147</v>
      </c>
      <c r="E405" s="4" t="s">
        <v>1148</v>
      </c>
      <c r="F405" s="4" t="s">
        <v>22</v>
      </c>
      <c r="G405" s="4" t="s">
        <v>18</v>
      </c>
      <c r="H405" s="4" t="s">
        <v>1149</v>
      </c>
      <c r="I405" s="9" t="s">
        <v>250</v>
      </c>
    </row>
    <row r="406" spans="1:9" ht="30" x14ac:dyDescent="0.25">
      <c r="A406" s="9">
        <v>405</v>
      </c>
      <c r="B406" s="3" t="s">
        <v>1150</v>
      </c>
      <c r="C406" s="4" t="s">
        <v>1151</v>
      </c>
      <c r="D406" s="4" t="s">
        <v>1152</v>
      </c>
      <c r="E406" s="4" t="s">
        <v>1059</v>
      </c>
      <c r="F406" s="4" t="s">
        <v>11</v>
      </c>
      <c r="G406" s="4" t="s">
        <v>12</v>
      </c>
      <c r="H406" s="4" t="s">
        <v>1153</v>
      </c>
      <c r="I406" s="9" t="s">
        <v>250</v>
      </c>
    </row>
    <row r="407" spans="1:9" ht="30" x14ac:dyDescent="0.25">
      <c r="A407" s="9">
        <v>406</v>
      </c>
      <c r="B407" s="3" t="s">
        <v>1154</v>
      </c>
      <c r="C407" s="4" t="s">
        <v>1154</v>
      </c>
      <c r="D407" s="4" t="s">
        <v>1155</v>
      </c>
      <c r="E407" s="4" t="s">
        <v>1156</v>
      </c>
      <c r="F407" s="4" t="s">
        <v>1157</v>
      </c>
      <c r="G407" s="4" t="s">
        <v>12</v>
      </c>
      <c r="H407" s="4" t="s">
        <v>1158</v>
      </c>
      <c r="I407" s="9" t="s">
        <v>250</v>
      </c>
    </row>
    <row r="408" spans="1:9" ht="30" x14ac:dyDescent="0.25">
      <c r="A408" s="9">
        <v>407</v>
      </c>
      <c r="B408" s="3" t="s">
        <v>1159</v>
      </c>
      <c r="C408" s="4" t="s">
        <v>1160</v>
      </c>
      <c r="D408" s="4" t="s">
        <v>1161</v>
      </c>
      <c r="E408" s="4" t="s">
        <v>1162</v>
      </c>
      <c r="F408" s="4" t="s">
        <v>22</v>
      </c>
      <c r="G408" s="4" t="s">
        <v>1163</v>
      </c>
      <c r="H408" s="4" t="s">
        <v>1164</v>
      </c>
      <c r="I408" s="9" t="s">
        <v>250</v>
      </c>
    </row>
    <row r="409" spans="1:9" ht="30" x14ac:dyDescent="0.25">
      <c r="A409" s="9">
        <v>408</v>
      </c>
      <c r="B409" s="3" t="s">
        <v>1165</v>
      </c>
      <c r="C409" s="4" t="s">
        <v>1166</v>
      </c>
      <c r="D409" s="4" t="s">
        <v>1167</v>
      </c>
      <c r="E409" s="4" t="s">
        <v>1168</v>
      </c>
      <c r="F409" s="4" t="s">
        <v>1157</v>
      </c>
      <c r="G409" s="4" t="s">
        <v>12</v>
      </c>
      <c r="H409" s="4" t="s">
        <v>1143</v>
      </c>
      <c r="I409" s="9" t="s">
        <v>250</v>
      </c>
    </row>
    <row r="410" spans="1:9" ht="30" x14ac:dyDescent="0.25">
      <c r="A410" s="9">
        <v>409</v>
      </c>
      <c r="B410" s="3" t="s">
        <v>1169</v>
      </c>
      <c r="C410" s="4" t="s">
        <v>1170</v>
      </c>
      <c r="D410" s="4" t="s">
        <v>1171</v>
      </c>
      <c r="E410" s="4" t="s">
        <v>1172</v>
      </c>
      <c r="F410" s="4" t="s">
        <v>1157</v>
      </c>
      <c r="G410" s="4" t="s">
        <v>12</v>
      </c>
      <c r="H410" s="4" t="s">
        <v>1173</v>
      </c>
      <c r="I410" s="9" t="s">
        <v>250</v>
      </c>
    </row>
    <row r="411" spans="1:9" x14ac:dyDescent="0.25">
      <c r="A411" s="9">
        <v>410</v>
      </c>
      <c r="B411" s="3" t="s">
        <v>1174</v>
      </c>
      <c r="C411" s="4" t="s">
        <v>1175</v>
      </c>
      <c r="D411" s="4" t="s">
        <v>1176</v>
      </c>
      <c r="E411" s="4" t="s">
        <v>1177</v>
      </c>
      <c r="F411" s="4" t="s">
        <v>22</v>
      </c>
      <c r="G411" s="4" t="s">
        <v>30</v>
      </c>
      <c r="H411" s="4" t="s">
        <v>1143</v>
      </c>
      <c r="I411" s="9" t="s">
        <v>250</v>
      </c>
    </row>
    <row r="412" spans="1:9" ht="30" x14ac:dyDescent="0.25">
      <c r="A412" s="9">
        <v>411</v>
      </c>
      <c r="B412" s="3" t="s">
        <v>1178</v>
      </c>
      <c r="C412" s="4" t="s">
        <v>1179</v>
      </c>
      <c r="D412" s="4" t="s">
        <v>1180</v>
      </c>
      <c r="E412" s="4" t="s">
        <v>1181</v>
      </c>
      <c r="F412" s="4" t="s">
        <v>43</v>
      </c>
      <c r="G412" s="4" t="s">
        <v>12</v>
      </c>
      <c r="H412" s="4" t="s">
        <v>1158</v>
      </c>
      <c r="I412" s="9" t="s">
        <v>250</v>
      </c>
    </row>
    <row r="413" spans="1:9" ht="30" x14ac:dyDescent="0.25">
      <c r="A413" s="9">
        <v>412</v>
      </c>
      <c r="B413" s="3" t="s">
        <v>1182</v>
      </c>
      <c r="C413" s="4" t="s">
        <v>1183</v>
      </c>
      <c r="D413" s="4" t="s">
        <v>1184</v>
      </c>
      <c r="E413" s="4" t="s">
        <v>1185</v>
      </c>
      <c r="F413" s="4" t="s">
        <v>1157</v>
      </c>
      <c r="G413" s="4" t="s">
        <v>12</v>
      </c>
      <c r="H413" s="4" t="s">
        <v>1143</v>
      </c>
      <c r="I413" s="9" t="s">
        <v>250</v>
      </c>
    </row>
    <row r="414" spans="1:9" x14ac:dyDescent="0.25">
      <c r="A414" s="9">
        <v>413</v>
      </c>
      <c r="B414" s="3" t="s">
        <v>144</v>
      </c>
      <c r="C414" s="4" t="s">
        <v>144</v>
      </c>
      <c r="D414" s="4" t="s">
        <v>145</v>
      </c>
      <c r="E414" s="4" t="s">
        <v>1186</v>
      </c>
      <c r="F414" s="4" t="s">
        <v>43</v>
      </c>
      <c r="G414" s="4" t="s">
        <v>39</v>
      </c>
      <c r="H414" s="4" t="s">
        <v>146</v>
      </c>
      <c r="I414" s="9" t="s">
        <v>14</v>
      </c>
    </row>
    <row r="415" spans="1:9" ht="30" x14ac:dyDescent="0.25">
      <c r="A415" s="9">
        <v>414</v>
      </c>
      <c r="B415" s="3" t="s">
        <v>468</v>
      </c>
      <c r="C415" s="4" t="s">
        <v>469</v>
      </c>
      <c r="D415" s="4" t="s">
        <v>470</v>
      </c>
      <c r="E415" s="4" t="s">
        <v>1079</v>
      </c>
      <c r="F415" s="4" t="s">
        <v>22</v>
      </c>
      <c r="G415" s="4" t="s">
        <v>131</v>
      </c>
      <c r="H415" s="4" t="s">
        <v>391</v>
      </c>
      <c r="I415" s="9" t="s">
        <v>340</v>
      </c>
    </row>
    <row r="416" spans="1:9" ht="45" x14ac:dyDescent="0.25">
      <c r="A416" s="9">
        <v>415</v>
      </c>
      <c r="B416" s="3" t="s">
        <v>1187</v>
      </c>
      <c r="C416" s="4" t="s">
        <v>1188</v>
      </c>
      <c r="D416" s="4" t="s">
        <v>1189</v>
      </c>
      <c r="E416" s="4" t="s">
        <v>1190</v>
      </c>
      <c r="F416" s="4" t="s">
        <v>64</v>
      </c>
      <c r="G416" s="4" t="s">
        <v>1191</v>
      </c>
      <c r="H416" s="4" t="s">
        <v>1192</v>
      </c>
      <c r="I416" s="9" t="s">
        <v>340</v>
      </c>
    </row>
    <row r="417" spans="1:9" ht="30" x14ac:dyDescent="0.25">
      <c r="A417" s="9">
        <v>416</v>
      </c>
      <c r="B417" s="3" t="s">
        <v>1193</v>
      </c>
      <c r="C417" s="4" t="s">
        <v>1194</v>
      </c>
      <c r="D417" s="4" t="s">
        <v>1171</v>
      </c>
      <c r="E417" s="4" t="s">
        <v>1195</v>
      </c>
      <c r="F417" s="4" t="s">
        <v>1157</v>
      </c>
      <c r="G417" s="4" t="s">
        <v>12</v>
      </c>
      <c r="H417" s="4" t="s">
        <v>1173</v>
      </c>
      <c r="I417" s="9" t="s">
        <v>250</v>
      </c>
    </row>
    <row r="418" spans="1:9" x14ac:dyDescent="0.25">
      <c r="A418" s="9">
        <v>417</v>
      </c>
      <c r="B418" s="3" t="s">
        <v>1196</v>
      </c>
      <c r="C418" s="4" t="s">
        <v>1197</v>
      </c>
      <c r="D418" s="4" t="s">
        <v>1198</v>
      </c>
      <c r="E418" s="4" t="s">
        <v>1199</v>
      </c>
      <c r="F418" s="4" t="s">
        <v>64</v>
      </c>
      <c r="G418" s="4" t="s">
        <v>1200</v>
      </c>
      <c r="H418" s="4" t="s">
        <v>1201</v>
      </c>
      <c r="I418" s="9" t="s">
        <v>250</v>
      </c>
    </row>
    <row r="419" spans="1:9" ht="45" x14ac:dyDescent="0.25">
      <c r="A419" s="9">
        <v>418</v>
      </c>
      <c r="B419" s="3" t="s">
        <v>1202</v>
      </c>
      <c r="C419" s="4" t="s">
        <v>1203</v>
      </c>
      <c r="D419" s="4" t="s">
        <v>1204</v>
      </c>
      <c r="E419" s="4" t="s">
        <v>1205</v>
      </c>
      <c r="F419" s="4" t="s">
        <v>11</v>
      </c>
      <c r="G419" s="4" t="s">
        <v>12</v>
      </c>
      <c r="H419" s="4" t="s">
        <v>1153</v>
      </c>
      <c r="I419" s="9" t="s">
        <v>250</v>
      </c>
    </row>
    <row r="420" spans="1:9" x14ac:dyDescent="0.25">
      <c r="A420" s="9">
        <v>419</v>
      </c>
      <c r="B420" s="3" t="s">
        <v>1206</v>
      </c>
      <c r="C420" s="4" t="s">
        <v>1207</v>
      </c>
      <c r="D420" s="4" t="s">
        <v>1208</v>
      </c>
      <c r="E420" s="4" t="s">
        <v>1209</v>
      </c>
      <c r="F420" s="4" t="s">
        <v>43</v>
      </c>
      <c r="G420" s="4" t="s">
        <v>1210</v>
      </c>
      <c r="H420" s="4" t="s">
        <v>1153</v>
      </c>
      <c r="I420" s="9" t="s">
        <v>250</v>
      </c>
    </row>
    <row r="421" spans="1:9" ht="45" x14ac:dyDescent="0.25">
      <c r="A421" s="9">
        <v>420</v>
      </c>
      <c r="B421" s="3" t="s">
        <v>1211</v>
      </c>
      <c r="C421" s="4" t="s">
        <v>1212</v>
      </c>
      <c r="D421" s="4" t="s">
        <v>1213</v>
      </c>
      <c r="E421" s="4" t="s">
        <v>1214</v>
      </c>
      <c r="F421" s="4" t="s">
        <v>11</v>
      </c>
      <c r="G421" s="4" t="s">
        <v>12</v>
      </c>
      <c r="H421" s="4" t="s">
        <v>1215</v>
      </c>
      <c r="I421" s="9" t="s">
        <v>250</v>
      </c>
    </row>
    <row r="422" spans="1:9" ht="45" x14ac:dyDescent="0.25">
      <c r="A422" s="9">
        <v>421</v>
      </c>
      <c r="B422" s="3" t="s">
        <v>1216</v>
      </c>
      <c r="C422" s="4" t="s">
        <v>1217</v>
      </c>
      <c r="D422" s="4" t="s">
        <v>1218</v>
      </c>
      <c r="E422" s="4" t="s">
        <v>1219</v>
      </c>
      <c r="F422" s="4" t="s">
        <v>64</v>
      </c>
      <c r="G422" s="4" t="s">
        <v>1191</v>
      </c>
      <c r="H422" s="4" t="s">
        <v>1220</v>
      </c>
      <c r="I422" s="9" t="s">
        <v>340</v>
      </c>
    </row>
    <row r="423" spans="1:9" x14ac:dyDescent="0.25">
      <c r="A423" s="9">
        <v>422</v>
      </c>
      <c r="B423" s="3" t="s">
        <v>1221</v>
      </c>
      <c r="C423" s="4" t="s">
        <v>1222</v>
      </c>
      <c r="D423" s="4" t="s">
        <v>1223</v>
      </c>
      <c r="E423" s="4" t="s">
        <v>1224</v>
      </c>
      <c r="F423" s="4" t="s">
        <v>64</v>
      </c>
      <c r="G423" s="4" t="s">
        <v>1225</v>
      </c>
      <c r="H423" s="4" t="s">
        <v>1226</v>
      </c>
      <c r="I423" s="9" t="s">
        <v>14</v>
      </c>
    </row>
    <row r="424" spans="1:9" ht="30" x14ac:dyDescent="0.25">
      <c r="A424" s="9">
        <v>423</v>
      </c>
      <c r="B424" s="3" t="s">
        <v>1227</v>
      </c>
      <c r="C424" s="4" t="s">
        <v>1228</v>
      </c>
      <c r="D424" s="4" t="s">
        <v>1229</v>
      </c>
      <c r="E424" s="4" t="s">
        <v>1230</v>
      </c>
      <c r="F424" s="4" t="s">
        <v>1157</v>
      </c>
      <c r="G424" s="4" t="s">
        <v>12</v>
      </c>
      <c r="H424" s="4" t="s">
        <v>1153</v>
      </c>
      <c r="I424" s="9" t="s">
        <v>250</v>
      </c>
    </row>
    <row r="425" spans="1:9" ht="30" x14ac:dyDescent="0.25">
      <c r="A425" s="9">
        <v>424</v>
      </c>
      <c r="B425" s="3" t="s">
        <v>1231</v>
      </c>
      <c r="C425" s="4" t="s">
        <v>1232</v>
      </c>
      <c r="D425" s="4" t="s">
        <v>1233</v>
      </c>
      <c r="E425" s="4" t="s">
        <v>1234</v>
      </c>
      <c r="F425" s="4" t="s">
        <v>1157</v>
      </c>
      <c r="G425" s="4" t="s">
        <v>12</v>
      </c>
      <c r="H425" s="4" t="s">
        <v>1158</v>
      </c>
      <c r="I425" s="9" t="s">
        <v>250</v>
      </c>
    </row>
  </sheetData>
  <pageMargins left="0.74803149606299213" right="0.74803149606299213" top="0.71" bottom="0.98425196850393704" header="0.51181102362204722" footer="0.51181102362204722"/>
  <pageSetup paperSize="14" scale="60" orientation="landscape" r:id="rId1"/>
  <rowBreaks count="1" manualBreakCount="1">
    <brk id="21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LINEA BASE</vt:lpstr>
      <vt:lpstr>'LINEA BASE'!Área_de_impresión</vt:lpstr>
      <vt:lpstr>'LINEA BASE'!Títulos_a_imprimir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MPINEDAA</dc:creator>
  <cp:lastModifiedBy>MPINEDAA</cp:lastModifiedBy>
  <cp:lastPrinted>2012-10-25T19:48:53Z</cp:lastPrinted>
  <dcterms:created xsi:type="dcterms:W3CDTF">2012-10-25T16:17:37Z</dcterms:created>
  <dcterms:modified xsi:type="dcterms:W3CDTF">2015-01-13T14:15:01Z</dcterms:modified>
</cp:coreProperties>
</file>