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Publicaciones diciembre 31 de 2013\"/>
    </mc:Choice>
  </mc:AlternateContent>
  <bookViews>
    <workbookView xWindow="0" yWindow="0" windowWidth="24000" windowHeight="9435"/>
  </bookViews>
  <sheets>
    <sheet name="FINANCIERO ANTIOQUIA LEGAL" sheetId="54" r:id="rId1"/>
    <sheet name="PRODUCTO ANTIOQUIA LEGAL" sheetId="53" r:id="rId2"/>
    <sheet name="FINANCIERO DAP" sheetId="52" r:id="rId3"/>
    <sheet name="PRODUCTOS DAP " sheetId="51" r:id="rId4"/>
    <sheet name="FINANCIERO INFRAESTRUCTURA" sheetId="50" r:id="rId5"/>
    <sheet name="PRODUCTOS INFRAESTRUCTURA" sheetId="49" r:id="rId6"/>
    <sheet name="FINANCIERO EQUIDAD" sheetId="48" r:id="rId7"/>
    <sheet name=" PRODUCTOS  EQUIDAD" sheetId="47" r:id="rId8"/>
    <sheet name="FINANCIERO EDUCACION" sheetId="46" r:id="rId9"/>
    <sheet name="PRODUCTOS  EDUCACION" sheetId="45" r:id="rId10"/>
    <sheet name="FINANCIERO GENERAL" sheetId="44" r:id="rId11"/>
    <sheet name="PRODUCTOS  GENERAL" sheetId="43" r:id="rId12"/>
    <sheet name="FINANCIERO INFANCIA" sheetId="42" r:id="rId13"/>
    <sheet name="PRODUCTOS INFANCIA" sheetId="41" r:id="rId14"/>
    <sheet name="FINANCIERO VIVA" sheetId="40" r:id="rId15"/>
    <sheet name="PRODUCTOS  VIVA" sheetId="39" r:id="rId16"/>
    <sheet name="FINANCIERO SERVICIOS PUBLICOS" sheetId="38" r:id="rId17"/>
    <sheet name="FORMATOS PRODUCTOS " sheetId="37" r:id="rId18"/>
    <sheet name="FINANCIERO PARTICIPACION" sheetId="36" r:id="rId19"/>
    <sheet name="PRODUCTOS PARTICIPACION" sheetId="35" r:id="rId20"/>
    <sheet name="FINANCIERO MEDIO AMBIENTE" sheetId="34" r:id="rId21"/>
    <sheet name="PRODUCTOS MEDIO AMBIENTE" sheetId="33" r:id="rId22"/>
    <sheet name="FINANCIERO MANA" sheetId="32" r:id="rId23"/>
    <sheet name="PRODUCTOS  MANA" sheetId="31" r:id="rId24"/>
    <sheet name="FINANCIERO G INDIGENA" sheetId="30" r:id="rId25"/>
    <sheet name="PRODUCTOS  G INDIGENA" sheetId="29" r:id="rId26"/>
    <sheet name="FINANCIERO INDEPORTES" sheetId="28" r:id="rId27"/>
    <sheet name="PRODUCTOS INDEPORTES" sheetId="27" r:id="rId28"/>
    <sheet name="FINANCIERO HACIENDA" sheetId="26" r:id="rId29"/>
    <sheet name="PRODUCTOS HACIENDA" sheetId="25" r:id="rId30"/>
    <sheet name="FINANCIERO GOBIERNO" sheetId="24" r:id="rId31"/>
    <sheet name="PRODUCTOS GOBIERNO" sheetId="23" r:id="rId32"/>
    <sheet name="FINANCIERO G NEGRITUDES" sheetId="22" r:id="rId33"/>
    <sheet name="PRODUCTOS  G NEGRITUDES" sheetId="21" r:id="rId34"/>
    <sheet name="FINANCIERO FLA" sheetId="20" r:id="rId35"/>
    <sheet name="PRODUCTOS  FLA" sheetId="19" r:id="rId36"/>
    <sheet name="FINANCIERO CONTROL INTERNO" sheetId="18" r:id="rId37"/>
    <sheet name="PRODUCTOS  CONTROL INTERNO" sheetId="17" r:id="rId38"/>
    <sheet name="FINANCIERO PRODUCTIVIDAD" sheetId="16" r:id="rId39"/>
    <sheet name="PRODUCTOS PRODUCTIVIDAD" sheetId="15" r:id="rId40"/>
    <sheet name="FINANCIERO MINAS" sheetId="14" r:id="rId41"/>
    <sheet name="PRODUCTOS MINAS" sheetId="13" r:id="rId42"/>
    <sheet name="FINANCIERO GESTION HUMANA" sheetId="12" r:id="rId43"/>
    <sheet name="PRODUCTOS GESTION HUMANA" sheetId="11" r:id="rId44"/>
    <sheet name="FINANCIERO AGRICULTURA" sheetId="10" r:id="rId45"/>
    <sheet name="PRODUCTOS AGRICULTURA" sheetId="9" r:id="rId46"/>
    <sheet name="FINANCIERO SALUD" sheetId="8" r:id="rId47"/>
    <sheet name="PRODUCTOS SALUD" sheetId="7" r:id="rId48"/>
    <sheet name="FINANCIERO DAPARD" sheetId="6" r:id="rId49"/>
    <sheet name="PRODUCTOS DAPARD" sheetId="5" r:id="rId50"/>
    <sheet name="FINANCIERO CULTURA" sheetId="4" r:id="rId51"/>
    <sheet name="PRODUCTOS CULTURA " sheetId="3" r:id="rId52"/>
    <sheet name="FINANCIERO COMUNICACIONES" sheetId="2" r:id="rId53"/>
    <sheet name=" PRODUCTOS COMUNICACIONES " sheetId="1"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xlnm._FilterDatabase" localSheetId="4" hidden="1">'FINANCIERO INFRAESTRUCTURA'!$A$9:$AP$111</definedName>
    <definedName name="_xlnm._FilterDatabase" localSheetId="46" hidden="1">'FINANCIERO SALUD'!$A$8:$AP$312</definedName>
    <definedName name="_xlnm._FilterDatabase" localSheetId="9" hidden="1">'PRODUCTOS  EDUCACION'!$A$7:$Q$93</definedName>
    <definedName name="_xlnm._FilterDatabase" localSheetId="51" hidden="1">'PRODUCTOS CULTURA '!$A$7:$Q$21</definedName>
    <definedName name="_xlnm._FilterDatabase" localSheetId="47" hidden="1">'PRODUCTOS SALUD'!$B$7:$Q$166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8" i="54" l="1"/>
  <c r="P28" i="54"/>
  <c r="O28" i="54"/>
  <c r="N28" i="54"/>
  <c r="S27" i="54"/>
  <c r="P27" i="54"/>
  <c r="O27" i="54"/>
  <c r="N27" i="54"/>
  <c r="S26" i="54"/>
  <c r="P26" i="54"/>
  <c r="O26" i="54"/>
  <c r="N26" i="54"/>
  <c r="S25" i="54"/>
  <c r="P25" i="54"/>
  <c r="O25" i="54"/>
  <c r="N25" i="54"/>
  <c r="S24" i="54"/>
  <c r="P24" i="54"/>
  <c r="O24" i="54"/>
  <c r="N24" i="54"/>
  <c r="S23" i="54"/>
  <c r="P23" i="54"/>
  <c r="O23" i="54"/>
  <c r="N23" i="54"/>
  <c r="S22" i="54"/>
  <c r="P22" i="54"/>
  <c r="O22" i="54"/>
  <c r="N22" i="54"/>
  <c r="S21" i="54"/>
  <c r="P21" i="54"/>
  <c r="O21" i="54"/>
  <c r="N21" i="54"/>
  <c r="S20" i="54"/>
  <c r="P20" i="54"/>
  <c r="O20" i="54"/>
  <c r="N20" i="54"/>
  <c r="S19" i="54"/>
  <c r="P19" i="54"/>
  <c r="O19" i="54"/>
  <c r="N19" i="54"/>
  <c r="S18" i="54"/>
  <c r="P18" i="54"/>
  <c r="O18" i="54"/>
  <c r="N18" i="54"/>
  <c r="S17" i="54"/>
  <c r="P17" i="54"/>
  <c r="O17" i="54"/>
  <c r="N17" i="54"/>
  <c r="S16" i="54"/>
  <c r="P16" i="54"/>
  <c r="O16" i="54"/>
  <c r="N16" i="54"/>
  <c r="S15" i="54"/>
  <c r="P15" i="54"/>
  <c r="O15" i="54"/>
  <c r="N15" i="54"/>
  <c r="S14" i="54"/>
  <c r="P14" i="54"/>
  <c r="O14" i="54"/>
  <c r="N14" i="54"/>
  <c r="S13" i="54"/>
  <c r="P13" i="54"/>
  <c r="O13" i="54"/>
  <c r="N13" i="54"/>
  <c r="S12" i="54"/>
  <c r="P12" i="54"/>
  <c r="O12" i="54"/>
  <c r="N12" i="54"/>
  <c r="S11" i="54"/>
  <c r="P11" i="54"/>
  <c r="O11" i="54"/>
  <c r="N11" i="54"/>
  <c r="S10" i="54"/>
  <c r="P10" i="54"/>
  <c r="O10" i="54"/>
  <c r="N10" i="54"/>
  <c r="S9" i="54"/>
  <c r="P9" i="54"/>
  <c r="O9" i="54"/>
  <c r="N9" i="54"/>
  <c r="J13" i="53"/>
  <c r="J12" i="53"/>
  <c r="J11" i="53"/>
  <c r="AK10" i="53"/>
  <c r="J10" i="53"/>
  <c r="O7" i="53"/>
  <c r="S106" i="52" l="1"/>
  <c r="P106" i="52"/>
  <c r="O106" i="52"/>
  <c r="N106" i="52"/>
  <c r="S105" i="52"/>
  <c r="P105" i="52"/>
  <c r="O105" i="52"/>
  <c r="N105" i="52"/>
  <c r="S88" i="52"/>
  <c r="P88" i="52"/>
  <c r="O88" i="52"/>
  <c r="N88" i="52"/>
  <c r="S87" i="52"/>
  <c r="P87" i="52"/>
  <c r="O87" i="52"/>
  <c r="N87" i="52"/>
  <c r="S86" i="52"/>
  <c r="P86" i="52"/>
  <c r="O86" i="52"/>
  <c r="N86" i="52"/>
  <c r="S85" i="52"/>
  <c r="P85" i="52"/>
  <c r="O85" i="52"/>
  <c r="N85" i="52"/>
  <c r="S84" i="52"/>
  <c r="P84" i="52"/>
  <c r="O84" i="52"/>
  <c r="N84" i="52"/>
  <c r="S83" i="52"/>
  <c r="P83" i="52"/>
  <c r="O83" i="52"/>
  <c r="N83" i="52"/>
  <c r="S82" i="52"/>
  <c r="P82" i="52"/>
  <c r="O82" i="52"/>
  <c r="N82" i="52"/>
  <c r="S81" i="52"/>
  <c r="P81" i="52"/>
  <c r="O81" i="52"/>
  <c r="N81" i="52"/>
  <c r="S80" i="52"/>
  <c r="P80" i="52"/>
  <c r="O80" i="52"/>
  <c r="N80" i="52"/>
  <c r="S79" i="52"/>
  <c r="P79" i="52"/>
  <c r="O79" i="52"/>
  <c r="N79" i="52"/>
  <c r="S78" i="52"/>
  <c r="P78" i="52"/>
  <c r="O78" i="52"/>
  <c r="N78" i="52"/>
  <c r="S77" i="52"/>
  <c r="P77" i="52"/>
  <c r="O77" i="52"/>
  <c r="N77" i="52"/>
  <c r="S76" i="52"/>
  <c r="P76" i="52"/>
  <c r="O76" i="52"/>
  <c r="N76" i="52"/>
  <c r="S75" i="52"/>
  <c r="P75" i="52"/>
  <c r="O75" i="52"/>
  <c r="N75" i="52"/>
  <c r="Q74" i="52"/>
  <c r="S74" i="52" s="1"/>
  <c r="P74" i="52"/>
  <c r="O74" i="52"/>
  <c r="N74" i="52"/>
  <c r="S73" i="52"/>
  <c r="P73" i="52"/>
  <c r="O73" i="52"/>
  <c r="N73" i="52"/>
  <c r="S72" i="52"/>
  <c r="P72" i="52"/>
  <c r="O72" i="52"/>
  <c r="N72" i="52"/>
  <c r="S71" i="52"/>
  <c r="P71" i="52"/>
  <c r="O71" i="52"/>
  <c r="N71" i="52"/>
  <c r="S70" i="52"/>
  <c r="P70" i="52"/>
  <c r="O70" i="52"/>
  <c r="N70" i="52"/>
  <c r="S66" i="52"/>
  <c r="P66" i="52"/>
  <c r="O66" i="52"/>
  <c r="N66" i="52"/>
  <c r="S65" i="52"/>
  <c r="P65" i="52"/>
  <c r="O65" i="52"/>
  <c r="N65" i="52"/>
  <c r="S64" i="52"/>
  <c r="P64" i="52"/>
  <c r="O64" i="52"/>
  <c r="N64" i="52"/>
  <c r="S63" i="52"/>
  <c r="P63" i="52"/>
  <c r="O63" i="52"/>
  <c r="N63" i="52"/>
  <c r="S62" i="52"/>
  <c r="P62" i="52"/>
  <c r="O62" i="52"/>
  <c r="N62" i="52"/>
  <c r="S61" i="52"/>
  <c r="P61" i="52"/>
  <c r="O61" i="52"/>
  <c r="N61" i="52"/>
  <c r="S60" i="52"/>
  <c r="P60" i="52"/>
  <c r="O60" i="52"/>
  <c r="N60" i="52"/>
  <c r="S59" i="52"/>
  <c r="P59" i="52"/>
  <c r="O59" i="52"/>
  <c r="N59" i="52"/>
  <c r="S58" i="52"/>
  <c r="P58" i="52"/>
  <c r="O58" i="52"/>
  <c r="N58" i="52"/>
  <c r="S57" i="52"/>
  <c r="P57" i="52"/>
  <c r="O57" i="52"/>
  <c r="N57" i="52"/>
  <c r="S56" i="52"/>
  <c r="P56" i="52"/>
  <c r="O56" i="52"/>
  <c r="N56" i="52"/>
  <c r="S55" i="52"/>
  <c r="P55" i="52"/>
  <c r="O55" i="52"/>
  <c r="N55" i="52"/>
  <c r="S54" i="52"/>
  <c r="P54" i="52"/>
  <c r="O54" i="52"/>
  <c r="N54" i="52"/>
  <c r="S53" i="52"/>
  <c r="P53" i="52"/>
  <c r="O53" i="52"/>
  <c r="S52" i="52"/>
  <c r="P52" i="52"/>
  <c r="O52" i="52"/>
  <c r="S51" i="52"/>
  <c r="P51" i="52"/>
  <c r="O51" i="52"/>
  <c r="S50" i="52"/>
  <c r="P50" i="52"/>
  <c r="O50" i="52"/>
  <c r="S49" i="52"/>
  <c r="P49" i="52"/>
  <c r="O49" i="52"/>
  <c r="N49" i="52"/>
  <c r="S36" i="52"/>
  <c r="P36" i="52"/>
  <c r="O36" i="52"/>
  <c r="N36" i="52"/>
  <c r="S35" i="52"/>
  <c r="P35" i="52"/>
  <c r="O35" i="52"/>
  <c r="N35" i="52"/>
  <c r="S34" i="52"/>
  <c r="P34" i="52"/>
  <c r="O34" i="52"/>
  <c r="N34" i="52"/>
  <c r="S33" i="52"/>
  <c r="P33" i="52"/>
  <c r="O33" i="52"/>
  <c r="N33" i="52"/>
  <c r="I9" i="52"/>
  <c r="AV58" i="51"/>
  <c r="AU58" i="51"/>
  <c r="AR58" i="51"/>
  <c r="AQ58" i="51"/>
  <c r="AN58" i="51"/>
  <c r="AM58" i="51"/>
  <c r="AJ58" i="51"/>
  <c r="AI58" i="51"/>
  <c r="W58" i="51"/>
  <c r="AZ58" i="51" s="1"/>
  <c r="AV57" i="51"/>
  <c r="AU57" i="51"/>
  <c r="AR57" i="51"/>
  <c r="AQ57" i="51"/>
  <c r="AN57" i="51"/>
  <c r="AM57" i="51"/>
  <c r="AJ57" i="51"/>
  <c r="AI57" i="51"/>
  <c r="W57" i="51"/>
  <c r="AV56" i="51"/>
  <c r="AU56" i="51"/>
  <c r="AR56" i="51"/>
  <c r="AQ56" i="51"/>
  <c r="AN56" i="51"/>
  <c r="AM56" i="51"/>
  <c r="AJ56" i="51"/>
  <c r="AI56" i="51"/>
  <c r="W56" i="51"/>
  <c r="X56" i="51" s="1"/>
  <c r="AV55" i="51"/>
  <c r="AU55" i="51"/>
  <c r="AR55" i="51"/>
  <c r="AQ55" i="51"/>
  <c r="AN55" i="51"/>
  <c r="AM55" i="51"/>
  <c r="AJ55" i="51"/>
  <c r="AI55" i="51"/>
  <c r="W55" i="51"/>
  <c r="AZ55" i="51" s="1"/>
  <c r="AV54" i="51"/>
  <c r="AU54" i="51"/>
  <c r="AR54" i="51"/>
  <c r="AQ54" i="51"/>
  <c r="AN54" i="51"/>
  <c r="AM54" i="51"/>
  <c r="AJ54" i="51"/>
  <c r="AI54" i="51"/>
  <c r="W54" i="51"/>
  <c r="AY54" i="51" s="1"/>
  <c r="AV53" i="51"/>
  <c r="AU53" i="51"/>
  <c r="AR53" i="51"/>
  <c r="AQ53" i="51"/>
  <c r="AN53" i="51"/>
  <c r="AM53" i="51"/>
  <c r="AJ53" i="51"/>
  <c r="AI53" i="51"/>
  <c r="W53" i="51"/>
  <c r="AZ53" i="51" s="1"/>
  <c r="AV52" i="51"/>
  <c r="AU52" i="51"/>
  <c r="AR52" i="51"/>
  <c r="AQ52" i="51"/>
  <c r="AN52" i="51"/>
  <c r="AM52" i="51"/>
  <c r="AJ52" i="51"/>
  <c r="AI52" i="51"/>
  <c r="W52" i="51"/>
  <c r="AZ52" i="51" s="1"/>
  <c r="AV51" i="51"/>
  <c r="AU51" i="51"/>
  <c r="AR51" i="51"/>
  <c r="AQ51" i="51"/>
  <c r="AN51" i="51"/>
  <c r="AM51" i="51"/>
  <c r="AJ51" i="51"/>
  <c r="AI51" i="51"/>
  <c r="W51" i="51"/>
  <c r="AZ51" i="51" s="1"/>
  <c r="AV50" i="51"/>
  <c r="AU50" i="51"/>
  <c r="AR50" i="51"/>
  <c r="AQ50" i="51"/>
  <c r="AN50" i="51"/>
  <c r="AM50" i="51"/>
  <c r="AJ50" i="51"/>
  <c r="AI50" i="51"/>
  <c r="W50" i="51"/>
  <c r="AY50" i="51" s="1"/>
  <c r="AV49" i="51"/>
  <c r="AU49" i="51"/>
  <c r="AR49" i="51"/>
  <c r="AQ49" i="51"/>
  <c r="AN49" i="51"/>
  <c r="AM49" i="51"/>
  <c r="AJ49" i="51"/>
  <c r="AI49" i="51"/>
  <c r="W49" i="51"/>
  <c r="AZ49" i="51" s="1"/>
  <c r="AV48" i="51"/>
  <c r="AU48" i="51"/>
  <c r="AR48" i="51"/>
  <c r="AQ48" i="51"/>
  <c r="AN48" i="51"/>
  <c r="AM48" i="51"/>
  <c r="AJ48" i="51"/>
  <c r="AI48" i="51"/>
  <c r="W48" i="51"/>
  <c r="AY48" i="51" s="1"/>
  <c r="AV47" i="51"/>
  <c r="AU47" i="51"/>
  <c r="AR47" i="51"/>
  <c r="AQ47" i="51"/>
  <c r="AN47" i="51"/>
  <c r="AM47" i="51"/>
  <c r="AJ47" i="51"/>
  <c r="AI47" i="51"/>
  <c r="W47" i="51"/>
  <c r="AY47" i="51" s="1"/>
  <c r="AV46" i="51"/>
  <c r="AU46" i="51"/>
  <c r="AR46" i="51"/>
  <c r="AQ46" i="51"/>
  <c r="AN46" i="51"/>
  <c r="AM46" i="51"/>
  <c r="AJ46" i="51"/>
  <c r="AI46" i="51"/>
  <c r="W46" i="51"/>
  <c r="AY46" i="51" s="1"/>
  <c r="AV45" i="51"/>
  <c r="AU45" i="51"/>
  <c r="AR45" i="51"/>
  <c r="AQ45" i="51"/>
  <c r="AN45" i="51"/>
  <c r="AM45" i="51"/>
  <c r="AJ45" i="51"/>
  <c r="AI45" i="51"/>
  <c r="W45" i="51"/>
  <c r="AY45" i="51" s="1"/>
  <c r="AV44" i="51"/>
  <c r="AU44" i="51"/>
  <c r="AR44" i="51"/>
  <c r="AQ44" i="51"/>
  <c r="AN44" i="51"/>
  <c r="AM44" i="51"/>
  <c r="AJ44" i="51"/>
  <c r="AI44" i="51"/>
  <c r="W44" i="51"/>
  <c r="AV43" i="51"/>
  <c r="AU43" i="51"/>
  <c r="AR43" i="51"/>
  <c r="AQ43" i="51"/>
  <c r="AN43" i="51"/>
  <c r="AM43" i="51"/>
  <c r="AJ43" i="51"/>
  <c r="AI43" i="51"/>
  <c r="W43" i="51"/>
  <c r="AY43" i="51" s="1"/>
  <c r="AV42" i="51"/>
  <c r="AU42" i="51"/>
  <c r="AR42" i="51"/>
  <c r="AQ42" i="51"/>
  <c r="AN42" i="51"/>
  <c r="AM42" i="51"/>
  <c r="AJ42" i="51"/>
  <c r="AI42" i="51"/>
  <c r="W42" i="51"/>
  <c r="AZ42" i="51" s="1"/>
  <c r="AV41" i="51"/>
  <c r="AU41" i="51"/>
  <c r="AR41" i="51"/>
  <c r="AQ41" i="51"/>
  <c r="AN41" i="51"/>
  <c r="AM41" i="51"/>
  <c r="AJ41" i="51"/>
  <c r="AI41" i="51"/>
  <c r="W41" i="51"/>
  <c r="AZ41" i="51" s="1"/>
  <c r="AV40" i="51"/>
  <c r="AU40" i="51"/>
  <c r="AR40" i="51"/>
  <c r="AQ40" i="51"/>
  <c r="AN40" i="51"/>
  <c r="AM40" i="51"/>
  <c r="AJ40" i="51"/>
  <c r="AI40" i="51"/>
  <c r="W40" i="51"/>
  <c r="AZ40" i="51" s="1"/>
  <c r="AV39" i="51"/>
  <c r="AU39" i="51"/>
  <c r="AR39" i="51"/>
  <c r="AQ39" i="51"/>
  <c r="AN39" i="51"/>
  <c r="AM39" i="51"/>
  <c r="AJ39" i="51"/>
  <c r="AI39" i="51"/>
  <c r="W39" i="51"/>
  <c r="AY39" i="51" s="1"/>
  <c r="AV38" i="51"/>
  <c r="AU38" i="51"/>
  <c r="AR38" i="51"/>
  <c r="AQ38" i="51"/>
  <c r="AN38" i="51"/>
  <c r="AM38" i="51"/>
  <c r="AJ38" i="51"/>
  <c r="AI38" i="51"/>
  <c r="W38" i="51"/>
  <c r="AY38" i="51" s="1"/>
  <c r="AV37" i="51"/>
  <c r="AU37" i="51"/>
  <c r="AR37" i="51"/>
  <c r="AQ37" i="51"/>
  <c r="AN37" i="51"/>
  <c r="AM37" i="51"/>
  <c r="AJ37" i="51"/>
  <c r="AI37" i="51"/>
  <c r="W37" i="51"/>
  <c r="AY37" i="51" s="1"/>
  <c r="I32" i="51"/>
  <c r="J19" i="51"/>
  <c r="I17" i="51"/>
  <c r="I15" i="51"/>
  <c r="J14" i="51"/>
  <c r="I13" i="51"/>
  <c r="I12" i="51"/>
  <c r="I10" i="51"/>
  <c r="I9" i="51"/>
  <c r="AX58" i="51"/>
  <c r="AS52" i="51"/>
  <c r="AP41" i="51"/>
  <c r="AO38" i="51"/>
  <c r="AL53" i="51"/>
  <c r="AW50" i="51"/>
  <c r="AO48" i="51"/>
  <c r="AP40" i="51"/>
  <c r="AL38" i="51"/>
  <c r="AT51" i="51"/>
  <c r="AW41" i="51"/>
  <c r="AT55" i="51"/>
  <c r="AX38" i="51"/>
  <c r="AS40" i="51"/>
  <c r="AS43" i="51"/>
  <c r="AP53" i="51"/>
  <c r="BB51" i="51"/>
  <c r="AX39" i="51"/>
  <c r="AL46" i="51"/>
  <c r="BB55" i="51"/>
  <c r="AO45" i="51"/>
  <c r="AK37" i="51"/>
  <c r="AW51" i="51"/>
  <c r="AO51" i="51"/>
  <c r="AX40" i="51"/>
  <c r="AL39" i="51"/>
  <c r="AS38" i="51"/>
  <c r="AS39" i="51"/>
  <c r="AS41" i="51"/>
  <c r="BB58" i="51"/>
  <c r="AT50" i="51"/>
  <c r="AW56" i="51"/>
  <c r="AW45" i="51"/>
  <c r="AX37" i="51"/>
  <c r="AS47" i="51"/>
  <c r="AL58" i="51"/>
  <c r="AW47" i="51"/>
  <c r="AS46" i="51"/>
  <c r="AO57" i="51"/>
  <c r="AP56" i="51"/>
  <c r="AS55" i="51"/>
  <c r="AP38" i="51"/>
  <c r="AS42" i="51"/>
  <c r="AW52" i="51"/>
  <c r="AL54" i="51"/>
  <c r="AW57" i="51"/>
  <c r="AS54" i="51"/>
  <c r="AX52" i="51"/>
  <c r="BA50" i="51"/>
  <c r="AP48" i="51"/>
  <c r="AS44" i="51"/>
  <c r="AW54" i="51"/>
  <c r="AW49" i="51"/>
  <c r="AO37" i="51"/>
  <c r="AS48" i="51"/>
  <c r="AP57" i="51"/>
  <c r="AL47" i="51"/>
  <c r="BA39" i="51"/>
  <c r="AT47" i="51"/>
  <c r="AO39" i="51"/>
  <c r="AK49" i="51"/>
  <c r="BB53" i="51"/>
  <c r="AK53" i="51"/>
  <c r="AL56" i="51"/>
  <c r="AT45" i="51"/>
  <c r="AS45" i="51"/>
  <c r="AT56" i="51"/>
  <c r="AP58" i="51"/>
  <c r="AK51" i="51"/>
  <c r="AK43" i="51"/>
  <c r="AX57" i="51"/>
  <c r="AK57" i="51"/>
  <c r="AX46" i="51"/>
  <c r="AW48" i="51"/>
  <c r="AX48" i="51"/>
  <c r="AP55" i="51"/>
  <c r="AO49" i="51"/>
  <c r="BA38" i="51"/>
  <c r="AW39" i="51"/>
  <c r="AK56" i="51"/>
  <c r="AO40" i="51"/>
  <c r="AT41" i="51"/>
  <c r="AK48" i="51"/>
  <c r="AT49" i="51"/>
  <c r="AT44" i="51"/>
  <c r="AT38" i="51"/>
  <c r="AW53" i="51"/>
  <c r="AL44" i="51"/>
  <c r="AO52" i="51"/>
  <c r="AS58" i="51"/>
  <c r="AL42" i="51"/>
  <c r="AX47" i="51"/>
  <c r="AX44" i="51"/>
  <c r="AP54" i="51"/>
  <c r="AO46" i="51"/>
  <c r="AW38" i="51"/>
  <c r="AL40" i="51"/>
  <c r="AL55" i="51"/>
  <c r="AO43" i="51"/>
  <c r="AK38" i="51"/>
  <c r="AX42" i="51"/>
  <c r="AK50" i="51"/>
  <c r="AW46" i="51"/>
  <c r="AP39" i="51"/>
  <c r="AP37" i="51"/>
  <c r="AT46" i="51"/>
  <c r="AL48" i="51"/>
  <c r="AK45" i="51"/>
  <c r="AO47" i="51"/>
  <c r="BB52" i="51"/>
  <c r="AO53" i="51"/>
  <c r="AP45" i="51"/>
  <c r="AX54" i="51"/>
  <c r="AK47" i="51"/>
  <c r="AL37" i="51"/>
  <c r="AT57" i="51"/>
  <c r="AT54" i="51"/>
  <c r="AX45" i="51"/>
  <c r="AP50" i="51"/>
  <c r="AP44" i="51"/>
  <c r="AO41" i="51"/>
  <c r="BA54" i="51"/>
  <c r="AL57" i="51"/>
  <c r="AW55" i="51"/>
  <c r="BA37" i="51"/>
  <c r="BA48" i="51"/>
  <c r="AL51" i="51"/>
  <c r="AP42" i="51"/>
  <c r="AT39" i="51"/>
  <c r="BB42" i="51"/>
  <c r="AP51" i="51"/>
  <c r="AP49" i="51"/>
  <c r="AK39" i="51"/>
  <c r="AK42" i="51"/>
  <c r="AT53" i="51"/>
  <c r="AW42" i="51"/>
  <c r="AT37" i="51"/>
  <c r="AK46" i="51"/>
  <c r="AO50" i="51"/>
  <c r="AP46" i="51"/>
  <c r="AK58" i="51"/>
  <c r="AX56" i="51"/>
  <c r="AS51" i="51"/>
  <c r="AW43" i="51"/>
  <c r="AL50" i="51"/>
  <c r="AO56" i="51"/>
  <c r="AX50" i="51"/>
  <c r="AW40" i="51"/>
  <c r="AL45" i="51"/>
  <c r="AX53" i="51"/>
  <c r="AK52" i="51"/>
  <c r="AW37" i="51"/>
  <c r="AK44" i="51"/>
  <c r="AL43" i="51"/>
  <c r="AL49" i="51"/>
  <c r="AW44" i="51"/>
  <c r="BA47" i="51"/>
  <c r="AT58" i="51"/>
  <c r="AT48" i="51"/>
  <c r="AK41" i="51"/>
  <c r="AX51" i="51"/>
  <c r="AO58" i="51"/>
  <c r="AP47" i="51"/>
  <c r="AS49" i="51"/>
  <c r="AK54" i="51"/>
  <c r="AS53" i="51"/>
  <c r="AL52" i="51"/>
  <c r="AO42" i="51"/>
  <c r="AX49" i="51"/>
  <c r="AS56" i="51"/>
  <c r="BA46" i="51"/>
  <c r="AP52" i="51"/>
  <c r="AK55" i="51"/>
  <c r="BB40" i="51"/>
  <c r="AT52" i="51"/>
  <c r="BA43" i="51"/>
  <c r="AO54" i="51"/>
  <c r="AP43" i="51"/>
  <c r="AX55" i="51"/>
  <c r="AL41" i="51"/>
  <c r="AK40" i="51"/>
  <c r="AT43" i="51"/>
  <c r="AT40" i="51"/>
  <c r="AO44" i="51"/>
  <c r="AO55" i="51"/>
  <c r="AW58" i="51"/>
  <c r="AS57" i="51"/>
  <c r="AT42" i="51"/>
  <c r="AS37" i="51"/>
  <c r="AX41" i="51"/>
  <c r="AX43" i="51"/>
  <c r="AS50" i="51"/>
  <c r="BB49" i="51"/>
  <c r="BB41" i="51"/>
  <c r="BA45" i="51"/>
  <c r="X47" i="51" l="1"/>
  <c r="BC47" i="51" s="1"/>
  <c r="X48" i="51"/>
  <c r="BD48" i="51" s="1"/>
  <c r="X54" i="51"/>
  <c r="BC54" i="51" s="1"/>
  <c r="AZ48" i="51"/>
  <c r="X52" i="51"/>
  <c r="BC52" i="51" s="1"/>
  <c r="AZ54" i="51"/>
  <c r="AY55" i="51"/>
  <c r="AY58" i="51"/>
  <c r="AZ47" i="51"/>
  <c r="AY40" i="51"/>
  <c r="AY42" i="51"/>
  <c r="X49" i="51"/>
  <c r="BD49" i="51" s="1"/>
  <c r="AY52" i="51"/>
  <c r="X55" i="51"/>
  <c r="Y55" i="51" s="1"/>
  <c r="AY56" i="51"/>
  <c r="X58" i="51"/>
  <c r="Y58" i="51" s="1"/>
  <c r="AZ37" i="51"/>
  <c r="AZ38" i="51"/>
  <c r="AZ39" i="51"/>
  <c r="AY49" i="51"/>
  <c r="AZ56" i="51"/>
  <c r="X37" i="51"/>
  <c r="BC37" i="51" s="1"/>
  <c r="X38" i="51"/>
  <c r="BC38" i="51" s="1"/>
  <c r="X39" i="51"/>
  <c r="BC39" i="51" s="1"/>
  <c r="X40" i="51"/>
  <c r="Y40" i="51" s="1"/>
  <c r="BH40" i="51" s="1"/>
  <c r="X42" i="51"/>
  <c r="BC42" i="51" s="1"/>
  <c r="X41" i="51"/>
  <c r="AY41" i="51"/>
  <c r="AZ46" i="51"/>
  <c r="X46" i="51"/>
  <c r="AZ44" i="51"/>
  <c r="X44" i="51"/>
  <c r="AZ43" i="51"/>
  <c r="X43" i="51"/>
  <c r="AY44" i="51"/>
  <c r="AZ45" i="51"/>
  <c r="X45" i="51"/>
  <c r="AZ50" i="51"/>
  <c r="X50" i="51"/>
  <c r="Y56" i="51"/>
  <c r="BC56" i="51"/>
  <c r="BD56" i="51"/>
  <c r="AZ57" i="51"/>
  <c r="AY57" i="51"/>
  <c r="X57" i="51"/>
  <c r="AY51" i="51"/>
  <c r="X51" i="51"/>
  <c r="AY53" i="51"/>
  <c r="X53" i="51"/>
  <c r="BE39" i="51"/>
  <c r="BA41" i="51"/>
  <c r="BB47" i="51"/>
  <c r="BA58" i="51"/>
  <c r="BA40" i="51"/>
  <c r="BF49" i="51"/>
  <c r="BA52" i="51"/>
  <c r="BA53" i="51"/>
  <c r="BA44" i="51"/>
  <c r="BB56" i="51"/>
  <c r="BB57" i="51"/>
  <c r="BB43" i="51"/>
  <c r="BE37" i="51"/>
  <c r="BE38" i="51"/>
  <c r="BB48" i="51"/>
  <c r="BA49" i="51"/>
  <c r="BA57" i="51"/>
  <c r="BB45" i="51"/>
  <c r="BB37" i="51"/>
  <c r="BE56" i="51"/>
  <c r="BE47" i="51"/>
  <c r="BE52" i="51"/>
  <c r="BB38" i="51"/>
  <c r="BA51" i="51"/>
  <c r="BJ40" i="51"/>
  <c r="BB46" i="51"/>
  <c r="BF48" i="51"/>
  <c r="BB54" i="51"/>
  <c r="BE42" i="51"/>
  <c r="BB50" i="51"/>
  <c r="BF56" i="51"/>
  <c r="BE54" i="51"/>
  <c r="BA55" i="51"/>
  <c r="BA42" i="51"/>
  <c r="BA56" i="51"/>
  <c r="BB39" i="51"/>
  <c r="BB44" i="51"/>
  <c r="Y47" i="51" l="1"/>
  <c r="BH47" i="51" s="1"/>
  <c r="BC55" i="51"/>
  <c r="BD47" i="51"/>
  <c r="BC40" i="51"/>
  <c r="Y54" i="51"/>
  <c r="BH54" i="51" s="1"/>
  <c r="BD40" i="51"/>
  <c r="BD55" i="51"/>
  <c r="BC48" i="51"/>
  <c r="Z40" i="51"/>
  <c r="AA40" i="51" s="1"/>
  <c r="BD54" i="51"/>
  <c r="BD42" i="51"/>
  <c r="Y48" i="51"/>
  <c r="Y42" i="51"/>
  <c r="BG42" i="51" s="1"/>
  <c r="BC49" i="51"/>
  <c r="BG40" i="51"/>
  <c r="Y52" i="51"/>
  <c r="BD52" i="51"/>
  <c r="Z58" i="51"/>
  <c r="BH58" i="51"/>
  <c r="BG58" i="51"/>
  <c r="BD37" i="51"/>
  <c r="Y37" i="51"/>
  <c r="BD58" i="51"/>
  <c r="BH55" i="51"/>
  <c r="Z55" i="51"/>
  <c r="BG55" i="51"/>
  <c r="BD38" i="51"/>
  <c r="Y38" i="51"/>
  <c r="BC58" i="51"/>
  <c r="Y49" i="51"/>
  <c r="Z49" i="51" s="1"/>
  <c r="BD39" i="51"/>
  <c r="Y39" i="51"/>
  <c r="BD51" i="51"/>
  <c r="BC51" i="51"/>
  <c r="Y51" i="51"/>
  <c r="Y50" i="51"/>
  <c r="BD50" i="51"/>
  <c r="BC50" i="51"/>
  <c r="Y43" i="51"/>
  <c r="BD43" i="51"/>
  <c r="BC43" i="51"/>
  <c r="Y44" i="51"/>
  <c r="BD44" i="51"/>
  <c r="BC44" i="51"/>
  <c r="Y45" i="51"/>
  <c r="BD45" i="51"/>
  <c r="BC45" i="51"/>
  <c r="Y41" i="51"/>
  <c r="BD41" i="51"/>
  <c r="BC41" i="51"/>
  <c r="Y46" i="51"/>
  <c r="BD46" i="51"/>
  <c r="BC46" i="51"/>
  <c r="Y57" i="51"/>
  <c r="BD57" i="51"/>
  <c r="BC57" i="51"/>
  <c r="BG54" i="51"/>
  <c r="BD53" i="51"/>
  <c r="BC53" i="51"/>
  <c r="Y53" i="51"/>
  <c r="BH56" i="51"/>
  <c r="BG56" i="51"/>
  <c r="Z56" i="51"/>
  <c r="BF41" i="51"/>
  <c r="BI42" i="51"/>
  <c r="BE45" i="51"/>
  <c r="BF58" i="51"/>
  <c r="BF44" i="51"/>
  <c r="BF53" i="51"/>
  <c r="BE40" i="51"/>
  <c r="BF55" i="51"/>
  <c r="BJ47" i="51"/>
  <c r="BI56" i="51"/>
  <c r="BF37" i="51"/>
  <c r="BF45" i="51"/>
  <c r="BJ58" i="51"/>
  <c r="BI40" i="51"/>
  <c r="BF52" i="51"/>
  <c r="BF43" i="51"/>
  <c r="BJ55" i="51"/>
  <c r="BF46" i="51"/>
  <c r="BI58" i="51"/>
  <c r="BF51" i="51"/>
  <c r="BF39" i="51"/>
  <c r="BF47" i="51"/>
  <c r="BE43" i="51"/>
  <c r="BI54" i="51"/>
  <c r="BI55" i="51"/>
  <c r="BE55" i="51"/>
  <c r="BE57" i="51"/>
  <c r="BE44" i="51"/>
  <c r="BE46" i="51"/>
  <c r="BF40" i="51"/>
  <c r="BE48" i="51"/>
  <c r="BJ56" i="51"/>
  <c r="BE53" i="51"/>
  <c r="BF54" i="51"/>
  <c r="BJ54" i="51"/>
  <c r="BE58" i="51"/>
  <c r="BF50" i="51"/>
  <c r="BE49" i="51"/>
  <c r="BE51" i="51"/>
  <c r="BE50" i="51"/>
  <c r="BE41" i="51"/>
  <c r="BF42" i="51"/>
  <c r="BF38" i="51"/>
  <c r="BF57" i="51"/>
  <c r="BL40" i="51" l="1"/>
  <c r="Z54" i="51"/>
  <c r="AA54" i="51" s="1"/>
  <c r="BK40" i="51"/>
  <c r="BG47" i="51"/>
  <c r="Z47" i="51"/>
  <c r="BG49" i="51"/>
  <c r="BH49" i="51"/>
  <c r="Z42" i="51"/>
  <c r="BK42" i="51" s="1"/>
  <c r="BG48" i="51"/>
  <c r="Z48" i="51"/>
  <c r="BH48" i="51"/>
  <c r="BH42" i="51"/>
  <c r="BH52" i="51"/>
  <c r="BG52" i="51"/>
  <c r="Z52" i="51"/>
  <c r="BH39" i="51"/>
  <c r="BG39" i="51"/>
  <c r="Z39" i="51"/>
  <c r="BL58" i="51"/>
  <c r="AA58" i="51"/>
  <c r="BK58" i="51"/>
  <c r="Z38" i="51"/>
  <c r="BH38" i="51"/>
  <c r="BG38" i="51"/>
  <c r="BL55" i="51"/>
  <c r="AA55" i="51"/>
  <c r="BK55" i="51"/>
  <c r="BG37" i="51"/>
  <c r="BH37" i="51"/>
  <c r="Z37" i="51"/>
  <c r="AB40" i="51"/>
  <c r="BP40" i="51"/>
  <c r="BO40" i="51"/>
  <c r="Z45" i="51"/>
  <c r="BH45" i="51"/>
  <c r="BG45" i="51"/>
  <c r="BH44" i="51"/>
  <c r="BG44" i="51"/>
  <c r="Z44" i="51"/>
  <c r="BL42" i="51"/>
  <c r="Z50" i="51"/>
  <c r="BH50" i="51"/>
  <c r="BG50" i="51"/>
  <c r="Z51" i="51"/>
  <c r="BG51" i="51"/>
  <c r="BH51" i="51"/>
  <c r="Z53" i="51"/>
  <c r="BG53" i="51"/>
  <c r="BH53" i="51"/>
  <c r="BK54" i="51"/>
  <c r="Z57" i="51"/>
  <c r="BH57" i="51"/>
  <c r="BG57" i="51"/>
  <c r="Z46" i="51"/>
  <c r="BH46" i="51"/>
  <c r="BG46" i="51"/>
  <c r="BL56" i="51"/>
  <c r="AA56" i="51"/>
  <c r="BK56" i="51"/>
  <c r="BG41" i="51"/>
  <c r="Z41" i="51"/>
  <c r="BH41" i="51"/>
  <c r="BK49" i="51"/>
  <c r="BL49" i="51"/>
  <c r="AA49" i="51"/>
  <c r="BH43" i="51"/>
  <c r="Z43" i="51"/>
  <c r="BG43" i="51"/>
  <c r="BI41" i="51"/>
  <c r="BN55" i="51"/>
  <c r="BJ48" i="51"/>
  <c r="BM58" i="51"/>
  <c r="BJ50" i="51"/>
  <c r="BJ42" i="51"/>
  <c r="BI45" i="51"/>
  <c r="BJ41" i="51"/>
  <c r="BJ45" i="51"/>
  <c r="BI57" i="51"/>
  <c r="BM40" i="51"/>
  <c r="BN42" i="51"/>
  <c r="BJ51" i="51"/>
  <c r="BJ38" i="51"/>
  <c r="BJ37" i="51"/>
  <c r="BQ40" i="51"/>
  <c r="BI39" i="51"/>
  <c r="BJ39" i="51"/>
  <c r="BI53" i="51"/>
  <c r="BI43" i="51"/>
  <c r="BJ43" i="51"/>
  <c r="BI46" i="51"/>
  <c r="BI37" i="51"/>
  <c r="BJ57" i="51"/>
  <c r="BN40" i="51"/>
  <c r="BI51" i="51"/>
  <c r="BM55" i="51"/>
  <c r="BI38" i="51"/>
  <c r="BJ52" i="51"/>
  <c r="BN56" i="51"/>
  <c r="BI47" i="51"/>
  <c r="BR40" i="51"/>
  <c r="BI50" i="51"/>
  <c r="BN58" i="51"/>
  <c r="BM42" i="51"/>
  <c r="BN49" i="51"/>
  <c r="BI48" i="51"/>
  <c r="BJ44" i="51"/>
  <c r="BJ53" i="51"/>
  <c r="BI49" i="51"/>
  <c r="BI52" i="51"/>
  <c r="BI44" i="51"/>
  <c r="BM54" i="51"/>
  <c r="BJ49" i="51"/>
  <c r="BJ46" i="51"/>
  <c r="BM56" i="51"/>
  <c r="BM49" i="51"/>
  <c r="BL54" i="51" l="1"/>
  <c r="BK47" i="51"/>
  <c r="AA47" i="51"/>
  <c r="BL47" i="51"/>
  <c r="AA42" i="51"/>
  <c r="AB42" i="51" s="1"/>
  <c r="BK48" i="51"/>
  <c r="AA48" i="51"/>
  <c r="BL48" i="51"/>
  <c r="BL52" i="51"/>
  <c r="BK52" i="51"/>
  <c r="AA52" i="51"/>
  <c r="BO58" i="51"/>
  <c r="BP58" i="51"/>
  <c r="AB58" i="51"/>
  <c r="BK37" i="51"/>
  <c r="AA37" i="51"/>
  <c r="BL37" i="51"/>
  <c r="BP55" i="51"/>
  <c r="BO55" i="51"/>
  <c r="AB55" i="51"/>
  <c r="BK38" i="51"/>
  <c r="BL38" i="51"/>
  <c r="AA38" i="51"/>
  <c r="AA39" i="51"/>
  <c r="BK39" i="51"/>
  <c r="BL39" i="51"/>
  <c r="BK51" i="51"/>
  <c r="AA51" i="51"/>
  <c r="BL51" i="51"/>
  <c r="BP54" i="51"/>
  <c r="BO54" i="51"/>
  <c r="AB54" i="51"/>
  <c r="BL53" i="51"/>
  <c r="AA53" i="51"/>
  <c r="BK53" i="51"/>
  <c r="BL44" i="51"/>
  <c r="AA44" i="51"/>
  <c r="BK44" i="51"/>
  <c r="AC40" i="51"/>
  <c r="BS40" i="51"/>
  <c r="BT40" i="51"/>
  <c r="BL43" i="51"/>
  <c r="BK43" i="51"/>
  <c r="AA43" i="51"/>
  <c r="AB56" i="51"/>
  <c r="BP56" i="51"/>
  <c r="BO56" i="51"/>
  <c r="BL46" i="51"/>
  <c r="BK46" i="51"/>
  <c r="AA46" i="51"/>
  <c r="AA57" i="51"/>
  <c r="BL57" i="51"/>
  <c r="BK57" i="51"/>
  <c r="BK50" i="51"/>
  <c r="BL50" i="51"/>
  <c r="AA50" i="51"/>
  <c r="BL45" i="51"/>
  <c r="AA45" i="51"/>
  <c r="BK45" i="51"/>
  <c r="BL41" i="51"/>
  <c r="AA41" i="51"/>
  <c r="BK41" i="51"/>
  <c r="BP49" i="51"/>
  <c r="BO49" i="51"/>
  <c r="AB49" i="51"/>
  <c r="BN52" i="51"/>
  <c r="BN48" i="51"/>
  <c r="BR55" i="51"/>
  <c r="BQ55" i="51"/>
  <c r="BM45" i="51"/>
  <c r="BN46" i="51"/>
  <c r="BM38" i="51"/>
  <c r="BQ49" i="51"/>
  <c r="BR58" i="51"/>
  <c r="BV40" i="51"/>
  <c r="BN57" i="51"/>
  <c r="BN51" i="51"/>
  <c r="BN45" i="51"/>
  <c r="BM43" i="51"/>
  <c r="BM52" i="51"/>
  <c r="BM48" i="51"/>
  <c r="BN50" i="51"/>
  <c r="BN37" i="51"/>
  <c r="BM57" i="51"/>
  <c r="BN38" i="51"/>
  <c r="BM50" i="51"/>
  <c r="BU40" i="51"/>
  <c r="BN43" i="51"/>
  <c r="BQ58" i="51"/>
  <c r="BQ54" i="51"/>
  <c r="BM46" i="51"/>
  <c r="BN47" i="51"/>
  <c r="BN44" i="51"/>
  <c r="BM51" i="51"/>
  <c r="BN41" i="51"/>
  <c r="BN53" i="51"/>
  <c r="BM44" i="51"/>
  <c r="BM47" i="51"/>
  <c r="BN54" i="51"/>
  <c r="BM39" i="51"/>
  <c r="BR54" i="51"/>
  <c r="BR56" i="51"/>
  <c r="BM53" i="51"/>
  <c r="BR49" i="51"/>
  <c r="BN39" i="51"/>
  <c r="BM41" i="51"/>
  <c r="BM37" i="51"/>
  <c r="BQ56" i="51"/>
  <c r="BP47" i="51" l="1"/>
  <c r="BO47" i="51"/>
  <c r="AB47" i="51"/>
  <c r="BO42" i="51"/>
  <c r="BP42" i="51"/>
  <c r="BP48" i="51"/>
  <c r="AB48" i="51"/>
  <c r="BO48" i="51"/>
  <c r="BP52" i="51"/>
  <c r="AB52" i="51"/>
  <c r="BO52" i="51"/>
  <c r="BT55" i="51"/>
  <c r="BS55" i="51"/>
  <c r="AC55" i="51"/>
  <c r="BT58" i="51"/>
  <c r="AC58" i="51"/>
  <c r="BS58" i="51"/>
  <c r="AB39" i="51"/>
  <c r="BO39" i="51"/>
  <c r="BP39" i="51"/>
  <c r="AB37" i="51"/>
  <c r="BO37" i="51"/>
  <c r="BP37" i="51"/>
  <c r="AB38" i="51"/>
  <c r="BP38" i="51"/>
  <c r="BO38" i="51"/>
  <c r="BP57" i="51"/>
  <c r="AB57" i="51"/>
  <c r="BO57" i="51"/>
  <c r="BX40" i="51"/>
  <c r="BW40" i="51"/>
  <c r="AD40" i="51"/>
  <c r="BT49" i="51"/>
  <c r="BS49" i="51"/>
  <c r="AC49" i="51"/>
  <c r="BP46" i="51"/>
  <c r="AB46" i="51"/>
  <c r="BO46" i="51"/>
  <c r="BT54" i="51"/>
  <c r="BS54" i="51"/>
  <c r="AC54" i="51"/>
  <c r="AC56" i="51"/>
  <c r="BS56" i="51"/>
  <c r="BT56" i="51"/>
  <c r="BP44" i="51"/>
  <c r="AB44" i="51"/>
  <c r="BO44" i="51"/>
  <c r="AC42" i="51"/>
  <c r="BT42" i="51"/>
  <c r="BS42" i="51"/>
  <c r="BO51" i="51"/>
  <c r="BP51" i="51"/>
  <c r="AB51" i="51"/>
  <c r="BP41" i="51"/>
  <c r="BO41" i="51"/>
  <c r="AB41" i="51"/>
  <c r="BP50" i="51"/>
  <c r="BO50" i="51"/>
  <c r="AB50" i="51"/>
  <c r="BP43" i="51"/>
  <c r="AB43" i="51"/>
  <c r="BO43" i="51"/>
  <c r="BO53" i="51"/>
  <c r="BP53" i="51"/>
  <c r="AB53" i="51"/>
  <c r="BP45" i="51"/>
  <c r="AB45" i="51"/>
  <c r="BO45" i="51"/>
  <c r="BR47" i="51"/>
  <c r="BQ47" i="51"/>
  <c r="BQ57" i="51"/>
  <c r="BV49" i="51"/>
  <c r="BV56" i="51"/>
  <c r="BR53" i="51"/>
  <c r="BV58" i="51"/>
  <c r="BQ38" i="51"/>
  <c r="BQ48" i="51"/>
  <c r="BR44" i="51"/>
  <c r="BU55" i="51"/>
  <c r="BQ44" i="51"/>
  <c r="BQ39" i="51"/>
  <c r="BV54" i="51"/>
  <c r="BV42" i="51"/>
  <c r="BR41" i="51"/>
  <c r="BQ43" i="51"/>
  <c r="BV55" i="51"/>
  <c r="BQ53" i="51"/>
  <c r="BQ41" i="51"/>
  <c r="BU58" i="51"/>
  <c r="BQ42" i="51"/>
  <c r="BR48" i="51"/>
  <c r="BR37" i="51"/>
  <c r="BR39" i="51"/>
  <c r="BR42" i="51"/>
  <c r="BU54" i="51"/>
  <c r="BU49" i="51"/>
  <c r="BR38" i="51"/>
  <c r="BR50" i="51"/>
  <c r="BR46" i="51"/>
  <c r="BQ52" i="51"/>
  <c r="BZ40" i="51"/>
  <c r="BR52" i="51"/>
  <c r="BR43" i="51"/>
  <c r="BQ37" i="51"/>
  <c r="BQ46" i="51"/>
  <c r="BU42" i="51"/>
  <c r="BQ50" i="51"/>
  <c r="BR45" i="51"/>
  <c r="BY40" i="51"/>
  <c r="BU56" i="51"/>
  <c r="BR51" i="51"/>
  <c r="BQ45" i="51"/>
  <c r="BR57" i="51"/>
  <c r="BQ51" i="51"/>
  <c r="BS47" i="51" l="1"/>
  <c r="BT47" i="51"/>
  <c r="AC47" i="51"/>
  <c r="AC48" i="51"/>
  <c r="BT48" i="51"/>
  <c r="BS48" i="51"/>
  <c r="AC52" i="51"/>
  <c r="BT52" i="51"/>
  <c r="BS52" i="51"/>
  <c r="BT38" i="51"/>
  <c r="BS38" i="51"/>
  <c r="AC38" i="51"/>
  <c r="AC39" i="51"/>
  <c r="BT39" i="51"/>
  <c r="BS39" i="51"/>
  <c r="BW55" i="51"/>
  <c r="AD55" i="51"/>
  <c r="BX55" i="51"/>
  <c r="AD58" i="51"/>
  <c r="BW58" i="51"/>
  <c r="BX58" i="51"/>
  <c r="AC37" i="51"/>
  <c r="BT37" i="51"/>
  <c r="BS37" i="51"/>
  <c r="BS50" i="51"/>
  <c r="BT50" i="51"/>
  <c r="AC50" i="51"/>
  <c r="BT51" i="51"/>
  <c r="AC51" i="51"/>
  <c r="BS51" i="51"/>
  <c r="AD49" i="51"/>
  <c r="BW49" i="51"/>
  <c r="BX49" i="51"/>
  <c r="BX42" i="51"/>
  <c r="BW42" i="51"/>
  <c r="AD42" i="51"/>
  <c r="BT53" i="51"/>
  <c r="AC53" i="51"/>
  <c r="BS53" i="51"/>
  <c r="AC43" i="51"/>
  <c r="BT43" i="51"/>
  <c r="BS43" i="51"/>
  <c r="AC44" i="51"/>
  <c r="BT44" i="51"/>
  <c r="BS44" i="51"/>
  <c r="BX56" i="51"/>
  <c r="BW56" i="51"/>
  <c r="AD56" i="51"/>
  <c r="CB40" i="51"/>
  <c r="CA40" i="51"/>
  <c r="AE40" i="51"/>
  <c r="AC57" i="51"/>
  <c r="BT57" i="51"/>
  <c r="BS57" i="51"/>
  <c r="AC45" i="51"/>
  <c r="BT45" i="51"/>
  <c r="BS45" i="51"/>
  <c r="AC41" i="51"/>
  <c r="BS41" i="51"/>
  <c r="BT41" i="51"/>
  <c r="AD54" i="51"/>
  <c r="BX54" i="51"/>
  <c r="BW54" i="51"/>
  <c r="AC46" i="51"/>
  <c r="BT46" i="51"/>
  <c r="BS46" i="51"/>
  <c r="BZ58" i="51"/>
  <c r="BV43" i="51"/>
  <c r="BV46" i="51"/>
  <c r="BY58" i="51"/>
  <c r="BY49" i="51"/>
  <c r="BU48" i="51"/>
  <c r="BU44" i="51"/>
  <c r="BV41" i="51"/>
  <c r="BY42" i="51"/>
  <c r="CC40" i="51"/>
  <c r="BZ49" i="51"/>
  <c r="BU47" i="51"/>
  <c r="BV37" i="51"/>
  <c r="BV44" i="51"/>
  <c r="BU50" i="51"/>
  <c r="BV52" i="51"/>
  <c r="BV38" i="51"/>
  <c r="BU38" i="51"/>
  <c r="BV45" i="51"/>
  <c r="BU37" i="51"/>
  <c r="BZ42" i="51"/>
  <c r="CD40" i="51"/>
  <c r="BU57" i="51"/>
  <c r="BV50" i="51"/>
  <c r="BU46" i="51"/>
  <c r="BY55" i="51"/>
  <c r="BU43" i="51"/>
  <c r="BU39" i="51"/>
  <c r="BV48" i="51"/>
  <c r="BU52" i="51"/>
  <c r="BV53" i="51"/>
  <c r="BU45" i="51"/>
  <c r="BV51" i="51"/>
  <c r="BY56" i="51"/>
  <c r="BV57" i="51"/>
  <c r="BV47" i="51"/>
  <c r="BV39" i="51"/>
  <c r="BU51" i="51"/>
  <c r="BZ56" i="51"/>
  <c r="BZ54" i="51"/>
  <c r="BU41" i="51"/>
  <c r="BZ55" i="51"/>
  <c r="BU53" i="51"/>
  <c r="BY54" i="51"/>
  <c r="BW47" i="51" l="1"/>
  <c r="AD47" i="51"/>
  <c r="BX47" i="51"/>
  <c r="AD48" i="51"/>
  <c r="BW48" i="51"/>
  <c r="BX48" i="51"/>
  <c r="AD52" i="51"/>
  <c r="BX52" i="51"/>
  <c r="BW52" i="51"/>
  <c r="AD38" i="51"/>
  <c r="BX38" i="51"/>
  <c r="BW38" i="51"/>
  <c r="CB55" i="51"/>
  <c r="CA55" i="51"/>
  <c r="AE55" i="51"/>
  <c r="BW39" i="51"/>
  <c r="AD39" i="51"/>
  <c r="BX39" i="51"/>
  <c r="CA58" i="51"/>
  <c r="CB58" i="51"/>
  <c r="AE58" i="51"/>
  <c r="AD37" i="51"/>
  <c r="BW37" i="51"/>
  <c r="BX37" i="51"/>
  <c r="AD57" i="51"/>
  <c r="BX57" i="51"/>
  <c r="BW57" i="51"/>
  <c r="CB56" i="51"/>
  <c r="CA56" i="51"/>
  <c r="AE56" i="51"/>
  <c r="BX43" i="51"/>
  <c r="AD43" i="51"/>
  <c r="BW43" i="51"/>
  <c r="AD50" i="51"/>
  <c r="BW50" i="51"/>
  <c r="BX50" i="51"/>
  <c r="CA54" i="51"/>
  <c r="AE54" i="51"/>
  <c r="CB54" i="51"/>
  <c r="AD45" i="51"/>
  <c r="BX45" i="51"/>
  <c r="BW45" i="51"/>
  <c r="AF40" i="51"/>
  <c r="CE40" i="51"/>
  <c r="CF40" i="51"/>
  <c r="BX44" i="51"/>
  <c r="AD44" i="51"/>
  <c r="BW44" i="51"/>
  <c r="CB49" i="51"/>
  <c r="CA49" i="51"/>
  <c r="AE49" i="51"/>
  <c r="AD46" i="51"/>
  <c r="BX46" i="51"/>
  <c r="BW46" i="51"/>
  <c r="AD53" i="51"/>
  <c r="BW53" i="51"/>
  <c r="BX53" i="51"/>
  <c r="CB42" i="51"/>
  <c r="AE42" i="51"/>
  <c r="CA42" i="51"/>
  <c r="BW41" i="51"/>
  <c r="AD41" i="51"/>
  <c r="BX41" i="51"/>
  <c r="AD51" i="51"/>
  <c r="BX51" i="51"/>
  <c r="BW51" i="51"/>
  <c r="CD55" i="51"/>
  <c r="BY41" i="51"/>
  <c r="CH40" i="51"/>
  <c r="BY52" i="51"/>
  <c r="BY50" i="51"/>
  <c r="CD54" i="51"/>
  <c r="BZ51" i="51"/>
  <c r="BY45" i="51"/>
  <c r="BZ37" i="51"/>
  <c r="BZ39" i="51"/>
  <c r="BZ38" i="51"/>
  <c r="CC58" i="51"/>
  <c r="BZ45" i="51"/>
  <c r="BZ47" i="51"/>
  <c r="BZ44" i="51"/>
  <c r="BY57" i="51"/>
  <c r="BY53" i="51"/>
  <c r="BY44" i="51"/>
  <c r="BY43" i="51"/>
  <c r="CC55" i="51"/>
  <c r="BZ52" i="51"/>
  <c r="BY37" i="51"/>
  <c r="BZ43" i="51"/>
  <c r="CD56" i="51"/>
  <c r="BZ57" i="51"/>
  <c r="BY38" i="51"/>
  <c r="CC42" i="51"/>
  <c r="CC49" i="51"/>
  <c r="BZ41" i="51"/>
  <c r="BZ48" i="51"/>
  <c r="CC56" i="51"/>
  <c r="CD42" i="51"/>
  <c r="CD49" i="51"/>
  <c r="BZ50" i="51"/>
  <c r="BY48" i="51"/>
  <c r="BZ53" i="51"/>
  <c r="CD58" i="51"/>
  <c r="CC54" i="51"/>
  <c r="BY46" i="51"/>
  <c r="BY39" i="51"/>
  <c r="BZ46" i="51"/>
  <c r="BY47" i="51"/>
  <c r="BY51" i="51"/>
  <c r="CG40" i="51"/>
  <c r="CB47" i="51" l="1"/>
  <c r="CA47" i="51"/>
  <c r="AE47" i="51"/>
  <c r="CB48" i="51"/>
  <c r="CA48" i="51"/>
  <c r="AE48" i="51"/>
  <c r="CA52" i="51"/>
  <c r="CB52" i="51"/>
  <c r="AE52" i="51"/>
  <c r="CF58" i="51"/>
  <c r="CE58" i="51"/>
  <c r="AF58" i="51"/>
  <c r="CA39" i="51"/>
  <c r="AE39" i="51"/>
  <c r="CB39" i="51"/>
  <c r="CE55" i="51"/>
  <c r="CF55" i="51"/>
  <c r="AF55" i="51"/>
  <c r="AE37" i="51"/>
  <c r="CB37" i="51"/>
  <c r="CA37" i="51"/>
  <c r="CA38" i="51"/>
  <c r="AE38" i="51"/>
  <c r="CB38" i="51"/>
  <c r="AE51" i="51"/>
  <c r="CB51" i="51"/>
  <c r="CA51" i="51"/>
  <c r="CB41" i="51"/>
  <c r="CA41" i="51"/>
  <c r="AE41" i="51"/>
  <c r="AF56" i="51"/>
  <c r="CF56" i="51"/>
  <c r="CE56" i="51"/>
  <c r="CB46" i="51"/>
  <c r="CA46" i="51"/>
  <c r="AE46" i="51"/>
  <c r="CB45" i="51"/>
  <c r="CA45" i="51"/>
  <c r="AE45" i="51"/>
  <c r="CB57" i="51"/>
  <c r="CA57" i="51"/>
  <c r="AE57" i="51"/>
  <c r="CE49" i="51"/>
  <c r="AF49" i="51"/>
  <c r="CF49" i="51"/>
  <c r="CB44" i="51"/>
  <c r="CA44" i="51"/>
  <c r="AE44" i="51"/>
  <c r="AG40" i="51"/>
  <c r="CI40" i="51"/>
  <c r="CJ40" i="51"/>
  <c r="CF54" i="51"/>
  <c r="CE54" i="51"/>
  <c r="AF54" i="51"/>
  <c r="CA50" i="51"/>
  <c r="AE50" i="51"/>
  <c r="CB50" i="51"/>
  <c r="CB43" i="51"/>
  <c r="CA43" i="51"/>
  <c r="AE43" i="51"/>
  <c r="CF42" i="51"/>
  <c r="CE42" i="51"/>
  <c r="AF42" i="51"/>
  <c r="CB53" i="51"/>
  <c r="AE53" i="51"/>
  <c r="CA53" i="51"/>
  <c r="CC46" i="51"/>
  <c r="CD43" i="51"/>
  <c r="CD46" i="51"/>
  <c r="CC50" i="51"/>
  <c r="CD53" i="51"/>
  <c r="CD37" i="51"/>
  <c r="CC43" i="51"/>
  <c r="CD48" i="51"/>
  <c r="CH58" i="51"/>
  <c r="CC44" i="51"/>
  <c r="CH56" i="51"/>
  <c r="CD57" i="51"/>
  <c r="CC52" i="51"/>
  <c r="CH54" i="51"/>
  <c r="CC47" i="51"/>
  <c r="CC45" i="51"/>
  <c r="CL40" i="51"/>
  <c r="CG42" i="51"/>
  <c r="CD44" i="51"/>
  <c r="CG55" i="51"/>
  <c r="CC41" i="51"/>
  <c r="CK40" i="51"/>
  <c r="CD51" i="51"/>
  <c r="CD39" i="51"/>
  <c r="CC51" i="51"/>
  <c r="CC53" i="51"/>
  <c r="CD52" i="51"/>
  <c r="CD38" i="51"/>
  <c r="CC38" i="51"/>
  <c r="CG49" i="51"/>
  <c r="CG58" i="51"/>
  <c r="CD41" i="51"/>
  <c r="CH55" i="51"/>
  <c r="CC48" i="51"/>
  <c r="CD45" i="51"/>
  <c r="CG54" i="51"/>
  <c r="CC39" i="51"/>
  <c r="CC57" i="51"/>
  <c r="CD50" i="51"/>
  <c r="CD47" i="51"/>
  <c r="CC37" i="51"/>
  <c r="CG56" i="51"/>
  <c r="CH49" i="51"/>
  <c r="CH42" i="51"/>
  <c r="CF47" i="51" l="1"/>
  <c r="CE47" i="51"/>
  <c r="AF47" i="51"/>
  <c r="CE48" i="51"/>
  <c r="AF48" i="51"/>
  <c r="CF48" i="51"/>
  <c r="CE52" i="51"/>
  <c r="AF52" i="51"/>
  <c r="CF52" i="51"/>
  <c r="CJ58" i="51"/>
  <c r="AG58" i="51"/>
  <c r="CI58" i="51"/>
  <c r="CF38" i="51"/>
  <c r="AF38" i="51"/>
  <c r="CE38" i="51"/>
  <c r="AF37" i="51"/>
  <c r="CE37" i="51"/>
  <c r="CF37" i="51"/>
  <c r="CI55" i="51"/>
  <c r="AG55" i="51"/>
  <c r="CJ55" i="51"/>
  <c r="CF39" i="51"/>
  <c r="AF39" i="51"/>
  <c r="CE39" i="51"/>
  <c r="CN40" i="51"/>
  <c r="AH40" i="51"/>
  <c r="CM40" i="51"/>
  <c r="CF45" i="51"/>
  <c r="AF45" i="51"/>
  <c r="CE45" i="51"/>
  <c r="AG56" i="51"/>
  <c r="CJ56" i="51"/>
  <c r="CI56" i="51"/>
  <c r="AF41" i="51"/>
  <c r="CF41" i="51"/>
  <c r="CE41" i="51"/>
  <c r="CE53" i="51"/>
  <c r="AF53" i="51"/>
  <c r="CF53" i="51"/>
  <c r="CF50" i="51"/>
  <c r="AF50" i="51"/>
  <c r="CE50" i="51"/>
  <c r="CF44" i="51"/>
  <c r="AF44" i="51"/>
  <c r="CE44" i="51"/>
  <c r="CI49" i="51"/>
  <c r="CJ49" i="51"/>
  <c r="AG49" i="51"/>
  <c r="CF57" i="51"/>
  <c r="CE57" i="51"/>
  <c r="AF57" i="51"/>
  <c r="CE51" i="51"/>
  <c r="CF51" i="51"/>
  <c r="AF51" i="51"/>
  <c r="CF43" i="51"/>
  <c r="AF43" i="51"/>
  <c r="CE43" i="51"/>
  <c r="AG42" i="51"/>
  <c r="CJ42" i="51"/>
  <c r="CI42" i="51"/>
  <c r="CJ54" i="51"/>
  <c r="CI54" i="51"/>
  <c r="AG54" i="51"/>
  <c r="CF46" i="51"/>
  <c r="AF46" i="51"/>
  <c r="CE46" i="51"/>
  <c r="CH53" i="51"/>
  <c r="CL49" i="51"/>
  <c r="CG38" i="51"/>
  <c r="CL56" i="51"/>
  <c r="CH45" i="51"/>
  <c r="CK42" i="51"/>
  <c r="CL54" i="51"/>
  <c r="CK55" i="51"/>
  <c r="CG48" i="51"/>
  <c r="CG39" i="51"/>
  <c r="CG52" i="51"/>
  <c r="CK54" i="51"/>
  <c r="CG50" i="51"/>
  <c r="CL42" i="51"/>
  <c r="CH37" i="51"/>
  <c r="CG46" i="51"/>
  <c r="CH50" i="51"/>
  <c r="CG41" i="51"/>
  <c r="CG43" i="51"/>
  <c r="CG45" i="51"/>
  <c r="CG57" i="51"/>
  <c r="CH44" i="51"/>
  <c r="CK58" i="51"/>
  <c r="CK49" i="51"/>
  <c r="CH39" i="51"/>
  <c r="CH48" i="51"/>
  <c r="CH43" i="51"/>
  <c r="CH41" i="51"/>
  <c r="CG47" i="51"/>
  <c r="CL58" i="51"/>
  <c r="CO40" i="51"/>
  <c r="CH46" i="51"/>
  <c r="CG51" i="51"/>
  <c r="CP40" i="51"/>
  <c r="CL55" i="51"/>
  <c r="CH52" i="51"/>
  <c r="CK56" i="51"/>
  <c r="CG44" i="51"/>
  <c r="CH38" i="51"/>
  <c r="CH51" i="51"/>
  <c r="CH47" i="51"/>
  <c r="CG37" i="51"/>
  <c r="CG53" i="51"/>
  <c r="CH57" i="51"/>
  <c r="CJ47" i="51" l="1"/>
  <c r="AG47" i="51"/>
  <c r="CI47" i="51"/>
  <c r="CJ48" i="51"/>
  <c r="CI48" i="51"/>
  <c r="AG48" i="51"/>
  <c r="CJ52" i="51"/>
  <c r="CI52" i="51"/>
  <c r="AG52" i="51"/>
  <c r="CJ37" i="51"/>
  <c r="CI37" i="51"/>
  <c r="AG37" i="51"/>
  <c r="AH55" i="51"/>
  <c r="CM55" i="51"/>
  <c r="CN55" i="51"/>
  <c r="CI39" i="51"/>
  <c r="AG39" i="51"/>
  <c r="CJ39" i="51"/>
  <c r="CM58" i="51"/>
  <c r="AH58" i="51"/>
  <c r="CN58" i="51"/>
  <c r="CJ38" i="51"/>
  <c r="CI38" i="51"/>
  <c r="AG38" i="51"/>
  <c r="CJ51" i="51"/>
  <c r="CI51" i="51"/>
  <c r="AG51" i="51"/>
  <c r="CJ50" i="51"/>
  <c r="CI50" i="51"/>
  <c r="AG50" i="51"/>
  <c r="AH54" i="51"/>
  <c r="CN54" i="51"/>
  <c r="CM54" i="51"/>
  <c r="AH49" i="51"/>
  <c r="CM49" i="51"/>
  <c r="CN49" i="51"/>
  <c r="AG44" i="51"/>
  <c r="CJ44" i="51"/>
  <c r="CI44" i="51"/>
  <c r="AH56" i="51"/>
  <c r="CN56" i="51"/>
  <c r="CM56" i="51"/>
  <c r="CN42" i="51"/>
  <c r="CM42" i="51"/>
  <c r="AH42" i="51"/>
  <c r="AG43" i="51"/>
  <c r="CJ43" i="51"/>
  <c r="CI43" i="51"/>
  <c r="AG57" i="51"/>
  <c r="CJ57" i="51"/>
  <c r="CI57" i="51"/>
  <c r="AG41" i="51"/>
  <c r="CJ41" i="51"/>
  <c r="CI41" i="51"/>
  <c r="CR40" i="51"/>
  <c r="CQ40" i="51"/>
  <c r="AG46" i="51"/>
  <c r="CJ46" i="51"/>
  <c r="CI46" i="51"/>
  <c r="CJ53" i="51"/>
  <c r="CI53" i="51"/>
  <c r="AG53" i="51"/>
  <c r="AG45" i="51"/>
  <c r="CJ45" i="51"/>
  <c r="CI45" i="51"/>
  <c r="CL37" i="51"/>
  <c r="CP55" i="51"/>
  <c r="CO58" i="51"/>
  <c r="CK37" i="51"/>
  <c r="CO55" i="51"/>
  <c r="CT40" i="51"/>
  <c r="CK47" i="51"/>
  <c r="CK51" i="51"/>
  <c r="CP42" i="51"/>
  <c r="CK52" i="51"/>
  <c r="CL48" i="51"/>
  <c r="CK57" i="51"/>
  <c r="CL38" i="51"/>
  <c r="CK46" i="51"/>
  <c r="CL50" i="51"/>
  <c r="CL44" i="51"/>
  <c r="CL46" i="51"/>
  <c r="CL53" i="51"/>
  <c r="CL39" i="51"/>
  <c r="CL57" i="51"/>
  <c r="CK39" i="51"/>
  <c r="CP49" i="51"/>
  <c r="CK44" i="51"/>
  <c r="CL47" i="51"/>
  <c r="CL45" i="51"/>
  <c r="CL51" i="51"/>
  <c r="CO49" i="51"/>
  <c r="CL52" i="51"/>
  <c r="CK41" i="51"/>
  <c r="CK38" i="51"/>
  <c r="CO56" i="51"/>
  <c r="CS40" i="51"/>
  <c r="CP54" i="51"/>
  <c r="CK43" i="51"/>
  <c r="CL43" i="51"/>
  <c r="CO42" i="51"/>
  <c r="CK48" i="51"/>
  <c r="CK50" i="51"/>
  <c r="CK53" i="51"/>
  <c r="CO54" i="51"/>
  <c r="CK45" i="51"/>
  <c r="CP56" i="51"/>
  <c r="CP58" i="51"/>
  <c r="CL41" i="51"/>
  <c r="AH47" i="51" l="1"/>
  <c r="CN47" i="51"/>
  <c r="CM47" i="51"/>
  <c r="CN48" i="51"/>
  <c r="AH48" i="51"/>
  <c r="CM48" i="51"/>
  <c r="AH52" i="51"/>
  <c r="CN52" i="51"/>
  <c r="CM52" i="51"/>
  <c r="CQ58" i="51"/>
  <c r="CR58" i="51"/>
  <c r="CM39" i="51"/>
  <c r="CN39" i="51"/>
  <c r="AH39" i="51"/>
  <c r="CQ55" i="51"/>
  <c r="CR55" i="51"/>
  <c r="CN38" i="51"/>
  <c r="CM38" i="51"/>
  <c r="AH38" i="51"/>
  <c r="CN37" i="51"/>
  <c r="AH37" i="51"/>
  <c r="CM37" i="51"/>
  <c r="CR42" i="51"/>
  <c r="CQ42" i="51"/>
  <c r="CN44" i="51"/>
  <c r="AH44" i="51"/>
  <c r="CM44" i="51"/>
  <c r="CR56" i="51"/>
  <c r="CQ56" i="51"/>
  <c r="AH53" i="51"/>
  <c r="CM53" i="51"/>
  <c r="CN53" i="51"/>
  <c r="CM41" i="51"/>
  <c r="CN41" i="51"/>
  <c r="AH41" i="51"/>
  <c r="CN43" i="51"/>
  <c r="AH43" i="51"/>
  <c r="CM43" i="51"/>
  <c r="CR49" i="51"/>
  <c r="CQ49" i="51"/>
  <c r="AH50" i="51"/>
  <c r="CN50" i="51"/>
  <c r="CM50" i="51"/>
  <c r="CM46" i="51"/>
  <c r="AH46" i="51"/>
  <c r="CN46" i="51"/>
  <c r="AH57" i="51"/>
  <c r="CN57" i="51"/>
  <c r="CM57" i="51"/>
  <c r="AH45" i="51"/>
  <c r="CN45" i="51"/>
  <c r="CM45" i="51"/>
  <c r="CQ54" i="51"/>
  <c r="CR54" i="51"/>
  <c r="AH51" i="51"/>
  <c r="CM51" i="51"/>
  <c r="CN51" i="51"/>
  <c r="CT58" i="51"/>
  <c r="CO53" i="51"/>
  <c r="CT56" i="51"/>
  <c r="CO50" i="51"/>
  <c r="CP43" i="51"/>
  <c r="CS56" i="51"/>
  <c r="CP38" i="51"/>
  <c r="CP47" i="51"/>
  <c r="CO57" i="51"/>
  <c r="CP52" i="51"/>
  <c r="CO47" i="51"/>
  <c r="CP50" i="51"/>
  <c r="CP57" i="51"/>
  <c r="CP48" i="51"/>
  <c r="CP53" i="51"/>
  <c r="CO46" i="51"/>
  <c r="CO43" i="51"/>
  <c r="CO45" i="51"/>
  <c r="CP45" i="51"/>
  <c r="CO37" i="51"/>
  <c r="CT42" i="51"/>
  <c r="CS55" i="51"/>
  <c r="CO44" i="51"/>
  <c r="CP39" i="51"/>
  <c r="CT49" i="51"/>
  <c r="CS42" i="51"/>
  <c r="CO51" i="51"/>
  <c r="CS58" i="51"/>
  <c r="CO52" i="51"/>
  <c r="CP44" i="51"/>
  <c r="CO39" i="51"/>
  <c r="CO41" i="51"/>
  <c r="CO38" i="51"/>
  <c r="CS49" i="51"/>
  <c r="CP37" i="51"/>
  <c r="CO48" i="51"/>
  <c r="CP46" i="51"/>
  <c r="CP41" i="51"/>
  <c r="CP51" i="51"/>
  <c r="CT55" i="51"/>
  <c r="CS54" i="51"/>
  <c r="CT54" i="51"/>
  <c r="CR47" i="51" l="1"/>
  <c r="CQ47" i="51"/>
  <c r="CQ48" i="51"/>
  <c r="CR48" i="51"/>
  <c r="CQ52" i="51"/>
  <c r="CR52" i="51"/>
  <c r="CR37" i="51"/>
  <c r="CQ37" i="51"/>
  <c r="CQ38" i="51"/>
  <c r="CR38" i="51"/>
  <c r="CR39" i="51"/>
  <c r="CQ39" i="51"/>
  <c r="CR45" i="51"/>
  <c r="CQ45" i="51"/>
  <c r="CR53" i="51"/>
  <c r="CQ53" i="51"/>
  <c r="CR44" i="51"/>
  <c r="CQ44" i="51"/>
  <c r="CQ46" i="51"/>
  <c r="CR46" i="51"/>
  <c r="CQ50" i="51"/>
  <c r="CR50" i="51"/>
  <c r="CR43" i="51"/>
  <c r="CQ43" i="51"/>
  <c r="CQ51" i="51"/>
  <c r="CR51" i="51"/>
  <c r="CR57" i="51"/>
  <c r="CQ57" i="51"/>
  <c r="CR41" i="51"/>
  <c r="CQ41" i="51"/>
  <c r="CS50" i="51"/>
  <c r="CT47" i="51"/>
  <c r="CS43" i="51"/>
  <c r="CS37" i="51"/>
  <c r="CS48" i="51"/>
  <c r="CT52" i="51"/>
  <c r="CT44" i="51"/>
  <c r="CS38" i="51"/>
  <c r="CS52" i="51"/>
  <c r="CT45" i="51"/>
  <c r="CT50" i="51"/>
  <c r="CS51" i="51"/>
  <c r="CT48" i="51"/>
  <c r="CS57" i="51"/>
  <c r="CT41" i="51"/>
  <c r="CS44" i="51"/>
  <c r="CS45" i="51"/>
  <c r="CS41" i="51"/>
  <c r="CS47" i="51"/>
  <c r="CT38" i="51"/>
  <c r="CS39" i="51"/>
  <c r="CS53" i="51"/>
  <c r="CT43" i="51"/>
  <c r="CT51" i="51"/>
  <c r="CT46" i="51"/>
  <c r="CT37" i="51"/>
  <c r="CT53" i="51"/>
  <c r="CT39" i="51"/>
  <c r="CS46" i="51"/>
  <c r="CT57" i="51"/>
  <c r="H111" i="50" l="1"/>
  <c r="S109" i="50"/>
  <c r="N109" i="50"/>
  <c r="J109" i="50"/>
  <c r="P109" i="50" s="1"/>
  <c r="I109" i="50"/>
  <c r="I113" i="50" s="1"/>
  <c r="S107" i="50"/>
  <c r="P107" i="50"/>
  <c r="O107" i="50"/>
  <c r="N107" i="50"/>
  <c r="S106" i="50"/>
  <c r="P106" i="50"/>
  <c r="O106" i="50"/>
  <c r="N106" i="50"/>
  <c r="N105" i="50"/>
  <c r="J105" i="50"/>
  <c r="P105" i="50" s="1"/>
  <c r="Q105" i="50" s="1"/>
  <c r="S105" i="50" s="1"/>
  <c r="I105" i="50"/>
  <c r="O105" i="50" s="1"/>
  <c r="AC104" i="50"/>
  <c r="S104" i="50"/>
  <c r="P104" i="50"/>
  <c r="O104" i="50"/>
  <c r="N104" i="50"/>
  <c r="K103" i="50"/>
  <c r="N103" i="50" s="1"/>
  <c r="J103" i="50"/>
  <c r="I103" i="50"/>
  <c r="O103" i="50" s="1"/>
  <c r="J102" i="50"/>
  <c r="J101" i="50"/>
  <c r="I101" i="50"/>
  <c r="S100" i="50"/>
  <c r="P100" i="50"/>
  <c r="O100" i="50"/>
  <c r="N100" i="50"/>
  <c r="S99" i="50"/>
  <c r="P99" i="50"/>
  <c r="O99" i="50"/>
  <c r="N99" i="50"/>
  <c r="R98" i="50"/>
  <c r="N98" i="50"/>
  <c r="L98" i="50"/>
  <c r="J98" i="50"/>
  <c r="P98" i="50" s="1"/>
  <c r="I98" i="50"/>
  <c r="Z97" i="50"/>
  <c r="S97" i="50"/>
  <c r="P97" i="50"/>
  <c r="O97" i="50"/>
  <c r="N97" i="50"/>
  <c r="R96" i="50"/>
  <c r="S96" i="50" s="1"/>
  <c r="N96" i="50"/>
  <c r="L96" i="50"/>
  <c r="J96" i="50"/>
  <c r="P96" i="50" s="1"/>
  <c r="I96" i="50"/>
  <c r="N94" i="50"/>
  <c r="J94" i="50"/>
  <c r="P94" i="50" s="1"/>
  <c r="Q94" i="50" s="1"/>
  <c r="S94" i="50" s="1"/>
  <c r="I94" i="50"/>
  <c r="O94" i="50" s="1"/>
  <c r="S92" i="50"/>
  <c r="N92" i="50"/>
  <c r="J92" i="50"/>
  <c r="P92" i="50" s="1"/>
  <c r="I92" i="50"/>
  <c r="O92" i="50" s="1"/>
  <c r="S90" i="50"/>
  <c r="P90" i="50"/>
  <c r="O90" i="50"/>
  <c r="N90" i="50"/>
  <c r="S89" i="50"/>
  <c r="N89" i="50"/>
  <c r="M89" i="50"/>
  <c r="J89" i="50"/>
  <c r="I89" i="50"/>
  <c r="O89" i="50" s="1"/>
  <c r="S88" i="50"/>
  <c r="P88" i="50"/>
  <c r="O88" i="50"/>
  <c r="N88" i="50"/>
  <c r="N87" i="50"/>
  <c r="J87" i="50"/>
  <c r="P87" i="50" s="1"/>
  <c r="Q87" i="50" s="1"/>
  <c r="S87" i="50" s="1"/>
  <c r="I87" i="50"/>
  <c r="O87" i="50" s="1"/>
  <c r="S86" i="50"/>
  <c r="P86" i="50"/>
  <c r="O86" i="50"/>
  <c r="N86" i="50"/>
  <c r="S85" i="50"/>
  <c r="P85" i="50"/>
  <c r="O85" i="50"/>
  <c r="N85" i="50"/>
  <c r="Q84" i="50"/>
  <c r="S84" i="50" s="1"/>
  <c r="N84" i="50"/>
  <c r="J84" i="50"/>
  <c r="P84" i="50" s="1"/>
  <c r="I84" i="50"/>
  <c r="O84" i="50" s="1"/>
  <c r="S83" i="50"/>
  <c r="P83" i="50"/>
  <c r="O83" i="50"/>
  <c r="N83" i="50"/>
  <c r="Z82" i="50"/>
  <c r="S82" i="50"/>
  <c r="P82" i="50"/>
  <c r="O82" i="50"/>
  <c r="N82" i="50"/>
  <c r="Q81" i="50"/>
  <c r="S81" i="50" s="1"/>
  <c r="N81" i="50"/>
  <c r="J81" i="50"/>
  <c r="P81" i="50" s="1"/>
  <c r="I81" i="50"/>
  <c r="O81" i="50" s="1"/>
  <c r="S80" i="50"/>
  <c r="P80" i="50"/>
  <c r="O80" i="50"/>
  <c r="N80" i="50"/>
  <c r="S79" i="50"/>
  <c r="P79" i="50"/>
  <c r="O79" i="50"/>
  <c r="N79" i="50"/>
  <c r="S78" i="50"/>
  <c r="P78" i="50"/>
  <c r="O78" i="50"/>
  <c r="N78" i="50"/>
  <c r="S77" i="50"/>
  <c r="O77" i="50"/>
  <c r="N77" i="50"/>
  <c r="J77" i="50"/>
  <c r="P77" i="50" s="1"/>
  <c r="S75" i="50"/>
  <c r="P75" i="50"/>
  <c r="O75" i="50"/>
  <c r="N75" i="50"/>
  <c r="S74" i="50"/>
  <c r="P74" i="50"/>
  <c r="O74" i="50"/>
  <c r="N74" i="50"/>
  <c r="S73" i="50"/>
  <c r="P73" i="50"/>
  <c r="O73" i="50"/>
  <c r="N73" i="50"/>
  <c r="S72" i="50"/>
  <c r="P72" i="50"/>
  <c r="O72" i="50"/>
  <c r="N72" i="50"/>
  <c r="Z71" i="50"/>
  <c r="S71" i="50"/>
  <c r="P71" i="50"/>
  <c r="O71" i="50"/>
  <c r="N71" i="50"/>
  <c r="S70" i="50"/>
  <c r="N70" i="50"/>
  <c r="J70" i="50"/>
  <c r="P70" i="50" s="1"/>
  <c r="I70" i="50"/>
  <c r="O70" i="50" s="1"/>
  <c r="S69" i="50"/>
  <c r="P69" i="50"/>
  <c r="O69" i="50"/>
  <c r="N69" i="50"/>
  <c r="S68" i="50"/>
  <c r="P68" i="50"/>
  <c r="O68" i="50"/>
  <c r="S67" i="50"/>
  <c r="P67" i="50"/>
  <c r="O67" i="50"/>
  <c r="N67" i="50"/>
  <c r="S66" i="50"/>
  <c r="P66" i="50"/>
  <c r="O66" i="50"/>
  <c r="N66" i="50"/>
  <c r="S65" i="50"/>
  <c r="P65" i="50"/>
  <c r="O65" i="50"/>
  <c r="N65" i="50"/>
  <c r="L64" i="50"/>
  <c r="M64" i="50" s="1"/>
  <c r="K64" i="50"/>
  <c r="N64" i="50" s="1"/>
  <c r="J64" i="50"/>
  <c r="Q64" i="50" s="1"/>
  <c r="I64" i="50"/>
  <c r="S63" i="50"/>
  <c r="P63" i="50"/>
  <c r="O63" i="50"/>
  <c r="N63" i="50"/>
  <c r="S62" i="50"/>
  <c r="P62" i="50"/>
  <c r="O62" i="50"/>
  <c r="N62" i="50"/>
  <c r="AC61" i="50"/>
  <c r="S61" i="50"/>
  <c r="P61" i="50"/>
  <c r="O61" i="50"/>
  <c r="N61" i="50"/>
  <c r="N60" i="50"/>
  <c r="J60" i="50"/>
  <c r="P60" i="50" s="1"/>
  <c r="Q60" i="50" s="1"/>
  <c r="S60" i="50" s="1"/>
  <c r="I60" i="50"/>
  <c r="O60" i="50" s="1"/>
  <c r="AC58" i="50"/>
  <c r="S58" i="50"/>
  <c r="P58" i="50"/>
  <c r="O58" i="50"/>
  <c r="N58" i="50"/>
  <c r="S57" i="50"/>
  <c r="P57" i="50"/>
  <c r="O57" i="50"/>
  <c r="N57" i="50"/>
  <c r="S56" i="50"/>
  <c r="P56" i="50"/>
  <c r="O56" i="50"/>
  <c r="N56" i="50"/>
  <c r="S55" i="50"/>
  <c r="P55" i="50"/>
  <c r="O55" i="50"/>
  <c r="N55" i="50"/>
  <c r="N54" i="50"/>
  <c r="M54" i="50"/>
  <c r="R54" i="50" s="1"/>
  <c r="L54" i="50"/>
  <c r="L111" i="50" s="1"/>
  <c r="J54" i="50"/>
  <c r="Q54" i="50" s="1"/>
  <c r="I54" i="50"/>
  <c r="S52" i="50"/>
  <c r="J52" i="50"/>
  <c r="S49" i="50"/>
  <c r="N49" i="50"/>
  <c r="I49" i="50"/>
  <c r="J49" i="50" s="1"/>
  <c r="P49" i="50" s="1"/>
  <c r="AC48" i="50"/>
  <c r="N47" i="50"/>
  <c r="J47" i="50"/>
  <c r="P47" i="50" s="1"/>
  <c r="Q47" i="50" s="1"/>
  <c r="S47" i="50" s="1"/>
  <c r="I47" i="50"/>
  <c r="O47" i="50" s="1"/>
  <c r="J45" i="50"/>
  <c r="AC44" i="50"/>
  <c r="S44" i="50"/>
  <c r="P44" i="50"/>
  <c r="O44" i="50"/>
  <c r="N44" i="50"/>
  <c r="S43" i="50"/>
  <c r="N43" i="50"/>
  <c r="J43" i="50"/>
  <c r="P43" i="50" s="1"/>
  <c r="I43" i="50"/>
  <c r="O43" i="50" s="1"/>
  <c r="S42" i="50"/>
  <c r="P42" i="50"/>
  <c r="O42" i="50"/>
  <c r="N42" i="50"/>
  <c r="S41" i="50"/>
  <c r="P41" i="50"/>
  <c r="O41" i="50"/>
  <c r="N41" i="50"/>
  <c r="S40" i="50"/>
  <c r="P40" i="50"/>
  <c r="N40" i="50"/>
  <c r="J40" i="50"/>
  <c r="I40" i="50"/>
  <c r="O40" i="50" s="1"/>
  <c r="S39" i="50"/>
  <c r="P39" i="50"/>
  <c r="O39" i="50"/>
  <c r="N39" i="50"/>
  <c r="R38" i="50"/>
  <c r="N38" i="50"/>
  <c r="M38" i="50"/>
  <c r="J38" i="50"/>
  <c r="Q38" i="50" s="1"/>
  <c r="I38" i="50"/>
  <c r="O38" i="50" s="1"/>
  <c r="P38" i="50" s="1"/>
  <c r="S36" i="50"/>
  <c r="P36" i="50"/>
  <c r="O36" i="50"/>
  <c r="N36" i="50"/>
  <c r="S35" i="50"/>
  <c r="P35" i="50"/>
  <c r="O35" i="50"/>
  <c r="N35" i="50"/>
  <c r="N34" i="50"/>
  <c r="J34" i="50"/>
  <c r="P34" i="50" s="1"/>
  <c r="Q34" i="50" s="1"/>
  <c r="S34" i="50" s="1"/>
  <c r="I34" i="50"/>
  <c r="O34" i="50" s="1"/>
  <c r="AC33" i="50"/>
  <c r="S33" i="50"/>
  <c r="P33" i="50"/>
  <c r="O33" i="50"/>
  <c r="N33" i="50"/>
  <c r="N32" i="50"/>
  <c r="J32" i="50"/>
  <c r="P32" i="50" s="1"/>
  <c r="Q32" i="50" s="1"/>
  <c r="S32" i="50" s="1"/>
  <c r="I32" i="50"/>
  <c r="O32" i="50" s="1"/>
  <c r="S31" i="50"/>
  <c r="P31" i="50"/>
  <c r="O31" i="50"/>
  <c r="N31" i="50"/>
  <c r="N30" i="50"/>
  <c r="J30" i="50"/>
  <c r="P30" i="50" s="1"/>
  <c r="Q30" i="50" s="1"/>
  <c r="S30" i="50" s="1"/>
  <c r="I30" i="50"/>
  <c r="O30" i="50" s="1"/>
  <c r="S29" i="50"/>
  <c r="P29" i="50"/>
  <c r="O29" i="50"/>
  <c r="N29" i="50"/>
  <c r="S28" i="50"/>
  <c r="N28" i="50"/>
  <c r="J28" i="50"/>
  <c r="P28" i="50" s="1"/>
  <c r="I28" i="50"/>
  <c r="O28" i="50" s="1"/>
  <c r="J25" i="50"/>
  <c r="S23" i="50"/>
  <c r="P23" i="50"/>
  <c r="O23" i="50"/>
  <c r="N23" i="50"/>
  <c r="S22" i="50"/>
  <c r="P22" i="50"/>
  <c r="O22" i="50"/>
  <c r="N22" i="50"/>
  <c r="S21" i="50"/>
  <c r="P21" i="50"/>
  <c r="O21" i="50"/>
  <c r="N21" i="50"/>
  <c r="R20" i="50"/>
  <c r="N20" i="50"/>
  <c r="M20" i="50"/>
  <c r="J20" i="50"/>
  <c r="Q20" i="50" s="1"/>
  <c r="I20" i="50"/>
  <c r="O20" i="50" s="1"/>
  <c r="S18" i="50"/>
  <c r="O18" i="50"/>
  <c r="N18" i="50"/>
  <c r="J18" i="50"/>
  <c r="P18" i="50" s="1"/>
  <c r="S17" i="50"/>
  <c r="P17" i="50"/>
  <c r="O17" i="50"/>
  <c r="N17" i="50"/>
  <c r="Q16" i="50"/>
  <c r="S16" i="50" s="1"/>
  <c r="O16" i="50"/>
  <c r="N16" i="50"/>
  <c r="J16" i="50"/>
  <c r="P16" i="50" s="1"/>
  <c r="AC15" i="50"/>
  <c r="S15" i="50"/>
  <c r="P15" i="50"/>
  <c r="O15" i="50"/>
  <c r="N15" i="50"/>
  <c r="S14" i="50"/>
  <c r="P14" i="50"/>
  <c r="O14" i="50"/>
  <c r="N14" i="50"/>
  <c r="N13" i="50"/>
  <c r="J13" i="50"/>
  <c r="P13" i="50" s="1"/>
  <c r="Q13" i="50" s="1"/>
  <c r="S13" i="50" s="1"/>
  <c r="I13" i="50"/>
  <c r="O13" i="50" s="1"/>
  <c r="S10" i="50"/>
  <c r="P10" i="50"/>
  <c r="O10" i="50"/>
  <c r="N10" i="50"/>
  <c r="N9" i="50"/>
  <c r="J9" i="50"/>
  <c r="I9" i="50"/>
  <c r="I55" i="49"/>
  <c r="J53" i="49"/>
  <c r="J49" i="49"/>
  <c r="J47" i="49"/>
  <c r="J46" i="49"/>
  <c r="J45" i="49"/>
  <c r="J41" i="49"/>
  <c r="J40" i="49"/>
  <c r="J39" i="49"/>
  <c r="J34" i="49"/>
  <c r="J31" i="49"/>
  <c r="J26" i="49"/>
  <c r="J25" i="49"/>
  <c r="J23" i="49"/>
  <c r="J21" i="49"/>
  <c r="J20" i="49"/>
  <c r="J18" i="49"/>
  <c r="J17" i="49"/>
  <c r="J16" i="49"/>
  <c r="J15" i="49"/>
  <c r="J13" i="49"/>
  <c r="J9" i="49"/>
  <c r="P64" i="50" l="1"/>
  <c r="R64" i="50" s="1"/>
  <c r="I111" i="50"/>
  <c r="O98" i="50"/>
  <c r="Q98" i="50"/>
  <c r="S98" i="50" s="1"/>
  <c r="P89" i="50"/>
  <c r="O9" i="50"/>
  <c r="S54" i="50"/>
  <c r="P54" i="50"/>
  <c r="S64" i="50"/>
  <c r="J111" i="50"/>
  <c r="S38" i="50"/>
  <c r="N111" i="50"/>
  <c r="S20" i="50"/>
  <c r="O54" i="50"/>
  <c r="O64" i="50"/>
  <c r="O96" i="50"/>
  <c r="K111" i="50"/>
  <c r="O49" i="50"/>
  <c r="M103" i="50"/>
  <c r="M111" i="50" s="1"/>
  <c r="P20" i="50"/>
  <c r="O109" i="50"/>
  <c r="Q9" i="50"/>
  <c r="P9" i="50"/>
  <c r="S45" i="48"/>
  <c r="P45" i="48"/>
  <c r="O45" i="48"/>
  <c r="N45" i="48"/>
  <c r="S44" i="48"/>
  <c r="P44" i="48"/>
  <c r="O44" i="48"/>
  <c r="N44" i="48"/>
  <c r="S43" i="48"/>
  <c r="P43" i="48"/>
  <c r="O43" i="48"/>
  <c r="N43" i="48"/>
  <c r="S42" i="48"/>
  <c r="P42" i="48"/>
  <c r="O42" i="48"/>
  <c r="N42" i="48"/>
  <c r="S41" i="48"/>
  <c r="P41" i="48"/>
  <c r="O41" i="48"/>
  <c r="N41" i="48"/>
  <c r="S40" i="48"/>
  <c r="P40" i="48"/>
  <c r="O40" i="48"/>
  <c r="N40" i="48"/>
  <c r="S39" i="48"/>
  <c r="P39" i="48"/>
  <c r="O39" i="48"/>
  <c r="N39" i="48"/>
  <c r="S38" i="48"/>
  <c r="P38" i="48"/>
  <c r="O38" i="48"/>
  <c r="N38" i="48"/>
  <c r="S37" i="48"/>
  <c r="P37" i="48"/>
  <c r="O37" i="48"/>
  <c r="N37" i="48"/>
  <c r="S36" i="48"/>
  <c r="P36" i="48"/>
  <c r="O36" i="48"/>
  <c r="N36" i="48"/>
  <c r="S35" i="48"/>
  <c r="P35" i="48"/>
  <c r="O35" i="48"/>
  <c r="N35" i="48"/>
  <c r="S34" i="48"/>
  <c r="P34" i="48"/>
  <c r="O34" i="48"/>
  <c r="N34" i="48"/>
  <c r="S33" i="48"/>
  <c r="P33" i="48"/>
  <c r="O33" i="48"/>
  <c r="N33" i="48"/>
  <c r="S32" i="48"/>
  <c r="P32" i="48"/>
  <c r="O32" i="48"/>
  <c r="N32" i="48"/>
  <c r="S31" i="48"/>
  <c r="P31" i="48"/>
  <c r="O31" i="48"/>
  <c r="N31" i="48"/>
  <c r="S30" i="48"/>
  <c r="P30" i="48"/>
  <c r="O30" i="48"/>
  <c r="N30" i="48"/>
  <c r="R29" i="48"/>
  <c r="Q29" i="48"/>
  <c r="S29" i="48" s="1"/>
  <c r="P29" i="48"/>
  <c r="O29" i="48"/>
  <c r="N29" i="48"/>
  <c r="S28" i="48"/>
  <c r="P28" i="48"/>
  <c r="O28" i="48"/>
  <c r="N28" i="48"/>
  <c r="R27" i="48"/>
  <c r="Q27" i="48"/>
  <c r="S27" i="48" s="1"/>
  <c r="P27" i="48"/>
  <c r="O27" i="48"/>
  <c r="N27" i="48"/>
  <c r="S26" i="48"/>
  <c r="P26" i="48"/>
  <c r="O26" i="48"/>
  <c r="N26" i="48"/>
  <c r="S25" i="48"/>
  <c r="P25" i="48"/>
  <c r="O25" i="48"/>
  <c r="N25" i="48"/>
  <c r="S24" i="48"/>
  <c r="P24" i="48"/>
  <c r="O24" i="48"/>
  <c r="N24" i="48"/>
  <c r="S23" i="48"/>
  <c r="P23" i="48"/>
  <c r="O23" i="48"/>
  <c r="N23" i="48"/>
  <c r="R22" i="48"/>
  <c r="Q22" i="48"/>
  <c r="S22" i="48" s="1"/>
  <c r="P22" i="48"/>
  <c r="O22" i="48"/>
  <c r="N22" i="48"/>
  <c r="S21" i="48"/>
  <c r="P21" i="48"/>
  <c r="O21" i="48"/>
  <c r="N21" i="48"/>
  <c r="S20" i="48"/>
  <c r="P20" i="48"/>
  <c r="O20" i="48"/>
  <c r="N20" i="48"/>
  <c r="R19" i="48"/>
  <c r="Q19" i="48"/>
  <c r="S19" i="48" s="1"/>
  <c r="P19" i="48"/>
  <c r="O19" i="48"/>
  <c r="N19" i="48"/>
  <c r="S18" i="48"/>
  <c r="P18" i="48"/>
  <c r="O18" i="48"/>
  <c r="N18" i="48"/>
  <c r="S17" i="48"/>
  <c r="P17" i="48"/>
  <c r="O17" i="48"/>
  <c r="N17" i="48"/>
  <c r="S16" i="48"/>
  <c r="P16" i="48"/>
  <c r="O16" i="48"/>
  <c r="N16" i="48"/>
  <c r="S15" i="48"/>
  <c r="P15" i="48"/>
  <c r="O15" i="48"/>
  <c r="N15" i="48"/>
  <c r="S14" i="48"/>
  <c r="P14" i="48"/>
  <c r="O14" i="48"/>
  <c r="N14" i="48"/>
  <c r="S13" i="48"/>
  <c r="P13" i="48"/>
  <c r="O13" i="48"/>
  <c r="N13" i="48"/>
  <c r="S12" i="48"/>
  <c r="P12" i="48"/>
  <c r="O12" i="48"/>
  <c r="N12" i="48"/>
  <c r="S11" i="48"/>
  <c r="P11" i="48"/>
  <c r="O11" i="48"/>
  <c r="N11" i="48"/>
  <c r="S10" i="48"/>
  <c r="P10" i="48"/>
  <c r="O10" i="48"/>
  <c r="N10" i="48"/>
  <c r="R9" i="48"/>
  <c r="Q9" i="48"/>
  <c r="S9" i="48" s="1"/>
  <c r="P9" i="48"/>
  <c r="N9" i="48"/>
  <c r="L9" i="48"/>
  <c r="O9" i="48" s="1"/>
  <c r="J22" i="47"/>
  <c r="I22" i="47"/>
  <c r="J20" i="47"/>
  <c r="I20" i="47"/>
  <c r="J19" i="47"/>
  <c r="I19" i="47"/>
  <c r="J18" i="47"/>
  <c r="I18" i="47"/>
  <c r="J16" i="47"/>
  <c r="I16" i="47"/>
  <c r="J9" i="47"/>
  <c r="I9" i="47"/>
  <c r="O111" i="50" l="1"/>
  <c r="Q111" i="50"/>
  <c r="S9" i="50"/>
  <c r="R103" i="50"/>
  <c r="S103" i="50" s="1"/>
  <c r="P103" i="50"/>
  <c r="P111" i="50" s="1"/>
  <c r="S206" i="46"/>
  <c r="P206" i="46"/>
  <c r="O206" i="46"/>
  <c r="N206" i="46"/>
  <c r="S205" i="46"/>
  <c r="P205" i="46"/>
  <c r="O205" i="46"/>
  <c r="N205" i="46"/>
  <c r="S204" i="46"/>
  <c r="P204" i="46"/>
  <c r="O204" i="46"/>
  <c r="N204" i="46"/>
  <c r="S203" i="46"/>
  <c r="P203" i="46"/>
  <c r="O203" i="46"/>
  <c r="N203" i="46"/>
  <c r="S202" i="46"/>
  <c r="P202" i="46"/>
  <c r="O202" i="46"/>
  <c r="N202" i="46"/>
  <c r="S201" i="46"/>
  <c r="P201" i="46"/>
  <c r="O201" i="46"/>
  <c r="N201" i="46"/>
  <c r="S200" i="46"/>
  <c r="P200" i="46"/>
  <c r="O200" i="46"/>
  <c r="N200" i="46"/>
  <c r="S199" i="46"/>
  <c r="P199" i="46"/>
  <c r="O199" i="46"/>
  <c r="N199" i="46"/>
  <c r="S198" i="46"/>
  <c r="P198" i="46"/>
  <c r="O198" i="46"/>
  <c r="N198" i="46"/>
  <c r="S197" i="46"/>
  <c r="P197" i="46"/>
  <c r="O197" i="46"/>
  <c r="N197" i="46"/>
  <c r="S196" i="46"/>
  <c r="P196" i="46"/>
  <c r="O196" i="46"/>
  <c r="N196" i="46"/>
  <c r="S195" i="46"/>
  <c r="P195" i="46"/>
  <c r="O195" i="46"/>
  <c r="N195" i="46"/>
  <c r="S194" i="46"/>
  <c r="P194" i="46"/>
  <c r="O194" i="46"/>
  <c r="N194" i="46"/>
  <c r="S193" i="46"/>
  <c r="P193" i="46"/>
  <c r="O193" i="46"/>
  <c r="N193" i="46"/>
  <c r="S192" i="46"/>
  <c r="P192" i="46"/>
  <c r="O192" i="46"/>
  <c r="N192" i="46"/>
  <c r="S191" i="46"/>
  <c r="P191" i="46"/>
  <c r="O191" i="46"/>
  <c r="N191" i="46"/>
  <c r="S190" i="46"/>
  <c r="P190" i="46"/>
  <c r="O190" i="46"/>
  <c r="N190" i="46"/>
  <c r="S189" i="46"/>
  <c r="P189" i="46"/>
  <c r="O189" i="46"/>
  <c r="N189" i="46"/>
  <c r="S188" i="46"/>
  <c r="P188" i="46"/>
  <c r="O188" i="46"/>
  <c r="N188" i="46"/>
  <c r="S187" i="46"/>
  <c r="P187" i="46"/>
  <c r="O187" i="46"/>
  <c r="N187" i="46"/>
  <c r="S186" i="46"/>
  <c r="P186" i="46"/>
  <c r="O186" i="46"/>
  <c r="N186" i="46"/>
  <c r="S185" i="46"/>
  <c r="P185" i="46"/>
  <c r="O185" i="46"/>
  <c r="N185" i="46"/>
  <c r="S184" i="46"/>
  <c r="P184" i="46"/>
  <c r="O184" i="46"/>
  <c r="N184" i="46"/>
  <c r="S183" i="46"/>
  <c r="P183" i="46"/>
  <c r="O183" i="46"/>
  <c r="N183" i="46"/>
  <c r="S182" i="46"/>
  <c r="P182" i="46"/>
  <c r="O182" i="46"/>
  <c r="N182" i="46"/>
  <c r="S181" i="46"/>
  <c r="P181" i="46"/>
  <c r="O181" i="46"/>
  <c r="N181" i="46"/>
  <c r="S180" i="46"/>
  <c r="P180" i="46"/>
  <c r="O180" i="46"/>
  <c r="N180" i="46"/>
  <c r="S179" i="46"/>
  <c r="P179" i="46"/>
  <c r="O179" i="46"/>
  <c r="N179" i="46"/>
  <c r="S178" i="46"/>
  <c r="P178" i="46"/>
  <c r="O178" i="46"/>
  <c r="N178" i="46"/>
  <c r="S177" i="46"/>
  <c r="P177" i="46"/>
  <c r="O177" i="46"/>
  <c r="N177" i="46"/>
  <c r="S176" i="46"/>
  <c r="P176" i="46"/>
  <c r="O176" i="46"/>
  <c r="N176" i="46"/>
  <c r="S175" i="46"/>
  <c r="P175" i="46"/>
  <c r="O175" i="46"/>
  <c r="N175" i="46"/>
  <c r="S174" i="46"/>
  <c r="P174" i="46"/>
  <c r="O174" i="46"/>
  <c r="N174" i="46"/>
  <c r="S173" i="46"/>
  <c r="P173" i="46"/>
  <c r="O173" i="46"/>
  <c r="N173" i="46"/>
  <c r="S172" i="46"/>
  <c r="P172" i="46"/>
  <c r="O172" i="46"/>
  <c r="N172" i="46"/>
  <c r="S171" i="46"/>
  <c r="P171" i="46"/>
  <c r="O171" i="46"/>
  <c r="N171" i="46"/>
  <c r="S170" i="46"/>
  <c r="P170" i="46"/>
  <c r="O170" i="46"/>
  <c r="N170" i="46"/>
  <c r="S169" i="46"/>
  <c r="P169" i="46"/>
  <c r="O169" i="46"/>
  <c r="N169" i="46"/>
  <c r="S168" i="46"/>
  <c r="P168" i="46"/>
  <c r="O168" i="46"/>
  <c r="N168" i="46"/>
  <c r="S167" i="46"/>
  <c r="P167" i="46"/>
  <c r="O167" i="46"/>
  <c r="N167" i="46"/>
  <c r="S166" i="46"/>
  <c r="P166" i="46"/>
  <c r="O166" i="46"/>
  <c r="N166" i="46"/>
  <c r="S165" i="46"/>
  <c r="P165" i="46"/>
  <c r="O165" i="46"/>
  <c r="N165" i="46"/>
  <c r="S164" i="46"/>
  <c r="P164" i="46"/>
  <c r="O164" i="46"/>
  <c r="N164" i="46"/>
  <c r="S163" i="46"/>
  <c r="P163" i="46"/>
  <c r="O163" i="46"/>
  <c r="N163" i="46"/>
  <c r="S162" i="46"/>
  <c r="P162" i="46"/>
  <c r="O162" i="46"/>
  <c r="N162" i="46"/>
  <c r="S161" i="46"/>
  <c r="P161" i="46"/>
  <c r="O161" i="46"/>
  <c r="N161" i="46"/>
  <c r="S160" i="46"/>
  <c r="P160" i="46"/>
  <c r="O160" i="46"/>
  <c r="N160" i="46"/>
  <c r="S159" i="46"/>
  <c r="P159" i="46"/>
  <c r="O159" i="46"/>
  <c r="N159" i="46"/>
  <c r="S158" i="46"/>
  <c r="P158" i="46"/>
  <c r="O158" i="46"/>
  <c r="N158" i="46"/>
  <c r="S157" i="46"/>
  <c r="P157" i="46"/>
  <c r="O157" i="46"/>
  <c r="N157" i="46"/>
  <c r="S156" i="46"/>
  <c r="P156" i="46"/>
  <c r="O156" i="46"/>
  <c r="N156" i="46"/>
  <c r="S155" i="46"/>
  <c r="P155" i="46"/>
  <c r="O155" i="46"/>
  <c r="N155" i="46"/>
  <c r="S154" i="46"/>
  <c r="P154" i="46"/>
  <c r="O154" i="46"/>
  <c r="N154" i="46"/>
  <c r="S153" i="46"/>
  <c r="P153" i="46"/>
  <c r="O153" i="46"/>
  <c r="N153" i="46"/>
  <c r="S152" i="46"/>
  <c r="P152" i="46"/>
  <c r="O152" i="46"/>
  <c r="N152" i="46"/>
  <c r="S151" i="46"/>
  <c r="P151" i="46"/>
  <c r="O151" i="46"/>
  <c r="N151" i="46"/>
  <c r="S150" i="46"/>
  <c r="P150" i="46"/>
  <c r="O150" i="46"/>
  <c r="N150" i="46"/>
  <c r="S149" i="46"/>
  <c r="P149" i="46"/>
  <c r="O149" i="46"/>
  <c r="N149" i="46"/>
  <c r="AB148" i="46"/>
  <c r="S148" i="46"/>
  <c r="P148" i="46"/>
  <c r="O148" i="46"/>
  <c r="N148" i="46"/>
  <c r="S147" i="46"/>
  <c r="P147" i="46"/>
  <c r="O147" i="46"/>
  <c r="N147" i="46"/>
  <c r="S146" i="46"/>
  <c r="P146" i="46"/>
  <c r="O146" i="46"/>
  <c r="N146" i="46"/>
  <c r="S145" i="46"/>
  <c r="P145" i="46"/>
  <c r="O145" i="46"/>
  <c r="N145" i="46"/>
  <c r="S144" i="46"/>
  <c r="P144" i="46"/>
  <c r="O144" i="46"/>
  <c r="N144" i="46"/>
  <c r="S143" i="46"/>
  <c r="P143" i="46"/>
  <c r="O143" i="46"/>
  <c r="N143" i="46"/>
  <c r="S142" i="46"/>
  <c r="P142" i="46"/>
  <c r="O142" i="46"/>
  <c r="N142" i="46"/>
  <c r="S141" i="46"/>
  <c r="P141" i="46"/>
  <c r="O141" i="46"/>
  <c r="N141" i="46"/>
  <c r="S140" i="46"/>
  <c r="P140" i="46"/>
  <c r="O140" i="46"/>
  <c r="N140" i="46"/>
  <c r="S139" i="46"/>
  <c r="P139" i="46"/>
  <c r="O139" i="46"/>
  <c r="N139" i="46"/>
  <c r="S138" i="46"/>
  <c r="P138" i="46"/>
  <c r="O138" i="46"/>
  <c r="N138" i="46"/>
  <c r="S137" i="46"/>
  <c r="P137" i="46"/>
  <c r="O137" i="46"/>
  <c r="N137" i="46"/>
  <c r="S136" i="46"/>
  <c r="P136" i="46"/>
  <c r="O136" i="46"/>
  <c r="N136" i="46"/>
  <c r="S135" i="46"/>
  <c r="P135" i="46"/>
  <c r="O135" i="46"/>
  <c r="N135" i="46"/>
  <c r="S134" i="46"/>
  <c r="P134" i="46"/>
  <c r="O134" i="46"/>
  <c r="N134" i="46"/>
  <c r="S133" i="46"/>
  <c r="P133" i="46"/>
  <c r="O133" i="46"/>
  <c r="N133" i="46"/>
  <c r="S132" i="46"/>
  <c r="P132" i="46"/>
  <c r="O132" i="46"/>
  <c r="N132" i="46"/>
  <c r="S131" i="46"/>
  <c r="P131" i="46"/>
  <c r="O131" i="46"/>
  <c r="N131" i="46"/>
  <c r="S130" i="46"/>
  <c r="P130" i="46"/>
  <c r="O130" i="46"/>
  <c r="N130" i="46"/>
  <c r="S129" i="46"/>
  <c r="P129" i="46"/>
  <c r="O129" i="46"/>
  <c r="N129" i="46"/>
  <c r="S128" i="46"/>
  <c r="P128" i="46"/>
  <c r="O128" i="46"/>
  <c r="N128" i="46"/>
  <c r="S127" i="46"/>
  <c r="P127" i="46"/>
  <c r="O127" i="46"/>
  <c r="N127" i="46"/>
  <c r="S126" i="46"/>
  <c r="P126" i="46"/>
  <c r="O126" i="46"/>
  <c r="N126" i="46"/>
  <c r="S125" i="46"/>
  <c r="P125" i="46"/>
  <c r="O125" i="46"/>
  <c r="N125" i="46"/>
  <c r="S124" i="46"/>
  <c r="P124" i="46"/>
  <c r="O124" i="46"/>
  <c r="N124" i="46"/>
  <c r="S123" i="46"/>
  <c r="P123" i="46"/>
  <c r="O123" i="46"/>
  <c r="N123" i="46"/>
  <c r="S122" i="46"/>
  <c r="P122" i="46"/>
  <c r="O122" i="46"/>
  <c r="N122" i="46"/>
  <c r="S121" i="46"/>
  <c r="P121" i="46"/>
  <c r="O121" i="46"/>
  <c r="N121" i="46"/>
  <c r="S120" i="46"/>
  <c r="P120" i="46"/>
  <c r="O120" i="46"/>
  <c r="N120" i="46"/>
  <c r="S119" i="46"/>
  <c r="P119" i="46"/>
  <c r="O119" i="46"/>
  <c r="N119" i="46"/>
  <c r="S118" i="46"/>
  <c r="P118" i="46"/>
  <c r="O118" i="46"/>
  <c r="N118" i="46"/>
  <c r="S117" i="46"/>
  <c r="P117" i="46"/>
  <c r="O117" i="46"/>
  <c r="N117" i="46"/>
  <c r="S116" i="46"/>
  <c r="R116" i="46"/>
  <c r="P116" i="46"/>
  <c r="O116" i="46"/>
  <c r="N116" i="46"/>
  <c r="L116" i="46"/>
  <c r="S115" i="46"/>
  <c r="P115" i="46"/>
  <c r="O115" i="46"/>
  <c r="N115" i="46"/>
  <c r="S114" i="46"/>
  <c r="P114" i="46"/>
  <c r="O114" i="46"/>
  <c r="N114" i="46"/>
  <c r="S113" i="46"/>
  <c r="P113" i="46"/>
  <c r="O113" i="46"/>
  <c r="N113" i="46"/>
  <c r="S112" i="46"/>
  <c r="P112" i="46"/>
  <c r="O112" i="46"/>
  <c r="N112" i="46"/>
  <c r="S111" i="46"/>
  <c r="P111" i="46"/>
  <c r="O111" i="46"/>
  <c r="N111" i="46"/>
  <c r="S110" i="46"/>
  <c r="P110" i="46"/>
  <c r="O110" i="46"/>
  <c r="N110" i="46"/>
  <c r="S109" i="46"/>
  <c r="P109" i="46"/>
  <c r="O109" i="46"/>
  <c r="N109" i="46"/>
  <c r="S108" i="46"/>
  <c r="P108" i="46"/>
  <c r="O108" i="46"/>
  <c r="N108" i="46"/>
  <c r="S107" i="46"/>
  <c r="P107" i="46"/>
  <c r="O107" i="46"/>
  <c r="N107" i="46"/>
  <c r="S106" i="46"/>
  <c r="P106" i="46"/>
  <c r="O106" i="46"/>
  <c r="N106" i="46"/>
  <c r="S105" i="46"/>
  <c r="P105" i="46"/>
  <c r="O105" i="46"/>
  <c r="N105" i="46"/>
  <c r="S104" i="46"/>
  <c r="P104" i="46"/>
  <c r="O104" i="46"/>
  <c r="N104" i="46"/>
  <c r="S103" i="46"/>
  <c r="P103" i="46"/>
  <c r="O103" i="46"/>
  <c r="N103" i="46"/>
  <c r="S102" i="46"/>
  <c r="P102" i="46"/>
  <c r="O102" i="46"/>
  <c r="N102" i="46"/>
  <c r="S101" i="46"/>
  <c r="P101" i="46"/>
  <c r="O101" i="46"/>
  <c r="N101" i="46"/>
  <c r="S100" i="46"/>
  <c r="P100" i="46"/>
  <c r="O100" i="46"/>
  <c r="N100" i="46"/>
  <c r="S99" i="46"/>
  <c r="P99" i="46"/>
  <c r="O99" i="46"/>
  <c r="N99" i="46"/>
  <c r="S98" i="46"/>
  <c r="P98" i="46"/>
  <c r="O98" i="46"/>
  <c r="N98" i="46"/>
  <c r="S97" i="46"/>
  <c r="P97" i="46"/>
  <c r="O97" i="46"/>
  <c r="N97" i="46"/>
  <c r="S96" i="46"/>
  <c r="P96" i="46"/>
  <c r="O96" i="46"/>
  <c r="N96" i="46"/>
  <c r="S95" i="46"/>
  <c r="P95" i="46"/>
  <c r="O95" i="46"/>
  <c r="N95" i="46"/>
  <c r="S94" i="46"/>
  <c r="P94" i="46"/>
  <c r="O94" i="46"/>
  <c r="N94" i="46"/>
  <c r="S93" i="46"/>
  <c r="P93" i="46"/>
  <c r="O93" i="46"/>
  <c r="N93" i="46"/>
  <c r="S92" i="46"/>
  <c r="P92" i="46"/>
  <c r="O92" i="46"/>
  <c r="N92" i="46"/>
  <c r="S91" i="46"/>
  <c r="P91" i="46"/>
  <c r="O91" i="46"/>
  <c r="N91" i="46"/>
  <c r="S90" i="46"/>
  <c r="P90" i="46"/>
  <c r="O90" i="46"/>
  <c r="N90" i="46"/>
  <c r="S89" i="46"/>
  <c r="P89" i="46"/>
  <c r="O89" i="46"/>
  <c r="N89" i="46"/>
  <c r="S88" i="46"/>
  <c r="P88" i="46"/>
  <c r="O88" i="46"/>
  <c r="N88" i="46"/>
  <c r="S87" i="46"/>
  <c r="P87" i="46"/>
  <c r="O87" i="46"/>
  <c r="N87" i="46"/>
  <c r="S86" i="46"/>
  <c r="P86" i="46"/>
  <c r="O86" i="46"/>
  <c r="N86" i="46"/>
  <c r="S85" i="46"/>
  <c r="P85" i="46"/>
  <c r="O85" i="46"/>
  <c r="N85" i="46"/>
  <c r="S84" i="46"/>
  <c r="P84" i="46"/>
  <c r="O84" i="46"/>
  <c r="N84" i="46"/>
  <c r="S83" i="46"/>
  <c r="P83" i="46"/>
  <c r="O83" i="46"/>
  <c r="N83" i="46"/>
  <c r="S82" i="46"/>
  <c r="P82" i="46"/>
  <c r="O82" i="46"/>
  <c r="N82" i="46"/>
  <c r="S81" i="46"/>
  <c r="P81" i="46"/>
  <c r="O81" i="46"/>
  <c r="N81" i="46"/>
  <c r="S80" i="46"/>
  <c r="P80" i="46"/>
  <c r="O80" i="46"/>
  <c r="N80" i="46"/>
  <c r="S79" i="46"/>
  <c r="P79" i="46"/>
  <c r="O79" i="46"/>
  <c r="N79" i="46"/>
  <c r="S78" i="46"/>
  <c r="P78" i="46"/>
  <c r="O78" i="46"/>
  <c r="N78" i="46"/>
  <c r="R77" i="46"/>
  <c r="S77" i="46" s="1"/>
  <c r="P77" i="46"/>
  <c r="O77" i="46"/>
  <c r="N77" i="46"/>
  <c r="S76" i="46"/>
  <c r="P76" i="46"/>
  <c r="O76" i="46"/>
  <c r="N76" i="46"/>
  <c r="S75" i="46"/>
  <c r="P75" i="46"/>
  <c r="O75" i="46"/>
  <c r="N75" i="46"/>
  <c r="S74" i="46"/>
  <c r="P74" i="46"/>
  <c r="O74" i="46"/>
  <c r="N74" i="46"/>
  <c r="S73" i="46"/>
  <c r="P73" i="46"/>
  <c r="O73" i="46"/>
  <c r="N73" i="46"/>
  <c r="S72" i="46"/>
  <c r="P72" i="46"/>
  <c r="O72" i="46"/>
  <c r="N72" i="46"/>
  <c r="S71" i="46"/>
  <c r="P71" i="46"/>
  <c r="O71" i="46"/>
  <c r="N71" i="46"/>
  <c r="S70" i="46"/>
  <c r="P70" i="46"/>
  <c r="O70" i="46"/>
  <c r="N70" i="46"/>
  <c r="S69" i="46"/>
  <c r="P69" i="46"/>
  <c r="O69" i="46"/>
  <c r="N69" i="46"/>
  <c r="S68" i="46"/>
  <c r="P68" i="46"/>
  <c r="O68" i="46"/>
  <c r="N68" i="46"/>
  <c r="S67" i="46"/>
  <c r="P67" i="46"/>
  <c r="O67" i="46"/>
  <c r="N67" i="46"/>
  <c r="S66" i="46"/>
  <c r="P66" i="46"/>
  <c r="O66" i="46"/>
  <c r="N66" i="46"/>
  <c r="S65" i="46"/>
  <c r="P65" i="46"/>
  <c r="O65" i="46"/>
  <c r="N65" i="46"/>
  <c r="S64" i="46"/>
  <c r="P64" i="46"/>
  <c r="O64" i="46"/>
  <c r="N64" i="46"/>
  <c r="S63" i="46"/>
  <c r="P63" i="46"/>
  <c r="O63" i="46"/>
  <c r="N63" i="46"/>
  <c r="S62" i="46"/>
  <c r="P62" i="46"/>
  <c r="O62" i="46"/>
  <c r="N62" i="46"/>
  <c r="S61" i="46"/>
  <c r="P61" i="46"/>
  <c r="O61" i="46"/>
  <c r="N61" i="46"/>
  <c r="S60" i="46"/>
  <c r="P60" i="46"/>
  <c r="O60" i="46"/>
  <c r="N60" i="46"/>
  <c r="S59" i="46"/>
  <c r="P59" i="46"/>
  <c r="O59" i="46"/>
  <c r="N59" i="46"/>
  <c r="S58" i="46"/>
  <c r="P58" i="46"/>
  <c r="O58" i="46"/>
  <c r="N58" i="46"/>
  <c r="S57" i="46"/>
  <c r="P57" i="46"/>
  <c r="O57" i="46"/>
  <c r="N57" i="46"/>
  <c r="S56" i="46"/>
  <c r="P56" i="46"/>
  <c r="O56" i="46"/>
  <c r="N56" i="46"/>
  <c r="S55" i="46"/>
  <c r="P55" i="46"/>
  <c r="O55" i="46"/>
  <c r="N55" i="46"/>
  <c r="S54" i="46"/>
  <c r="P54" i="46"/>
  <c r="O54" i="46"/>
  <c r="N54" i="46"/>
  <c r="AB53" i="46"/>
  <c r="S53" i="46"/>
  <c r="P53" i="46"/>
  <c r="O53" i="46"/>
  <c r="N53" i="46"/>
  <c r="S52" i="46"/>
  <c r="P52" i="46"/>
  <c r="O52" i="46"/>
  <c r="N52" i="46"/>
  <c r="S51" i="46"/>
  <c r="P51" i="46"/>
  <c r="O51" i="46"/>
  <c r="N51" i="46"/>
  <c r="S50" i="46"/>
  <c r="P50" i="46"/>
  <c r="O50" i="46"/>
  <c r="N50" i="46"/>
  <c r="S49" i="46"/>
  <c r="P49" i="46"/>
  <c r="O49" i="46"/>
  <c r="N49" i="46"/>
  <c r="S48" i="46"/>
  <c r="P48" i="46"/>
  <c r="O48" i="46"/>
  <c r="N48" i="46"/>
  <c r="S47" i="46"/>
  <c r="P47" i="46"/>
  <c r="O47" i="46"/>
  <c r="N47" i="46"/>
  <c r="S46" i="46"/>
  <c r="P46" i="46"/>
  <c r="O46" i="46"/>
  <c r="N46" i="46"/>
  <c r="S45" i="46"/>
  <c r="P45" i="46"/>
  <c r="O45" i="46"/>
  <c r="N45" i="46"/>
  <c r="S44" i="46"/>
  <c r="P44" i="46"/>
  <c r="O44" i="46"/>
  <c r="N44" i="46"/>
  <c r="S43" i="46"/>
  <c r="P43" i="46"/>
  <c r="O43" i="46"/>
  <c r="N43" i="46"/>
  <c r="S42" i="46"/>
  <c r="P42" i="46"/>
  <c r="O42" i="46"/>
  <c r="N42" i="46"/>
  <c r="S41" i="46"/>
  <c r="P41" i="46"/>
  <c r="O41" i="46"/>
  <c r="N41" i="46"/>
  <c r="S40" i="46"/>
  <c r="P40" i="46"/>
  <c r="O40" i="46"/>
  <c r="N40" i="46"/>
  <c r="S39" i="46"/>
  <c r="P39" i="46"/>
  <c r="O39" i="46"/>
  <c r="N39" i="46"/>
  <c r="S38" i="46"/>
  <c r="P38" i="46"/>
  <c r="O38" i="46"/>
  <c r="N38" i="46"/>
  <c r="S37" i="46"/>
  <c r="P37" i="46"/>
  <c r="O37" i="46"/>
  <c r="N37" i="46"/>
  <c r="S36" i="46"/>
  <c r="P36" i="46"/>
  <c r="O36" i="46"/>
  <c r="N36" i="46"/>
  <c r="S35" i="46"/>
  <c r="P35" i="46"/>
  <c r="O35" i="46"/>
  <c r="N35" i="46"/>
  <c r="S34" i="46"/>
  <c r="P34" i="46"/>
  <c r="O34" i="46"/>
  <c r="N34" i="46"/>
  <c r="S33" i="46"/>
  <c r="P33" i="46"/>
  <c r="O33" i="46"/>
  <c r="N33" i="46"/>
  <c r="S32" i="46"/>
  <c r="P32" i="46"/>
  <c r="O32" i="46"/>
  <c r="N32" i="46"/>
  <c r="S31" i="46"/>
  <c r="P31" i="46"/>
  <c r="O31" i="46"/>
  <c r="N31" i="46"/>
  <c r="S30" i="46"/>
  <c r="P30" i="46"/>
  <c r="O30" i="46"/>
  <c r="N30" i="46"/>
  <c r="S29" i="46"/>
  <c r="P29" i="46"/>
  <c r="O29" i="46"/>
  <c r="N29" i="46"/>
  <c r="S28" i="46"/>
  <c r="P28" i="46"/>
  <c r="O28" i="46"/>
  <c r="N28" i="46"/>
  <c r="S27" i="46"/>
  <c r="P27" i="46"/>
  <c r="O27" i="46"/>
  <c r="N27" i="46"/>
  <c r="S26" i="46"/>
  <c r="P26" i="46"/>
  <c r="O26" i="46"/>
  <c r="N26" i="46"/>
  <c r="S25" i="46"/>
  <c r="P25" i="46"/>
  <c r="O25" i="46"/>
  <c r="N25" i="46"/>
  <c r="S24" i="46"/>
  <c r="P24" i="46"/>
  <c r="O24" i="46"/>
  <c r="N24" i="46"/>
  <c r="S23" i="46"/>
  <c r="P23" i="46"/>
  <c r="O23" i="46"/>
  <c r="N23" i="46"/>
  <c r="S22" i="46"/>
  <c r="P22" i="46"/>
  <c r="O22" i="46"/>
  <c r="N22" i="46"/>
  <c r="S21" i="46"/>
  <c r="P21" i="46"/>
  <c r="O21" i="46"/>
  <c r="N21" i="46"/>
  <c r="S20" i="46"/>
  <c r="P20" i="46"/>
  <c r="O20" i="46"/>
  <c r="N20" i="46"/>
  <c r="S19" i="46"/>
  <c r="P19" i="46"/>
  <c r="O19" i="46"/>
  <c r="N19" i="46"/>
  <c r="S18" i="46"/>
  <c r="P18" i="46"/>
  <c r="O18" i="46"/>
  <c r="N18" i="46"/>
  <c r="S17" i="46"/>
  <c r="P17" i="46"/>
  <c r="O17" i="46"/>
  <c r="N17" i="46"/>
  <c r="S16" i="46"/>
  <c r="P16" i="46"/>
  <c r="O16" i="46"/>
  <c r="N16" i="46"/>
  <c r="S15" i="46"/>
  <c r="P15" i="46"/>
  <c r="O15" i="46"/>
  <c r="N15" i="46"/>
  <c r="S14" i="46"/>
  <c r="P14" i="46"/>
  <c r="O14" i="46"/>
  <c r="N14" i="46"/>
  <c r="S13" i="46"/>
  <c r="P13" i="46"/>
  <c r="O13" i="46"/>
  <c r="N13" i="46"/>
  <c r="S12" i="46"/>
  <c r="P12" i="46"/>
  <c r="O12" i="46"/>
  <c r="N12" i="46"/>
  <c r="S11" i="46"/>
  <c r="P11" i="46"/>
  <c r="O11" i="46"/>
  <c r="N11" i="46"/>
  <c r="S10" i="46"/>
  <c r="P10" i="46"/>
  <c r="O10" i="46"/>
  <c r="N10" i="46"/>
  <c r="S9" i="46"/>
  <c r="P9" i="46"/>
  <c r="O9" i="46"/>
  <c r="N9" i="46"/>
  <c r="O107" i="45"/>
  <c r="P47" i="45"/>
  <c r="P29" i="45"/>
  <c r="S51" i="44" l="1"/>
  <c r="P51" i="44"/>
  <c r="O51" i="44"/>
  <c r="N51" i="44"/>
  <c r="S50" i="44"/>
  <c r="P50" i="44"/>
  <c r="O50" i="44"/>
  <c r="N50" i="44"/>
  <c r="S49" i="44"/>
  <c r="P49" i="44"/>
  <c r="O49" i="44"/>
  <c r="N49" i="44"/>
  <c r="S48" i="44"/>
  <c r="P48" i="44"/>
  <c r="O48" i="44"/>
  <c r="N48" i="44"/>
  <c r="S47" i="44"/>
  <c r="P47" i="44"/>
  <c r="O47" i="44"/>
  <c r="N47" i="44"/>
  <c r="S46" i="44"/>
  <c r="P46" i="44"/>
  <c r="O46" i="44"/>
  <c r="N46" i="44"/>
  <c r="S45" i="44"/>
  <c r="P45" i="44"/>
  <c r="O45" i="44"/>
  <c r="N45" i="44"/>
  <c r="S44" i="44"/>
  <c r="P44" i="44"/>
  <c r="O44" i="44"/>
  <c r="N44" i="44"/>
  <c r="S43" i="44"/>
  <c r="P43" i="44"/>
  <c r="O43" i="44"/>
  <c r="N43" i="44"/>
  <c r="S42" i="44"/>
  <c r="P42" i="44"/>
  <c r="O42" i="44"/>
  <c r="N42" i="44"/>
  <c r="S41" i="44"/>
  <c r="P41" i="44"/>
  <c r="O41" i="44"/>
  <c r="N41" i="44"/>
  <c r="S40" i="44"/>
  <c r="P40" i="44"/>
  <c r="O40" i="44"/>
  <c r="N40" i="44"/>
  <c r="S39" i="44"/>
  <c r="P39" i="44"/>
  <c r="O39" i="44"/>
  <c r="N39" i="44"/>
  <c r="S38" i="44"/>
  <c r="P38" i="44"/>
  <c r="O38" i="44"/>
  <c r="N38" i="44"/>
  <c r="S37" i="44"/>
  <c r="P37" i="44"/>
  <c r="O37" i="44"/>
  <c r="N37" i="44"/>
  <c r="S36" i="44"/>
  <c r="P36" i="44"/>
  <c r="O36" i="44"/>
  <c r="N36" i="44"/>
  <c r="S35" i="44"/>
  <c r="P35" i="44"/>
  <c r="O35" i="44"/>
  <c r="N35" i="44"/>
  <c r="S34" i="44"/>
  <c r="P34" i="44"/>
  <c r="O34" i="44"/>
  <c r="N34" i="44"/>
  <c r="S33" i="44"/>
  <c r="P33" i="44"/>
  <c r="O33" i="44"/>
  <c r="N33" i="44"/>
  <c r="S32" i="44"/>
  <c r="P32" i="44"/>
  <c r="O32" i="44"/>
  <c r="N32" i="44"/>
  <c r="S31" i="44"/>
  <c r="P31" i="44"/>
  <c r="O31" i="44"/>
  <c r="N31" i="44"/>
  <c r="S30" i="44"/>
  <c r="P30" i="44"/>
  <c r="O30" i="44"/>
  <c r="N30" i="44"/>
  <c r="S29" i="44"/>
  <c r="P29" i="44"/>
  <c r="O29" i="44"/>
  <c r="N29" i="44"/>
  <c r="S28" i="44"/>
  <c r="P28" i="44"/>
  <c r="O28" i="44"/>
  <c r="N28" i="44"/>
  <c r="S27" i="44"/>
  <c r="P27" i="44"/>
  <c r="O27" i="44"/>
  <c r="N27" i="44"/>
  <c r="S26" i="44"/>
  <c r="P26" i="44"/>
  <c r="O26" i="44"/>
  <c r="N26" i="44"/>
  <c r="S25" i="44"/>
  <c r="P25" i="44"/>
  <c r="O25" i="44"/>
  <c r="N25" i="44"/>
  <c r="S24" i="44"/>
  <c r="P24" i="44"/>
  <c r="O24" i="44"/>
  <c r="N24" i="44"/>
  <c r="S23" i="44"/>
  <c r="P23" i="44"/>
  <c r="O23" i="44"/>
  <c r="N23" i="44"/>
  <c r="S22" i="44"/>
  <c r="P22" i="44"/>
  <c r="O22" i="44"/>
  <c r="N22" i="44"/>
  <c r="S21" i="44"/>
  <c r="P21" i="44"/>
  <c r="O21" i="44"/>
  <c r="N21" i="44"/>
  <c r="S20" i="44"/>
  <c r="P20" i="44"/>
  <c r="O20" i="44"/>
  <c r="N20" i="44"/>
  <c r="S19" i="44"/>
  <c r="P19" i="44"/>
  <c r="O19" i="44"/>
  <c r="N19" i="44"/>
  <c r="S18" i="44"/>
  <c r="P18" i="44"/>
  <c r="O18" i="44"/>
  <c r="N18" i="44"/>
  <c r="S17" i="44"/>
  <c r="P17" i="44"/>
  <c r="O17" i="44"/>
  <c r="N17" i="44"/>
  <c r="S16" i="44"/>
  <c r="P16" i="44"/>
  <c r="O16" i="44"/>
  <c r="N16" i="44"/>
  <c r="S15" i="44"/>
  <c r="P15" i="44"/>
  <c r="O15" i="44"/>
  <c r="N15" i="44"/>
  <c r="S14" i="44"/>
  <c r="P14" i="44"/>
  <c r="O14" i="44"/>
  <c r="N14" i="44"/>
  <c r="S13" i="44"/>
  <c r="P13" i="44"/>
  <c r="O13" i="44"/>
  <c r="N13" i="44"/>
  <c r="S12" i="44"/>
  <c r="P12" i="44"/>
  <c r="O12" i="44"/>
  <c r="N12" i="44"/>
  <c r="S11" i="44"/>
  <c r="P11" i="44"/>
  <c r="O11" i="44"/>
  <c r="N11" i="44"/>
  <c r="S10" i="44"/>
  <c r="P10" i="44"/>
  <c r="O10" i="44"/>
  <c r="N10" i="44"/>
  <c r="S9" i="44"/>
  <c r="P9" i="44"/>
  <c r="O9" i="44"/>
  <c r="N9" i="44"/>
  <c r="J21" i="43"/>
  <c r="J20" i="43"/>
  <c r="J17" i="43"/>
  <c r="J15" i="43"/>
  <c r="I15" i="43"/>
  <c r="J14" i="43"/>
  <c r="J13" i="43"/>
  <c r="I13" i="43"/>
  <c r="J12" i="43"/>
  <c r="I12" i="43"/>
  <c r="J11" i="43"/>
  <c r="I11" i="43"/>
  <c r="J10" i="43"/>
  <c r="I10" i="43"/>
  <c r="J9" i="43"/>
  <c r="S51" i="42" l="1"/>
  <c r="P51" i="42"/>
  <c r="O51" i="42"/>
  <c r="N51" i="42"/>
  <c r="S50" i="42"/>
  <c r="P50" i="42"/>
  <c r="O50" i="42"/>
  <c r="N50" i="42"/>
  <c r="S49" i="42"/>
  <c r="P49" i="42"/>
  <c r="O49" i="42"/>
  <c r="N49" i="42"/>
  <c r="S48" i="42"/>
  <c r="P48" i="42"/>
  <c r="O48" i="42"/>
  <c r="N48" i="42"/>
  <c r="S47" i="42"/>
  <c r="P47" i="42"/>
  <c r="O47" i="42"/>
  <c r="N47" i="42"/>
  <c r="S46" i="42"/>
  <c r="P46" i="42"/>
  <c r="O46" i="42"/>
  <c r="N46" i="42"/>
  <c r="S45" i="42"/>
  <c r="P45" i="42"/>
  <c r="O45" i="42"/>
  <c r="N45" i="42"/>
  <c r="S44" i="42"/>
  <c r="P44" i="42"/>
  <c r="O44" i="42"/>
  <c r="N44" i="42"/>
  <c r="S43" i="42"/>
  <c r="P43" i="42"/>
  <c r="O43" i="42"/>
  <c r="N43" i="42"/>
  <c r="S42" i="42"/>
  <c r="P42" i="42"/>
  <c r="O42" i="42"/>
  <c r="N42" i="42"/>
  <c r="S41" i="42"/>
  <c r="P41" i="42"/>
  <c r="O41" i="42"/>
  <c r="N41" i="42"/>
  <c r="S40" i="42"/>
  <c r="P40" i="42"/>
  <c r="O40" i="42"/>
  <c r="N40" i="42"/>
  <c r="S39" i="42"/>
  <c r="P39" i="42"/>
  <c r="O39" i="42"/>
  <c r="N39" i="42"/>
  <c r="S38" i="42"/>
  <c r="P38" i="42"/>
  <c r="O38" i="42"/>
  <c r="N38" i="42"/>
  <c r="S37" i="42"/>
  <c r="P37" i="42"/>
  <c r="O37" i="42"/>
  <c r="N37" i="42"/>
  <c r="S36" i="42"/>
  <c r="P36" i="42"/>
  <c r="O36" i="42"/>
  <c r="N36" i="42"/>
  <c r="S35" i="42"/>
  <c r="P35" i="42"/>
  <c r="O35" i="42"/>
  <c r="N35" i="42"/>
  <c r="S34" i="42"/>
  <c r="P34" i="42"/>
  <c r="O34" i="42"/>
  <c r="N34" i="42"/>
  <c r="S33" i="42"/>
  <c r="P33" i="42"/>
  <c r="O33" i="42"/>
  <c r="N33" i="42"/>
  <c r="S32" i="42"/>
  <c r="P32" i="42"/>
  <c r="O32" i="42"/>
  <c r="N32" i="42"/>
  <c r="S31" i="42"/>
  <c r="P31" i="42"/>
  <c r="O31" i="42"/>
  <c r="N31" i="42"/>
  <c r="S30" i="42"/>
  <c r="P30" i="42"/>
  <c r="O30" i="42"/>
  <c r="N30" i="42"/>
  <c r="S29" i="42"/>
  <c r="P29" i="42"/>
  <c r="O29" i="42"/>
  <c r="N29" i="42"/>
  <c r="S28" i="42"/>
  <c r="P28" i="42"/>
  <c r="O28" i="42"/>
  <c r="N28" i="42"/>
  <c r="S27" i="42"/>
  <c r="P27" i="42"/>
  <c r="O27" i="42"/>
  <c r="N27" i="42"/>
  <c r="S26" i="42"/>
  <c r="P26" i="42"/>
  <c r="O26" i="42"/>
  <c r="N26" i="42"/>
  <c r="S25" i="42"/>
  <c r="P25" i="42"/>
  <c r="O25" i="42"/>
  <c r="N25" i="42"/>
  <c r="S24" i="42"/>
  <c r="P24" i="42"/>
  <c r="O24" i="42"/>
  <c r="N24" i="42"/>
  <c r="S23" i="42"/>
  <c r="P23" i="42"/>
  <c r="O23" i="42"/>
  <c r="N23" i="42"/>
  <c r="S22" i="42"/>
  <c r="P22" i="42"/>
  <c r="O22" i="42"/>
  <c r="N22" i="42"/>
  <c r="S21" i="42"/>
  <c r="P21" i="42"/>
  <c r="O21" i="42"/>
  <c r="N21" i="42"/>
  <c r="S20" i="42"/>
  <c r="P20" i="42"/>
  <c r="O20" i="42"/>
  <c r="N20" i="42"/>
  <c r="S19" i="42"/>
  <c r="P19" i="42"/>
  <c r="O19" i="42"/>
  <c r="N19" i="42"/>
  <c r="S18" i="42"/>
  <c r="P18" i="42"/>
  <c r="O18" i="42"/>
  <c r="N18" i="42"/>
  <c r="S17" i="42"/>
  <c r="P17" i="42"/>
  <c r="O17" i="42"/>
  <c r="N17" i="42"/>
  <c r="S16" i="42"/>
  <c r="P16" i="42"/>
  <c r="O16" i="42"/>
  <c r="N16" i="42"/>
  <c r="S15" i="42"/>
  <c r="P15" i="42"/>
  <c r="O15" i="42"/>
  <c r="N15" i="42"/>
  <c r="S14" i="42"/>
  <c r="P14" i="42"/>
  <c r="O14" i="42"/>
  <c r="N14" i="42"/>
  <c r="S13" i="42"/>
  <c r="P13" i="42"/>
  <c r="O13" i="42"/>
  <c r="N13" i="42"/>
  <c r="S12" i="42"/>
  <c r="P12" i="42"/>
  <c r="O12" i="42"/>
  <c r="N12" i="42"/>
  <c r="S11" i="42"/>
  <c r="P11" i="42"/>
  <c r="O11" i="42"/>
  <c r="N11" i="42"/>
  <c r="S10" i="42"/>
  <c r="P10" i="42"/>
  <c r="O10" i="42"/>
  <c r="N10" i="42"/>
  <c r="S9" i="42"/>
  <c r="P9" i="42"/>
  <c r="O9" i="42"/>
  <c r="N9" i="42"/>
  <c r="E20" i="41"/>
  <c r="S44" i="40" l="1"/>
  <c r="P44" i="40"/>
  <c r="O44" i="40"/>
  <c r="N44" i="40"/>
  <c r="S43" i="40"/>
  <c r="P43" i="40"/>
  <c r="O43" i="40"/>
  <c r="N43" i="40"/>
  <c r="S42" i="40"/>
  <c r="P42" i="40"/>
  <c r="O42" i="40"/>
  <c r="N42" i="40"/>
  <c r="S41" i="40"/>
  <c r="P41" i="40"/>
  <c r="O41" i="40"/>
  <c r="N41" i="40"/>
  <c r="S40" i="40"/>
  <c r="P40" i="40"/>
  <c r="O40" i="40"/>
  <c r="N40" i="40"/>
  <c r="S39" i="40"/>
  <c r="P39" i="40"/>
  <c r="O39" i="40"/>
  <c r="N39" i="40"/>
  <c r="S38" i="40"/>
  <c r="P38" i="40"/>
  <c r="O38" i="40"/>
  <c r="N38" i="40"/>
  <c r="S37" i="40"/>
  <c r="P37" i="40"/>
  <c r="O37" i="40"/>
  <c r="N37" i="40"/>
  <c r="S36" i="40"/>
  <c r="P36" i="40"/>
  <c r="O36" i="40"/>
  <c r="N36" i="40"/>
  <c r="S35" i="40"/>
  <c r="P35" i="40"/>
  <c r="O35" i="40"/>
  <c r="N35" i="40"/>
  <c r="S34" i="40"/>
  <c r="P34" i="40"/>
  <c r="O34" i="40"/>
  <c r="N34" i="40"/>
  <c r="S33" i="40"/>
  <c r="P33" i="40"/>
  <c r="O33" i="40"/>
  <c r="N33" i="40"/>
  <c r="S32" i="40"/>
  <c r="P32" i="40"/>
  <c r="O32" i="40"/>
  <c r="N32" i="40"/>
  <c r="S31" i="40"/>
  <c r="P31" i="40"/>
  <c r="O31" i="40"/>
  <c r="N31" i="40"/>
  <c r="S30" i="40"/>
  <c r="P30" i="40"/>
  <c r="O30" i="40"/>
  <c r="N30" i="40"/>
  <c r="S29" i="40"/>
  <c r="P29" i="40"/>
  <c r="O29" i="40"/>
  <c r="N29" i="40"/>
  <c r="S28" i="40"/>
  <c r="P28" i="40"/>
  <c r="O28" i="40"/>
  <c r="N28" i="40"/>
  <c r="S27" i="40"/>
  <c r="P27" i="40"/>
  <c r="O27" i="40"/>
  <c r="N27" i="40"/>
  <c r="S26" i="40"/>
  <c r="P26" i="40"/>
  <c r="O26" i="40"/>
  <c r="N26" i="40"/>
  <c r="S25" i="40"/>
  <c r="P25" i="40"/>
  <c r="O25" i="40"/>
  <c r="N25" i="40"/>
  <c r="S24" i="40"/>
  <c r="P24" i="40"/>
  <c r="O24" i="40"/>
  <c r="N24" i="40"/>
  <c r="S23" i="40"/>
  <c r="P23" i="40"/>
  <c r="O23" i="40"/>
  <c r="N23" i="40"/>
  <c r="S22" i="40"/>
  <c r="P22" i="40"/>
  <c r="O22" i="40"/>
  <c r="N22" i="40"/>
  <c r="S21" i="40"/>
  <c r="P21" i="40"/>
  <c r="O21" i="40"/>
  <c r="N21" i="40"/>
  <c r="S20" i="40"/>
  <c r="P20" i="40"/>
  <c r="O20" i="40"/>
  <c r="N20" i="40"/>
  <c r="S19" i="40"/>
  <c r="P19" i="40"/>
  <c r="O19" i="40"/>
  <c r="N19" i="40"/>
  <c r="S18" i="40"/>
  <c r="P18" i="40"/>
  <c r="O18" i="40"/>
  <c r="N18" i="40"/>
  <c r="AB17" i="40"/>
  <c r="S17" i="40"/>
  <c r="P17" i="40"/>
  <c r="O17" i="40"/>
  <c r="N17" i="40"/>
  <c r="S16" i="40"/>
  <c r="P16" i="40"/>
  <c r="O16" i="40"/>
  <c r="N16" i="40"/>
  <c r="AB15" i="40"/>
  <c r="S15" i="40"/>
  <c r="P15" i="40"/>
  <c r="O15" i="40"/>
  <c r="N15" i="40"/>
  <c r="S14" i="40"/>
  <c r="P14" i="40"/>
  <c r="O14" i="40"/>
  <c r="N14" i="40"/>
  <c r="S13" i="40"/>
  <c r="P13" i="40"/>
  <c r="O13" i="40"/>
  <c r="N13" i="40"/>
  <c r="AB12" i="40"/>
  <c r="S12" i="40"/>
  <c r="P12" i="40"/>
  <c r="O12" i="40"/>
  <c r="N12" i="40"/>
  <c r="AB11" i="40"/>
  <c r="S11" i="40"/>
  <c r="P11" i="40"/>
  <c r="O11" i="40"/>
  <c r="N11" i="40"/>
  <c r="AB10" i="40"/>
  <c r="S10" i="40"/>
  <c r="P10" i="40"/>
  <c r="O10" i="40"/>
  <c r="N10" i="40"/>
  <c r="S9" i="40"/>
  <c r="P9" i="40"/>
  <c r="O9" i="40"/>
  <c r="N9" i="40"/>
  <c r="H5" i="40"/>
  <c r="Q5" i="39"/>
  <c r="S41" i="38" l="1"/>
  <c r="P41" i="38"/>
  <c r="O41" i="38"/>
  <c r="N41" i="38"/>
  <c r="S40" i="38"/>
  <c r="P40" i="38"/>
  <c r="O40" i="38"/>
  <c r="N40" i="38"/>
  <c r="S39" i="38"/>
  <c r="P39" i="38"/>
  <c r="O39" i="38"/>
  <c r="N39" i="38"/>
  <c r="S38" i="38"/>
  <c r="P38" i="38"/>
  <c r="O38" i="38"/>
  <c r="N38" i="38"/>
  <c r="S37" i="38"/>
  <c r="P37" i="38"/>
  <c r="O37" i="38"/>
  <c r="N37" i="38"/>
  <c r="S36" i="38"/>
  <c r="P36" i="38"/>
  <c r="O36" i="38"/>
  <c r="N36" i="38"/>
  <c r="S35" i="38"/>
  <c r="P35" i="38"/>
  <c r="O35" i="38"/>
  <c r="N35" i="38"/>
  <c r="S34" i="38"/>
  <c r="P34" i="38"/>
  <c r="O34" i="38"/>
  <c r="N34" i="38"/>
  <c r="S33" i="38"/>
  <c r="P33" i="38"/>
  <c r="O33" i="38"/>
  <c r="N33" i="38"/>
  <c r="S32" i="38"/>
  <c r="P32" i="38"/>
  <c r="O32" i="38"/>
  <c r="N32" i="38"/>
  <c r="S31" i="38"/>
  <c r="P31" i="38"/>
  <c r="O31" i="38"/>
  <c r="N31" i="38"/>
  <c r="S30" i="38"/>
  <c r="P30" i="38"/>
  <c r="O30" i="38"/>
  <c r="N30" i="38"/>
  <c r="S29" i="38"/>
  <c r="P29" i="38"/>
  <c r="O29" i="38"/>
  <c r="N29" i="38"/>
  <c r="S28" i="38"/>
  <c r="P28" i="38"/>
  <c r="O28" i="38"/>
  <c r="N28" i="38"/>
  <c r="S27" i="38"/>
  <c r="P27" i="38"/>
  <c r="O27" i="38"/>
  <c r="N27" i="38"/>
  <c r="S26" i="38"/>
  <c r="P26" i="38"/>
  <c r="O26" i="38"/>
  <c r="N26" i="38"/>
  <c r="S25" i="38"/>
  <c r="P25" i="38"/>
  <c r="O25" i="38"/>
  <c r="N25" i="38"/>
  <c r="S24" i="38"/>
  <c r="P24" i="38"/>
  <c r="O24" i="38"/>
  <c r="N24" i="38"/>
  <c r="S23" i="38"/>
  <c r="P23" i="38"/>
  <c r="O23" i="38"/>
  <c r="N23" i="38"/>
  <c r="S22" i="38"/>
  <c r="P22" i="38"/>
  <c r="O22" i="38"/>
  <c r="N22" i="38"/>
  <c r="S21" i="38"/>
  <c r="P21" i="38"/>
  <c r="O21" i="38"/>
  <c r="N21" i="38"/>
  <c r="S20" i="38"/>
  <c r="P20" i="38"/>
  <c r="O20" i="38"/>
  <c r="N20" i="38"/>
  <c r="S19" i="38"/>
  <c r="P19" i="38"/>
  <c r="O19" i="38"/>
  <c r="N19" i="38"/>
  <c r="S18" i="38"/>
  <c r="P18" i="38"/>
  <c r="O18" i="38"/>
  <c r="N18" i="38"/>
  <c r="S17" i="38"/>
  <c r="P17" i="38"/>
  <c r="O17" i="38"/>
  <c r="N17" i="38"/>
  <c r="S16" i="38"/>
  <c r="S15" i="38"/>
  <c r="S14" i="38"/>
  <c r="S13" i="38"/>
  <c r="S12" i="38"/>
  <c r="S11" i="38"/>
  <c r="S10" i="38"/>
  <c r="S9" i="38"/>
  <c r="I6" i="38"/>
  <c r="J24" i="37"/>
  <c r="J23" i="37"/>
  <c r="J22" i="37"/>
  <c r="J21" i="37"/>
  <c r="J20" i="37"/>
  <c r="J19" i="37"/>
  <c r="J18" i="37"/>
  <c r="J17" i="37"/>
  <c r="J16" i="37"/>
  <c r="J15" i="37"/>
  <c r="J14" i="37"/>
  <c r="J12" i="37"/>
  <c r="J11" i="37"/>
  <c r="J9" i="37"/>
  <c r="J5" i="37"/>
  <c r="S67" i="36"/>
  <c r="P67" i="36"/>
  <c r="O67" i="36"/>
  <c r="N67" i="36"/>
  <c r="S66" i="36"/>
  <c r="P66" i="36"/>
  <c r="O66" i="36"/>
  <c r="N66" i="36"/>
  <c r="S65" i="36"/>
  <c r="P65" i="36"/>
  <c r="O65" i="36"/>
  <c r="N65" i="36"/>
  <c r="S64" i="36"/>
  <c r="P64" i="36"/>
  <c r="O64" i="36"/>
  <c r="N64" i="36"/>
  <c r="S63" i="36"/>
  <c r="P63" i="36"/>
  <c r="O63" i="36"/>
  <c r="N63" i="36"/>
  <c r="S62" i="36"/>
  <c r="P62" i="36"/>
  <c r="O62" i="36"/>
  <c r="N62" i="36"/>
  <c r="S61" i="36"/>
  <c r="P61" i="36"/>
  <c r="O61" i="36"/>
  <c r="N61" i="36"/>
  <c r="S60" i="36"/>
  <c r="P60" i="36"/>
  <c r="O60" i="36"/>
  <c r="N60" i="36"/>
  <c r="S59" i="36"/>
  <c r="P59" i="36"/>
  <c r="O59" i="36"/>
  <c r="N59" i="36"/>
  <c r="S58" i="36"/>
  <c r="P58" i="36"/>
  <c r="O58" i="36"/>
  <c r="N58" i="36"/>
  <c r="S57" i="36"/>
  <c r="P57" i="36"/>
  <c r="O57" i="36"/>
  <c r="N57" i="36"/>
  <c r="S56" i="36"/>
  <c r="P56" i="36"/>
  <c r="O56" i="36"/>
  <c r="N56" i="36"/>
  <c r="S55" i="36"/>
  <c r="P55" i="36"/>
  <c r="O55" i="36"/>
  <c r="N55" i="36"/>
  <c r="S54" i="36"/>
  <c r="P54" i="36"/>
  <c r="O54" i="36"/>
  <c r="N54" i="36"/>
  <c r="S53" i="36"/>
  <c r="P53" i="36"/>
  <c r="O53" i="36"/>
  <c r="N53" i="36"/>
  <c r="S52" i="36"/>
  <c r="P52" i="36"/>
  <c r="O52" i="36"/>
  <c r="N52" i="36"/>
  <c r="S51" i="36"/>
  <c r="P51" i="36"/>
  <c r="O51" i="36"/>
  <c r="N51" i="36"/>
  <c r="S50" i="36"/>
  <c r="P50" i="36"/>
  <c r="O50" i="36"/>
  <c r="N50" i="36"/>
  <c r="S49" i="36"/>
  <c r="P49" i="36"/>
  <c r="O49" i="36"/>
  <c r="N49" i="36"/>
  <c r="S48" i="36"/>
  <c r="P48" i="36"/>
  <c r="O48" i="36"/>
  <c r="N48" i="36"/>
  <c r="S47" i="36"/>
  <c r="P47" i="36"/>
  <c r="O47" i="36"/>
  <c r="N47" i="36"/>
  <c r="S46" i="36"/>
  <c r="P46" i="36"/>
  <c r="O46" i="36"/>
  <c r="N46" i="36"/>
  <c r="S45" i="36"/>
  <c r="P45" i="36"/>
  <c r="O45" i="36"/>
  <c r="N45" i="36"/>
  <c r="S44" i="36"/>
  <c r="P44" i="36"/>
  <c r="O44" i="36"/>
  <c r="N44" i="36"/>
  <c r="S43" i="36"/>
  <c r="P43" i="36"/>
  <c r="O43" i="36"/>
  <c r="N43" i="36"/>
  <c r="S42" i="36"/>
  <c r="P42" i="36"/>
  <c r="O42" i="36"/>
  <c r="N42" i="36"/>
  <c r="S41" i="36"/>
  <c r="P41" i="36"/>
  <c r="O41" i="36"/>
  <c r="N41" i="36"/>
  <c r="S40" i="36"/>
  <c r="P40" i="36"/>
  <c r="O40" i="36"/>
  <c r="N40" i="36"/>
  <c r="S39" i="36"/>
  <c r="P39" i="36"/>
  <c r="O39" i="36"/>
  <c r="N39" i="36"/>
  <c r="S38" i="36"/>
  <c r="P38" i="36"/>
  <c r="O38" i="36"/>
  <c r="N38" i="36"/>
  <c r="S37" i="36"/>
  <c r="P37" i="36"/>
  <c r="O37" i="36"/>
  <c r="N37" i="36"/>
  <c r="S36" i="36"/>
  <c r="P36" i="36"/>
  <c r="O36" i="36"/>
  <c r="N36" i="36"/>
  <c r="S35" i="36"/>
  <c r="P35" i="36"/>
  <c r="O35" i="36"/>
  <c r="N35" i="36"/>
  <c r="S34" i="36"/>
  <c r="P34" i="36"/>
  <c r="O34" i="36"/>
  <c r="N34" i="36"/>
  <c r="S33" i="36"/>
  <c r="P33" i="36"/>
  <c r="O33" i="36"/>
  <c r="N33" i="36"/>
  <c r="S32" i="36"/>
  <c r="P32" i="36"/>
  <c r="O32" i="36"/>
  <c r="N32" i="36"/>
  <c r="S31" i="36"/>
  <c r="P31" i="36"/>
  <c r="O31" i="36"/>
  <c r="N31" i="36"/>
  <c r="S30" i="36"/>
  <c r="P30" i="36"/>
  <c r="O30" i="36"/>
  <c r="N30" i="36"/>
  <c r="S29" i="36"/>
  <c r="P29" i="36"/>
  <c r="O29" i="36"/>
  <c r="N29" i="36"/>
  <c r="S28" i="36"/>
  <c r="P28" i="36"/>
  <c r="O28" i="36"/>
  <c r="N28" i="36"/>
  <c r="S27" i="36"/>
  <c r="P27" i="36"/>
  <c r="O27" i="36"/>
  <c r="N27" i="36"/>
  <c r="S26" i="36"/>
  <c r="P26" i="36"/>
  <c r="O26" i="36"/>
  <c r="N26" i="36"/>
  <c r="S25" i="36"/>
  <c r="P25" i="36"/>
  <c r="O25" i="36"/>
  <c r="N25" i="36"/>
  <c r="S24" i="36"/>
  <c r="P24" i="36"/>
  <c r="O24" i="36"/>
  <c r="N24" i="36"/>
  <c r="S23" i="36"/>
  <c r="P23" i="36"/>
  <c r="O23" i="36"/>
  <c r="N23" i="36"/>
  <c r="S22" i="36"/>
  <c r="P22" i="36"/>
  <c r="O22" i="36"/>
  <c r="N22" i="36"/>
  <c r="S21" i="36"/>
  <c r="P21" i="36"/>
  <c r="O21" i="36"/>
  <c r="N21" i="36"/>
  <c r="S20" i="36"/>
  <c r="P20" i="36"/>
  <c r="O20" i="36"/>
  <c r="N20" i="36"/>
  <c r="S19" i="36"/>
  <c r="P19" i="36"/>
  <c r="O19" i="36"/>
  <c r="N19" i="36"/>
  <c r="S18" i="36"/>
  <c r="P18" i="36"/>
  <c r="O18" i="36"/>
  <c r="N18" i="36"/>
  <c r="S17" i="36"/>
  <c r="P17" i="36"/>
  <c r="O17" i="36"/>
  <c r="N17" i="36"/>
  <c r="S16" i="36"/>
  <c r="P16" i="36"/>
  <c r="O16" i="36"/>
  <c r="N16" i="36"/>
  <c r="S15" i="36"/>
  <c r="P15" i="36"/>
  <c r="O15" i="36"/>
  <c r="N15" i="36"/>
  <c r="S14" i="36"/>
  <c r="P14" i="36"/>
  <c r="O14" i="36"/>
  <c r="N14" i="36"/>
  <c r="S13" i="36"/>
  <c r="P13" i="36"/>
  <c r="O13" i="36"/>
  <c r="N13" i="36"/>
  <c r="S12" i="36"/>
  <c r="P12" i="36"/>
  <c r="O12" i="36"/>
  <c r="N12" i="36"/>
  <c r="S11" i="36"/>
  <c r="P11" i="36"/>
  <c r="O11" i="36"/>
  <c r="N11" i="36"/>
  <c r="S10" i="36"/>
  <c r="P10" i="36"/>
  <c r="O10" i="36"/>
  <c r="N10" i="36"/>
  <c r="S9" i="36"/>
  <c r="P9" i="36"/>
  <c r="O9" i="36"/>
  <c r="N9" i="36"/>
  <c r="J17" i="35"/>
  <c r="I17" i="35"/>
  <c r="J16" i="35"/>
  <c r="I16" i="35"/>
  <c r="J14" i="35"/>
  <c r="I14" i="35"/>
  <c r="J13" i="35"/>
  <c r="I13" i="35"/>
  <c r="J10" i="35"/>
  <c r="I10" i="35"/>
  <c r="J9" i="35"/>
  <c r="I9" i="35"/>
  <c r="S37" i="34" l="1"/>
  <c r="P37" i="34"/>
  <c r="N37" i="34"/>
  <c r="L37" i="34"/>
  <c r="O37" i="34" s="1"/>
  <c r="AB36" i="34"/>
  <c r="S36" i="34"/>
  <c r="P36" i="34"/>
  <c r="O36" i="34"/>
  <c r="N36" i="34"/>
  <c r="Q35" i="34"/>
  <c r="S35" i="34" s="1"/>
  <c r="P35" i="34"/>
  <c r="K35" i="34"/>
  <c r="N35" i="34" s="1"/>
  <c r="O35" i="34" s="1"/>
  <c r="J35" i="34"/>
  <c r="AB34" i="34"/>
  <c r="S34" i="34"/>
  <c r="P34" i="34"/>
  <c r="O34" i="34"/>
  <c r="S33" i="34"/>
  <c r="P33" i="34"/>
  <c r="O33" i="34"/>
  <c r="R32" i="34"/>
  <c r="Q32" i="34"/>
  <c r="S32" i="34" s="1"/>
  <c r="P32" i="34"/>
  <c r="O32" i="34"/>
  <c r="N32" i="34"/>
  <c r="J32" i="34"/>
  <c r="Y30" i="34"/>
  <c r="S30" i="34"/>
  <c r="N30" i="34"/>
  <c r="AB29" i="34"/>
  <c r="S29" i="34"/>
  <c r="P29" i="34"/>
  <c r="N29" i="34"/>
  <c r="R28" i="34"/>
  <c r="S28" i="34" s="1"/>
  <c r="O28" i="34"/>
  <c r="N28" i="34"/>
  <c r="J28" i="34"/>
  <c r="P28" i="34" s="1"/>
  <c r="AA27" i="34"/>
  <c r="S27" i="34"/>
  <c r="P27" i="34"/>
  <c r="O27" i="34"/>
  <c r="N27" i="34"/>
  <c r="S26" i="34"/>
  <c r="P26" i="34"/>
  <c r="O26" i="34"/>
  <c r="N26" i="34"/>
  <c r="AB25" i="34"/>
  <c r="S25" i="34"/>
  <c r="P25" i="34"/>
  <c r="O25" i="34"/>
  <c r="N25" i="34"/>
  <c r="AC24" i="34"/>
  <c r="AB24" i="34"/>
  <c r="S24" i="34"/>
  <c r="P24" i="34"/>
  <c r="O24" i="34"/>
  <c r="N24" i="34"/>
  <c r="R23" i="34"/>
  <c r="S23" i="34" s="1"/>
  <c r="P23" i="34"/>
  <c r="O23" i="34"/>
  <c r="N23" i="34"/>
  <c r="J23" i="34"/>
  <c r="AB22" i="34"/>
  <c r="S22" i="34"/>
  <c r="P22" i="34"/>
  <c r="O22" i="34"/>
  <c r="N22" i="34"/>
  <c r="S21" i="34"/>
  <c r="P21" i="34"/>
  <c r="O21" i="34"/>
  <c r="N21" i="34"/>
  <c r="AC20" i="34"/>
  <c r="AB20" i="34"/>
  <c r="S20" i="34"/>
  <c r="P20" i="34"/>
  <c r="O20" i="34"/>
  <c r="N20" i="34"/>
  <c r="AC19" i="34"/>
  <c r="S19" i="34"/>
  <c r="P19" i="34"/>
  <c r="O19" i="34"/>
  <c r="N19" i="34"/>
  <c r="R18" i="34"/>
  <c r="S18" i="34" s="1"/>
  <c r="O18" i="34"/>
  <c r="N18" i="34"/>
  <c r="J18" i="34"/>
  <c r="P18" i="34" s="1"/>
  <c r="I18" i="34"/>
  <c r="S17" i="34"/>
  <c r="P17" i="34"/>
  <c r="O17" i="34"/>
  <c r="N17" i="34"/>
  <c r="S15" i="34"/>
  <c r="P15" i="34"/>
  <c r="O15" i="34"/>
  <c r="N15" i="34"/>
  <c r="S14" i="34"/>
  <c r="P14" i="34"/>
  <c r="O14" i="34"/>
  <c r="N14" i="34"/>
  <c r="S13" i="34"/>
  <c r="P13" i="34"/>
  <c r="O13" i="34"/>
  <c r="N13" i="34"/>
  <c r="S12" i="34"/>
  <c r="P12" i="34"/>
  <c r="O12" i="34"/>
  <c r="N12" i="34"/>
  <c r="S11" i="34"/>
  <c r="P11" i="34"/>
  <c r="O11" i="34"/>
  <c r="N11" i="34"/>
  <c r="AC10" i="34"/>
  <c r="S10" i="34"/>
  <c r="P10" i="34"/>
  <c r="O10" i="34"/>
  <c r="N10" i="34"/>
  <c r="R9" i="34"/>
  <c r="R40" i="34" s="1"/>
  <c r="O9" i="34"/>
  <c r="N9" i="34"/>
  <c r="N40" i="34" s="1"/>
  <c r="J9" i="34"/>
  <c r="P9" i="34" s="1"/>
  <c r="J19" i="33"/>
  <c r="J17" i="33"/>
  <c r="J16" i="33"/>
  <c r="J15" i="33"/>
  <c r="J13" i="33"/>
  <c r="J12" i="33"/>
  <c r="I12" i="33"/>
  <c r="J11" i="33"/>
  <c r="J10" i="33"/>
  <c r="J9" i="33"/>
  <c r="M5" i="33"/>
  <c r="H80" i="32"/>
  <c r="G80" i="32"/>
  <c r="F80" i="32"/>
  <c r="E80" i="32"/>
  <c r="D80" i="32"/>
  <c r="C80" i="32"/>
  <c r="B80" i="32"/>
  <c r="A80" i="32"/>
  <c r="S27" i="32"/>
  <c r="P27" i="32"/>
  <c r="O27" i="32"/>
  <c r="N27" i="32"/>
  <c r="S26" i="32"/>
  <c r="P26" i="32"/>
  <c r="O26" i="32"/>
  <c r="N26" i="32"/>
  <c r="S25" i="32"/>
  <c r="P25" i="32"/>
  <c r="O25" i="32"/>
  <c r="N25" i="32"/>
  <c r="P24" i="32"/>
  <c r="O24" i="32"/>
  <c r="N24" i="32"/>
  <c r="S23" i="32"/>
  <c r="P23" i="32"/>
  <c r="O23" i="32"/>
  <c r="N23" i="32"/>
  <c r="S22" i="32"/>
  <c r="P22" i="32"/>
  <c r="O22" i="32"/>
  <c r="N22" i="32"/>
  <c r="S21" i="32"/>
  <c r="P21" i="32"/>
  <c r="O21" i="32"/>
  <c r="N21" i="32"/>
  <c r="S20" i="32"/>
  <c r="P20" i="32"/>
  <c r="O20" i="32"/>
  <c r="N20" i="32"/>
  <c r="S19" i="32"/>
  <c r="P19" i="32"/>
  <c r="O19" i="32"/>
  <c r="N19" i="32"/>
  <c r="S18" i="32"/>
  <c r="P18" i="32"/>
  <c r="O18" i="32"/>
  <c r="N18" i="32"/>
  <c r="S17" i="32"/>
  <c r="P17" i="32"/>
  <c r="O17" i="32"/>
  <c r="N17" i="32"/>
  <c r="S16" i="32"/>
  <c r="P16" i="32"/>
  <c r="O16" i="32"/>
  <c r="N16" i="32"/>
  <c r="S15" i="32"/>
  <c r="P15" i="32"/>
  <c r="O15" i="32"/>
  <c r="N15" i="32"/>
  <c r="S14" i="32"/>
  <c r="P14" i="32"/>
  <c r="O14" i="32"/>
  <c r="N14" i="32"/>
  <c r="S13" i="32"/>
  <c r="P13" i="32"/>
  <c r="O13" i="32"/>
  <c r="N13" i="32"/>
  <c r="S12" i="32"/>
  <c r="P12" i="32"/>
  <c r="O12" i="32"/>
  <c r="N12" i="32"/>
  <c r="S11" i="32"/>
  <c r="P11" i="32"/>
  <c r="O11" i="32"/>
  <c r="N11" i="32"/>
  <c r="S10" i="32"/>
  <c r="P10" i="32"/>
  <c r="O10" i="32"/>
  <c r="N10" i="32"/>
  <c r="S9" i="32"/>
  <c r="P9" i="32"/>
  <c r="O9" i="32"/>
  <c r="N9" i="32"/>
  <c r="Q5" i="31"/>
  <c r="Q40" i="34" l="1"/>
  <c r="S9" i="34"/>
  <c r="L35" i="34"/>
  <c r="S27" i="30"/>
  <c r="P27" i="30"/>
  <c r="O27" i="30"/>
  <c r="S26" i="30"/>
  <c r="P26" i="30"/>
  <c r="O26" i="30"/>
  <c r="N26" i="30"/>
  <c r="S25" i="30"/>
  <c r="P25" i="30"/>
  <c r="O25" i="30"/>
  <c r="N25" i="30"/>
  <c r="S24" i="30"/>
  <c r="P24" i="30"/>
  <c r="O24" i="30"/>
  <c r="N24" i="30"/>
  <c r="S23" i="30"/>
  <c r="P23" i="30"/>
  <c r="O23" i="30"/>
  <c r="N23" i="30"/>
  <c r="S22" i="30"/>
  <c r="P22" i="30"/>
  <c r="O22" i="30"/>
  <c r="N22" i="30"/>
  <c r="S21" i="30"/>
  <c r="P21" i="30"/>
  <c r="O21" i="30"/>
  <c r="N21" i="30"/>
  <c r="S20" i="30"/>
  <c r="P20" i="30"/>
  <c r="O20" i="30"/>
  <c r="N20" i="30"/>
  <c r="S19" i="30"/>
  <c r="P19" i="30"/>
  <c r="O19" i="30"/>
  <c r="N19" i="30"/>
  <c r="S18" i="30"/>
  <c r="P18" i="30"/>
  <c r="O18" i="30"/>
  <c r="N18" i="30"/>
  <c r="S17" i="30"/>
  <c r="P17" i="30"/>
  <c r="O17" i="30"/>
  <c r="N17" i="30"/>
  <c r="S16" i="30"/>
  <c r="P16" i="30"/>
  <c r="O16" i="30"/>
  <c r="N16" i="30"/>
  <c r="S15" i="30"/>
  <c r="P15" i="30"/>
  <c r="O15" i="30"/>
  <c r="N15" i="30"/>
  <c r="S14" i="30"/>
  <c r="P14" i="30"/>
  <c r="O14" i="30"/>
  <c r="N14" i="30"/>
  <c r="S13" i="30"/>
  <c r="P13" i="30"/>
  <c r="O13" i="30"/>
  <c r="N13" i="30"/>
  <c r="S12" i="30"/>
  <c r="P12" i="30"/>
  <c r="O12" i="30"/>
  <c r="N12" i="30"/>
  <c r="S11" i="30"/>
  <c r="P11" i="30"/>
  <c r="O11" i="30"/>
  <c r="N11" i="30"/>
  <c r="S10" i="30"/>
  <c r="P10" i="30"/>
  <c r="O10" i="30"/>
  <c r="N10" i="30"/>
  <c r="S9" i="30"/>
  <c r="P9" i="30"/>
  <c r="O9" i="30"/>
  <c r="N9" i="30"/>
  <c r="M5" i="29"/>
  <c r="S56" i="28" l="1"/>
  <c r="P56" i="28"/>
  <c r="O56" i="28"/>
  <c r="N56" i="28"/>
  <c r="S55" i="28"/>
  <c r="P55" i="28"/>
  <c r="O55" i="28"/>
  <c r="N55" i="28"/>
  <c r="S54" i="28"/>
  <c r="P54" i="28"/>
  <c r="O54" i="28"/>
  <c r="N54" i="28"/>
  <c r="Z53" i="28"/>
  <c r="S53" i="28"/>
  <c r="P53" i="28"/>
  <c r="O53" i="28"/>
  <c r="N53" i="28"/>
  <c r="S52" i="28"/>
  <c r="P52" i="28"/>
  <c r="O52" i="28"/>
  <c r="N52" i="28"/>
  <c r="S51" i="28"/>
  <c r="P51" i="28"/>
  <c r="O51" i="28"/>
  <c r="N51" i="28"/>
  <c r="S50" i="28"/>
  <c r="P50" i="28"/>
  <c r="O50" i="28"/>
  <c r="N50" i="28"/>
  <c r="S49" i="28"/>
  <c r="P49" i="28"/>
  <c r="O49" i="28"/>
  <c r="N49" i="28"/>
  <c r="S48" i="28"/>
  <c r="P48" i="28"/>
  <c r="O48" i="28"/>
  <c r="N48" i="28"/>
  <c r="S47" i="28"/>
  <c r="P47" i="28"/>
  <c r="O47" i="28"/>
  <c r="N47" i="28"/>
  <c r="S46" i="28"/>
  <c r="P46" i="28"/>
  <c r="O46" i="28"/>
  <c r="N46" i="28"/>
  <c r="S45" i="28"/>
  <c r="P45" i="28"/>
  <c r="O45" i="28"/>
  <c r="N45" i="28"/>
  <c r="S44" i="28"/>
  <c r="P44" i="28"/>
  <c r="O44" i="28"/>
  <c r="N44" i="28"/>
  <c r="S43" i="28"/>
  <c r="P43" i="28"/>
  <c r="O43" i="28"/>
  <c r="N43" i="28"/>
  <c r="S42" i="28"/>
  <c r="P42" i="28"/>
  <c r="O42" i="28"/>
  <c r="N42" i="28"/>
  <c r="S41" i="28"/>
  <c r="P41" i="28"/>
  <c r="O41" i="28"/>
  <c r="N41" i="28"/>
  <c r="S40" i="28"/>
  <c r="P40" i="28"/>
  <c r="O40" i="28"/>
  <c r="N40" i="28"/>
  <c r="S39" i="28"/>
  <c r="P39" i="28"/>
  <c r="O39" i="28"/>
  <c r="N39" i="28"/>
  <c r="S38" i="28"/>
  <c r="P38" i="28"/>
  <c r="O38" i="28"/>
  <c r="N38" i="28"/>
  <c r="S37" i="28"/>
  <c r="P37" i="28"/>
  <c r="O37" i="28"/>
  <c r="N37" i="28"/>
  <c r="S36" i="28"/>
  <c r="P36" i="28"/>
  <c r="O36" i="28"/>
  <c r="N36" i="28"/>
  <c r="R35" i="28"/>
  <c r="S35" i="28" s="1"/>
  <c r="O35" i="28"/>
  <c r="N35" i="28"/>
  <c r="M35" i="28"/>
  <c r="P35" i="28" s="1"/>
  <c r="AC34" i="28"/>
  <c r="S34" i="28"/>
  <c r="P34" i="28"/>
  <c r="O34" i="28"/>
  <c r="N34" i="28"/>
  <c r="S33" i="28"/>
  <c r="P33" i="28"/>
  <c r="O33" i="28"/>
  <c r="N33" i="28"/>
  <c r="S32" i="28"/>
  <c r="P32" i="28"/>
  <c r="O32" i="28"/>
  <c r="N32" i="28"/>
  <c r="R31" i="28"/>
  <c r="S31" i="28" s="1"/>
  <c r="P31" i="28"/>
  <c r="O31" i="28"/>
  <c r="N31" i="28"/>
  <c r="M31" i="28"/>
  <c r="S30" i="28"/>
  <c r="P30" i="28"/>
  <c r="O30" i="28"/>
  <c r="N30" i="28"/>
  <c r="S29" i="28"/>
  <c r="P29" i="28"/>
  <c r="O29" i="28"/>
  <c r="N29" i="28"/>
  <c r="S28" i="28"/>
  <c r="P28" i="28"/>
  <c r="O28" i="28"/>
  <c r="N28" i="28"/>
  <c r="S27" i="28"/>
  <c r="P27" i="28"/>
  <c r="O27" i="28"/>
  <c r="N27" i="28"/>
  <c r="S26" i="28"/>
  <c r="P26" i="28"/>
  <c r="O26" i="28"/>
  <c r="N26" i="28"/>
  <c r="S25" i="28"/>
  <c r="P25" i="28"/>
  <c r="O25" i="28"/>
  <c r="N25" i="28"/>
  <c r="S24" i="28"/>
  <c r="P24" i="28"/>
  <c r="O24" i="28"/>
  <c r="N24" i="28"/>
  <c r="S23" i="28"/>
  <c r="R23" i="28"/>
  <c r="O23" i="28"/>
  <c r="N23" i="28"/>
  <c r="M23" i="28"/>
  <c r="P23" i="28" s="1"/>
  <c r="S22" i="28"/>
  <c r="P22" i="28"/>
  <c r="O22" i="28"/>
  <c r="N22" i="28"/>
  <c r="S21" i="28"/>
  <c r="P21" i="28"/>
  <c r="O21" i="28"/>
  <c r="N21" i="28"/>
  <c r="S20" i="28"/>
  <c r="P20" i="28"/>
  <c r="O20" i="28"/>
  <c r="N20" i="28"/>
  <c r="Z19" i="28"/>
  <c r="S19" i="28"/>
  <c r="P19" i="28"/>
  <c r="O19" i="28"/>
  <c r="N19" i="28"/>
  <c r="Z18" i="28"/>
  <c r="S18" i="28"/>
  <c r="P18" i="28"/>
  <c r="O18" i="28"/>
  <c r="N18" i="28"/>
  <c r="S17" i="28"/>
  <c r="P17" i="28"/>
  <c r="O17" i="28"/>
  <c r="N17" i="28"/>
  <c r="Z16" i="28"/>
  <c r="S16" i="28"/>
  <c r="P16" i="28"/>
  <c r="O16" i="28"/>
  <c r="N16" i="28"/>
  <c r="Z15" i="28"/>
  <c r="S15" i="28"/>
  <c r="P15" i="28"/>
  <c r="O15" i="28"/>
  <c r="N15" i="28"/>
  <c r="Z14" i="28"/>
  <c r="R14" i="28"/>
  <c r="S14" i="28" s="1"/>
  <c r="P14" i="28"/>
  <c r="O14" i="28"/>
  <c r="N14" i="28"/>
  <c r="S13" i="28"/>
  <c r="P13" i="28"/>
  <c r="O13" i="28"/>
  <c r="N13" i="28"/>
  <c r="S12" i="28"/>
  <c r="P12" i="28"/>
  <c r="O12" i="28"/>
  <c r="N12" i="28"/>
  <c r="S11" i="28"/>
  <c r="P11" i="28"/>
  <c r="O11" i="28"/>
  <c r="N11" i="28"/>
  <c r="S10" i="28"/>
  <c r="P10" i="28"/>
  <c r="O10" i="28"/>
  <c r="N10" i="28"/>
  <c r="S9" i="28"/>
  <c r="P9" i="28"/>
  <c r="O9" i="28"/>
  <c r="N9" i="28"/>
  <c r="H5" i="28"/>
  <c r="P25" i="27"/>
  <c r="P20" i="27"/>
  <c r="P14" i="27"/>
  <c r="AC29" i="26" l="1"/>
  <c r="S29" i="26"/>
  <c r="P29" i="26"/>
  <c r="O29" i="26"/>
  <c r="N29" i="26"/>
  <c r="AC28" i="26"/>
  <c r="Z28" i="26"/>
  <c r="S28" i="26"/>
  <c r="P28" i="26"/>
  <c r="O28" i="26"/>
  <c r="N28" i="26"/>
  <c r="AC27" i="26"/>
  <c r="Z27" i="26"/>
  <c r="S27" i="26"/>
  <c r="P27" i="26"/>
  <c r="O27" i="26"/>
  <c r="N27" i="26"/>
  <c r="S26" i="26"/>
  <c r="P26" i="26"/>
  <c r="K26" i="26"/>
  <c r="N26" i="26" s="1"/>
  <c r="AC25" i="26"/>
  <c r="Y25" i="26"/>
  <c r="AC24" i="26"/>
  <c r="AC23" i="26"/>
  <c r="AC22" i="26"/>
  <c r="V22" i="26"/>
  <c r="AC21" i="26"/>
  <c r="AC20" i="26"/>
  <c r="Y20" i="26"/>
  <c r="AC19" i="26"/>
  <c r="Z19" i="26"/>
  <c r="AC18" i="26"/>
  <c r="Z18" i="26"/>
  <c r="AC17" i="26"/>
  <c r="Z17" i="26"/>
  <c r="AC16" i="26"/>
  <c r="Z16" i="26"/>
  <c r="AC15" i="26"/>
  <c r="AC14" i="26"/>
  <c r="AC11" i="26"/>
  <c r="Z11" i="26"/>
  <c r="AC10" i="26"/>
  <c r="Z10" i="26"/>
  <c r="S10" i="26"/>
  <c r="P10" i="26"/>
  <c r="O10" i="26"/>
  <c r="N10" i="26"/>
  <c r="S9" i="26"/>
  <c r="P9" i="26"/>
  <c r="O9" i="26"/>
  <c r="N9" i="26"/>
  <c r="J13" i="25"/>
  <c r="J10" i="25"/>
  <c r="J9" i="25"/>
  <c r="L26" i="26" l="1"/>
  <c r="O26" i="26" s="1"/>
  <c r="S89" i="24"/>
  <c r="P89" i="24"/>
  <c r="O89" i="24"/>
  <c r="N89" i="24"/>
  <c r="S88" i="24"/>
  <c r="P88" i="24"/>
  <c r="O88" i="24"/>
  <c r="N88" i="24"/>
  <c r="S87" i="24"/>
  <c r="P87" i="24"/>
  <c r="O87" i="24"/>
  <c r="N87" i="24"/>
  <c r="S86" i="24"/>
  <c r="P86" i="24"/>
  <c r="O86" i="24"/>
  <c r="N86" i="24"/>
  <c r="S85" i="24"/>
  <c r="P85" i="24"/>
  <c r="O85" i="24"/>
  <c r="N85" i="24"/>
  <c r="I85" i="24"/>
  <c r="S84" i="24"/>
  <c r="P84" i="24"/>
  <c r="O84" i="24"/>
  <c r="N84" i="24"/>
  <c r="S83" i="24"/>
  <c r="P83" i="24"/>
  <c r="O83" i="24"/>
  <c r="N83" i="24"/>
  <c r="S82" i="24"/>
  <c r="P82" i="24"/>
  <c r="N82" i="24"/>
  <c r="I82" i="24"/>
  <c r="O82" i="24" s="1"/>
  <c r="S81" i="24"/>
  <c r="P81" i="24"/>
  <c r="O81" i="24"/>
  <c r="N81" i="24"/>
  <c r="S80" i="24"/>
  <c r="P80" i="24"/>
  <c r="O80" i="24"/>
  <c r="N80" i="24"/>
  <c r="S79" i="24"/>
  <c r="P79" i="24"/>
  <c r="O79" i="24"/>
  <c r="N79" i="24"/>
  <c r="S78" i="24"/>
  <c r="P78" i="24"/>
  <c r="O78" i="24"/>
  <c r="N78" i="24"/>
  <c r="S77" i="24"/>
  <c r="P77" i="24"/>
  <c r="O77" i="24"/>
  <c r="N77" i="24"/>
  <c r="S76" i="24"/>
  <c r="P76" i="24"/>
  <c r="N76" i="24"/>
  <c r="I76" i="24"/>
  <c r="O76" i="24" s="1"/>
  <c r="S75" i="24"/>
  <c r="P75" i="24"/>
  <c r="O75" i="24"/>
  <c r="N75" i="24"/>
  <c r="S74" i="24"/>
  <c r="P74" i="24"/>
  <c r="O74" i="24"/>
  <c r="N74" i="24"/>
  <c r="S73" i="24"/>
  <c r="P73" i="24"/>
  <c r="O73" i="24"/>
  <c r="N73" i="24"/>
  <c r="S72" i="24"/>
  <c r="P72" i="24"/>
  <c r="O72" i="24"/>
  <c r="N72" i="24"/>
  <c r="S71" i="24"/>
  <c r="P71" i="24"/>
  <c r="O71" i="24"/>
  <c r="N71" i="24"/>
  <c r="I71" i="24"/>
  <c r="S70" i="24"/>
  <c r="P70" i="24"/>
  <c r="O70" i="24"/>
  <c r="N70" i="24"/>
  <c r="S69" i="24"/>
  <c r="P69" i="24"/>
  <c r="O69" i="24"/>
  <c r="N69" i="24"/>
  <c r="S68" i="24"/>
  <c r="P68" i="24"/>
  <c r="O68" i="24"/>
  <c r="N68" i="24"/>
  <c r="S67" i="24"/>
  <c r="P67" i="24"/>
  <c r="O67" i="24"/>
  <c r="N67" i="24"/>
  <c r="S66" i="24"/>
  <c r="P66" i="24"/>
  <c r="O66" i="24"/>
  <c r="N66" i="24"/>
  <c r="S65" i="24"/>
  <c r="P65" i="24"/>
  <c r="O65" i="24"/>
  <c r="N65" i="24"/>
  <c r="S64" i="24"/>
  <c r="P64" i="24"/>
  <c r="O64" i="24"/>
  <c r="N64" i="24"/>
  <c r="S63" i="24"/>
  <c r="P63" i="24"/>
  <c r="O63" i="24"/>
  <c r="N63" i="24"/>
  <c r="R62" i="24"/>
  <c r="S62" i="24" s="1"/>
  <c r="P62" i="24"/>
  <c r="N62" i="24"/>
  <c r="M62" i="24"/>
  <c r="I62" i="24"/>
  <c r="O62" i="24" s="1"/>
  <c r="S61" i="24"/>
  <c r="P61" i="24"/>
  <c r="O61" i="24"/>
  <c r="N61" i="24"/>
  <c r="S60" i="24"/>
  <c r="P60" i="24"/>
  <c r="O60" i="24"/>
  <c r="N60" i="24"/>
  <c r="R59" i="24"/>
  <c r="S59" i="24" s="1"/>
  <c r="P59" i="24"/>
  <c r="O59" i="24"/>
  <c r="N59" i="24"/>
  <c r="M59" i="24"/>
  <c r="S58" i="24"/>
  <c r="P58" i="24"/>
  <c r="O58" i="24"/>
  <c r="N58" i="24"/>
  <c r="S57" i="24"/>
  <c r="P57" i="24"/>
  <c r="O57" i="24"/>
  <c r="N57" i="24"/>
  <c r="S56" i="24"/>
  <c r="P56" i="24"/>
  <c r="O56" i="24"/>
  <c r="N56" i="24"/>
  <c r="S55" i="24"/>
  <c r="P55" i="24"/>
  <c r="O55" i="24"/>
  <c r="N55" i="24"/>
  <c r="M55" i="24"/>
  <c r="S54" i="24"/>
  <c r="P54" i="24"/>
  <c r="O54" i="24"/>
  <c r="N54" i="24"/>
  <c r="S53" i="24"/>
  <c r="P53" i="24"/>
  <c r="O53" i="24"/>
  <c r="N53" i="24"/>
  <c r="S52" i="24"/>
  <c r="P52" i="24"/>
  <c r="O52" i="24"/>
  <c r="N52" i="24"/>
  <c r="S51" i="24"/>
  <c r="P51" i="24"/>
  <c r="O51" i="24"/>
  <c r="N51" i="24"/>
  <c r="S50" i="24"/>
  <c r="R50" i="24"/>
  <c r="O50" i="24"/>
  <c r="N50" i="24"/>
  <c r="M50" i="24"/>
  <c r="P50" i="24" s="1"/>
  <c r="S49" i="24"/>
  <c r="P49" i="24"/>
  <c r="O49" i="24"/>
  <c r="N49" i="24"/>
  <c r="S48" i="24"/>
  <c r="P48" i="24"/>
  <c r="O48" i="24"/>
  <c r="N48" i="24"/>
  <c r="S47" i="24"/>
  <c r="P47" i="24"/>
  <c r="O47" i="24"/>
  <c r="N47" i="24"/>
  <c r="S46" i="24"/>
  <c r="P46" i="24"/>
  <c r="O46" i="24"/>
  <c r="N46" i="24"/>
  <c r="S45" i="24"/>
  <c r="P45" i="24"/>
  <c r="O45" i="24"/>
  <c r="N45" i="24"/>
  <c r="S44" i="24"/>
  <c r="P44" i="24"/>
  <c r="O44" i="24"/>
  <c r="N44" i="24"/>
  <c r="S43" i="24"/>
  <c r="P43" i="24"/>
  <c r="O43" i="24"/>
  <c r="N43" i="24"/>
  <c r="S42" i="24"/>
  <c r="P42" i="24"/>
  <c r="O42" i="24"/>
  <c r="N42" i="24"/>
  <c r="S41" i="24"/>
  <c r="P41" i="24"/>
  <c r="O41" i="24"/>
  <c r="N41" i="24"/>
  <c r="S40" i="24"/>
  <c r="P40" i="24"/>
  <c r="O40" i="24"/>
  <c r="N40" i="24"/>
  <c r="S39" i="24"/>
  <c r="P39" i="24"/>
  <c r="O39" i="24"/>
  <c r="N39" i="24"/>
  <c r="S38" i="24"/>
  <c r="P38" i="24"/>
  <c r="O38" i="24"/>
  <c r="N38" i="24"/>
  <c r="R37" i="24"/>
  <c r="S37" i="24" s="1"/>
  <c r="P37" i="24"/>
  <c r="O37" i="24"/>
  <c r="N37" i="24"/>
  <c r="M37" i="24"/>
  <c r="S36" i="24"/>
  <c r="P36" i="24"/>
  <c r="O36" i="24"/>
  <c r="N36" i="24"/>
  <c r="S35" i="24"/>
  <c r="P35" i="24"/>
  <c r="O35" i="24"/>
  <c r="N35" i="24"/>
  <c r="S34" i="24"/>
  <c r="P34" i="24"/>
  <c r="O34" i="24"/>
  <c r="N34" i="24"/>
  <c r="S33" i="24"/>
  <c r="P33" i="24"/>
  <c r="O33" i="24"/>
  <c r="N33" i="24"/>
  <c r="S32" i="24"/>
  <c r="P32" i="24"/>
  <c r="O32" i="24"/>
  <c r="N32" i="24"/>
  <c r="Z31" i="24"/>
  <c r="S31" i="24"/>
  <c r="P31" i="24"/>
  <c r="O31" i="24"/>
  <c r="N31" i="24"/>
  <c r="S30" i="24"/>
  <c r="P30" i="24"/>
  <c r="O30" i="24"/>
  <c r="N30" i="24"/>
  <c r="S29" i="24"/>
  <c r="P29" i="24"/>
  <c r="O29" i="24"/>
  <c r="N29" i="24"/>
  <c r="S28" i="24"/>
  <c r="P28" i="24"/>
  <c r="O28" i="24"/>
  <c r="N28" i="24"/>
  <c r="S27" i="24"/>
  <c r="P27" i="24"/>
  <c r="O27" i="24"/>
  <c r="N27" i="24"/>
  <c r="S26" i="24"/>
  <c r="P26" i="24"/>
  <c r="O26" i="24"/>
  <c r="N26" i="24"/>
  <c r="S25" i="24"/>
  <c r="P25" i="24"/>
  <c r="O25" i="24"/>
  <c r="N25" i="24"/>
  <c r="Z24" i="24"/>
  <c r="S24" i="24"/>
  <c r="P24" i="24"/>
  <c r="O24" i="24"/>
  <c r="N24" i="24"/>
  <c r="S23" i="24"/>
  <c r="O23" i="24"/>
  <c r="N23" i="24"/>
  <c r="S22" i="24"/>
  <c r="P22" i="24"/>
  <c r="O22" i="24"/>
  <c r="N22" i="24"/>
  <c r="S21" i="24"/>
  <c r="P21" i="24"/>
  <c r="O21" i="24"/>
  <c r="N21" i="24"/>
  <c r="S20" i="24"/>
  <c r="P20" i="24"/>
  <c r="O20" i="24"/>
  <c r="N20" i="24"/>
  <c r="S19" i="24"/>
  <c r="P19" i="24"/>
  <c r="O19" i="24"/>
  <c r="N19" i="24"/>
  <c r="S18" i="24"/>
  <c r="P18" i="24"/>
  <c r="O18" i="24"/>
  <c r="N18" i="24"/>
  <c r="S17" i="24"/>
  <c r="P17" i="24"/>
  <c r="O17" i="24"/>
  <c r="N17" i="24"/>
  <c r="S16" i="24"/>
  <c r="P16" i="24"/>
  <c r="O16" i="24"/>
  <c r="N16" i="24"/>
  <c r="S15" i="24"/>
  <c r="P15" i="24"/>
  <c r="O15" i="24"/>
  <c r="N15" i="24"/>
  <c r="S14" i="24"/>
  <c r="P14" i="24"/>
  <c r="O14" i="24"/>
  <c r="N14" i="24"/>
  <c r="S13" i="24"/>
  <c r="P13" i="24"/>
  <c r="O13" i="24"/>
  <c r="N13" i="24"/>
  <c r="S12" i="24"/>
  <c r="R12" i="24"/>
  <c r="P12" i="24"/>
  <c r="O12" i="24"/>
  <c r="N12" i="24"/>
  <c r="M12" i="24"/>
  <c r="S11" i="24"/>
  <c r="P11" i="24"/>
  <c r="O11" i="24"/>
  <c r="N11" i="24"/>
  <c r="S10" i="24"/>
  <c r="P10" i="24"/>
  <c r="O10" i="24"/>
  <c r="N10" i="24"/>
  <c r="S9" i="24"/>
  <c r="P9" i="24"/>
  <c r="N9" i="24"/>
  <c r="I9" i="24"/>
  <c r="O9" i="24" s="1"/>
  <c r="J29" i="23"/>
  <c r="I29" i="23"/>
  <c r="J27" i="23"/>
  <c r="J25" i="23"/>
  <c r="J24" i="23"/>
  <c r="I24" i="23"/>
  <c r="J23" i="23"/>
  <c r="I23" i="23"/>
  <c r="J22" i="23"/>
  <c r="I22" i="23"/>
  <c r="J20" i="23"/>
  <c r="J19" i="23"/>
  <c r="J18" i="23"/>
  <c r="J17" i="23"/>
  <c r="J16" i="23"/>
  <c r="J15" i="23"/>
  <c r="J14" i="23"/>
  <c r="J13" i="23"/>
  <c r="J12" i="23"/>
  <c r="J11" i="23"/>
  <c r="J10" i="23"/>
  <c r="J9" i="23"/>
  <c r="I9" i="23"/>
  <c r="H249" i="22" l="1"/>
  <c r="G249" i="22"/>
  <c r="F249" i="22"/>
  <c r="E249" i="22"/>
  <c r="D249" i="22"/>
  <c r="C249" i="22"/>
  <c r="B249" i="22"/>
  <c r="A249" i="22"/>
  <c r="AP248" i="22"/>
  <c r="AO248" i="22"/>
  <c r="AN248" i="22"/>
  <c r="AM248" i="22"/>
  <c r="AL248" i="22"/>
  <c r="AK248" i="22"/>
  <c r="AJ248" i="22"/>
  <c r="AI248" i="22"/>
  <c r="AH248" i="22"/>
  <c r="AG248" i="22"/>
  <c r="AF248" i="22"/>
  <c r="AE248" i="22"/>
  <c r="AA248" i="22"/>
  <c r="V248" i="22"/>
  <c r="U248" i="22"/>
  <c r="T248" i="22"/>
  <c r="S248" i="22"/>
  <c r="P248" i="22"/>
  <c r="O248" i="22"/>
  <c r="H248" i="22"/>
  <c r="N248" i="22" s="1"/>
  <c r="G248" i="22"/>
  <c r="F248" i="22"/>
  <c r="E248" i="22"/>
  <c r="D248" i="22"/>
  <c r="C248" i="22"/>
  <c r="B248" i="22"/>
  <c r="A248" i="22"/>
  <c r="AP247" i="22"/>
  <c r="AO247" i="22"/>
  <c r="AN247" i="22"/>
  <c r="AM247" i="22"/>
  <c r="AL247" i="22"/>
  <c r="AK247" i="22"/>
  <c r="AJ247" i="22"/>
  <c r="AI247" i="22"/>
  <c r="AH247" i="22"/>
  <c r="AG247" i="22"/>
  <c r="AF247" i="22"/>
  <c r="AE247" i="22"/>
  <c r="AA247" i="22"/>
  <c r="V247" i="22"/>
  <c r="U247" i="22"/>
  <c r="T247" i="22"/>
  <c r="S247" i="22"/>
  <c r="P247" i="22"/>
  <c r="O247" i="22"/>
  <c r="H247" i="22"/>
  <c r="N247" i="22" s="1"/>
  <c r="G247" i="22"/>
  <c r="F247" i="22"/>
  <c r="E247" i="22"/>
  <c r="D247" i="22"/>
  <c r="C247" i="22"/>
  <c r="B247" i="22"/>
  <c r="A247" i="22"/>
  <c r="AP246" i="22"/>
  <c r="AO246" i="22"/>
  <c r="AN246" i="22"/>
  <c r="AM246" i="22"/>
  <c r="AL246" i="22"/>
  <c r="AK246" i="22"/>
  <c r="AJ246" i="22"/>
  <c r="AI246" i="22"/>
  <c r="AH246" i="22"/>
  <c r="AG246" i="22"/>
  <c r="AF246" i="22"/>
  <c r="AE246" i="22"/>
  <c r="AA246" i="22"/>
  <c r="V246" i="22"/>
  <c r="U246" i="22"/>
  <c r="T246" i="22"/>
  <c r="S246" i="22"/>
  <c r="P246" i="22"/>
  <c r="O246" i="22"/>
  <c r="H246" i="22"/>
  <c r="N246" i="22" s="1"/>
  <c r="G246" i="22"/>
  <c r="F246" i="22"/>
  <c r="E246" i="22"/>
  <c r="D246" i="22"/>
  <c r="C246" i="22"/>
  <c r="B246" i="22"/>
  <c r="A246" i="22"/>
  <c r="AP245" i="22"/>
  <c r="AO245" i="22"/>
  <c r="AN245" i="22"/>
  <c r="AM245" i="22"/>
  <c r="AL245" i="22"/>
  <c r="AK245" i="22"/>
  <c r="AJ245" i="22"/>
  <c r="AI245" i="22"/>
  <c r="AH245" i="22"/>
  <c r="AG245" i="22"/>
  <c r="AF245" i="22"/>
  <c r="AE245" i="22"/>
  <c r="AA245" i="22"/>
  <c r="V245" i="22"/>
  <c r="U245" i="22"/>
  <c r="T245" i="22"/>
  <c r="S245" i="22"/>
  <c r="P245" i="22"/>
  <c r="O245" i="22"/>
  <c r="H245" i="22"/>
  <c r="N245" i="22" s="1"/>
  <c r="G245" i="22"/>
  <c r="F245" i="22"/>
  <c r="E245" i="22"/>
  <c r="D245" i="22"/>
  <c r="C245" i="22"/>
  <c r="B245" i="22"/>
  <c r="A245" i="22"/>
  <c r="AP244" i="22"/>
  <c r="AO244" i="22"/>
  <c r="AN244" i="22"/>
  <c r="AM244" i="22"/>
  <c r="AL244" i="22"/>
  <c r="AK244" i="22"/>
  <c r="AJ244" i="22"/>
  <c r="AI244" i="22"/>
  <c r="AH244" i="22"/>
  <c r="AG244" i="22"/>
  <c r="AF244" i="22"/>
  <c r="AE244" i="22"/>
  <c r="AA244" i="22"/>
  <c r="V244" i="22"/>
  <c r="U244" i="22"/>
  <c r="T244" i="22"/>
  <c r="S244" i="22"/>
  <c r="P244" i="22"/>
  <c r="O244" i="22"/>
  <c r="H244" i="22"/>
  <c r="N244" i="22" s="1"/>
  <c r="G244" i="22"/>
  <c r="F244" i="22"/>
  <c r="E244" i="22"/>
  <c r="D244" i="22"/>
  <c r="C244" i="22"/>
  <c r="B244" i="22"/>
  <c r="A244" i="22"/>
  <c r="AP243" i="22"/>
  <c r="AO243" i="22"/>
  <c r="AN243" i="22"/>
  <c r="AM243" i="22"/>
  <c r="AL243" i="22"/>
  <c r="AK243" i="22"/>
  <c r="AJ243" i="22"/>
  <c r="AI243" i="22"/>
  <c r="AH243" i="22"/>
  <c r="AG243" i="22"/>
  <c r="AF243" i="22"/>
  <c r="AE243" i="22"/>
  <c r="AA243" i="22"/>
  <c r="V243" i="22"/>
  <c r="U243" i="22"/>
  <c r="T243" i="22"/>
  <c r="S243" i="22"/>
  <c r="P243" i="22"/>
  <c r="O243" i="22"/>
  <c r="H243" i="22"/>
  <c r="N243" i="22" s="1"/>
  <c r="G243" i="22"/>
  <c r="F243" i="22"/>
  <c r="E243" i="22"/>
  <c r="D243" i="22"/>
  <c r="C243" i="22"/>
  <c r="B243" i="22"/>
  <c r="A243" i="22"/>
  <c r="AP242" i="22"/>
  <c r="AO242" i="22"/>
  <c r="AN242" i="22"/>
  <c r="AM242" i="22"/>
  <c r="AL242" i="22"/>
  <c r="AK242" i="22"/>
  <c r="AJ242" i="22"/>
  <c r="AI242" i="22"/>
  <c r="AH242" i="22"/>
  <c r="AG242" i="22"/>
  <c r="AF242" i="22"/>
  <c r="AE242" i="22"/>
  <c r="AA242" i="22"/>
  <c r="V242" i="22"/>
  <c r="U242" i="22"/>
  <c r="T242" i="22"/>
  <c r="S242" i="22"/>
  <c r="P242" i="22"/>
  <c r="O242" i="22"/>
  <c r="H242" i="22"/>
  <c r="N242" i="22" s="1"/>
  <c r="G242" i="22"/>
  <c r="F242" i="22"/>
  <c r="E242" i="22"/>
  <c r="D242" i="22"/>
  <c r="C242" i="22"/>
  <c r="B242" i="22"/>
  <c r="A242" i="22"/>
  <c r="AP241" i="22"/>
  <c r="AO241" i="22"/>
  <c r="AN241" i="22"/>
  <c r="AM241" i="22"/>
  <c r="AL241" i="22"/>
  <c r="AK241" i="22"/>
  <c r="AJ241" i="22"/>
  <c r="AI241" i="22"/>
  <c r="AH241" i="22"/>
  <c r="AG241" i="22"/>
  <c r="AF241" i="22"/>
  <c r="AE241" i="22"/>
  <c r="AA241" i="22"/>
  <c r="V241" i="22"/>
  <c r="U241" i="22"/>
  <c r="T241" i="22"/>
  <c r="S241" i="22"/>
  <c r="P241" i="22"/>
  <c r="O241" i="22"/>
  <c r="H241" i="22"/>
  <c r="N241" i="22" s="1"/>
  <c r="G241" i="22"/>
  <c r="F241" i="22"/>
  <c r="E241" i="22"/>
  <c r="D241" i="22"/>
  <c r="C241" i="22"/>
  <c r="B241" i="22"/>
  <c r="A241" i="22"/>
  <c r="AP240" i="22"/>
  <c r="AO240" i="22"/>
  <c r="AN240" i="22"/>
  <c r="AM240" i="22"/>
  <c r="AL240" i="22"/>
  <c r="AK240" i="22"/>
  <c r="AJ240" i="22"/>
  <c r="AI240" i="22"/>
  <c r="AH240" i="22"/>
  <c r="AG240" i="22"/>
  <c r="AF240" i="22"/>
  <c r="AE240" i="22"/>
  <c r="AA240" i="22"/>
  <c r="V240" i="22"/>
  <c r="U240" i="22"/>
  <c r="T240" i="22"/>
  <c r="S240" i="22"/>
  <c r="P240" i="22"/>
  <c r="O240" i="22"/>
  <c r="H240" i="22"/>
  <c r="N240" i="22" s="1"/>
  <c r="G240" i="22"/>
  <c r="F240" i="22"/>
  <c r="E240" i="22"/>
  <c r="D240" i="22"/>
  <c r="C240" i="22"/>
  <c r="B240" i="22"/>
  <c r="A240" i="22"/>
  <c r="AP239" i="22"/>
  <c r="AO239" i="22"/>
  <c r="AN239" i="22"/>
  <c r="AM239" i="22"/>
  <c r="AL239" i="22"/>
  <c r="AK239" i="22"/>
  <c r="AJ239" i="22"/>
  <c r="AI239" i="22"/>
  <c r="AH239" i="22"/>
  <c r="AG239" i="22"/>
  <c r="AF239" i="22"/>
  <c r="AE239" i="22"/>
  <c r="AA239" i="22"/>
  <c r="V239" i="22"/>
  <c r="U239" i="22"/>
  <c r="T239" i="22"/>
  <c r="S239" i="22"/>
  <c r="P239" i="22"/>
  <c r="O239" i="22"/>
  <c r="H239" i="22"/>
  <c r="N239" i="22" s="1"/>
  <c r="G239" i="22"/>
  <c r="F239" i="22"/>
  <c r="E239" i="22"/>
  <c r="D239" i="22"/>
  <c r="C239" i="22"/>
  <c r="B239" i="22"/>
  <c r="A239" i="22"/>
  <c r="AP238" i="22"/>
  <c r="AO238" i="22"/>
  <c r="AN238" i="22"/>
  <c r="AM238" i="22"/>
  <c r="AL238" i="22"/>
  <c r="AK238" i="22"/>
  <c r="AJ238" i="22"/>
  <c r="AI238" i="22"/>
  <c r="AH238" i="22"/>
  <c r="AG238" i="22"/>
  <c r="AF238" i="22"/>
  <c r="AE238" i="22"/>
  <c r="AA238" i="22"/>
  <c r="V238" i="22"/>
  <c r="U238" i="22"/>
  <c r="T238" i="22"/>
  <c r="S238" i="22"/>
  <c r="P238" i="22"/>
  <c r="O238" i="22"/>
  <c r="H238" i="22"/>
  <c r="N238" i="22" s="1"/>
  <c r="G238" i="22"/>
  <c r="F238" i="22"/>
  <c r="E238" i="22"/>
  <c r="D238" i="22"/>
  <c r="C238" i="22"/>
  <c r="B238" i="22"/>
  <c r="A238" i="22"/>
  <c r="AP237" i="22"/>
  <c r="AO237" i="22"/>
  <c r="AN237" i="22"/>
  <c r="AM237" i="22"/>
  <c r="AL237" i="22"/>
  <c r="AK237" i="22"/>
  <c r="AJ237" i="22"/>
  <c r="AI237" i="22"/>
  <c r="AH237" i="22"/>
  <c r="AG237" i="22"/>
  <c r="AF237" i="22"/>
  <c r="AE237" i="22"/>
  <c r="AA237" i="22"/>
  <c r="V237" i="22"/>
  <c r="U237" i="22"/>
  <c r="T237" i="22"/>
  <c r="S237" i="22"/>
  <c r="P237" i="22"/>
  <c r="O237" i="22"/>
  <c r="H237" i="22"/>
  <c r="N237" i="22" s="1"/>
  <c r="G237" i="22"/>
  <c r="F237" i="22"/>
  <c r="E237" i="22"/>
  <c r="D237" i="22"/>
  <c r="C237" i="22"/>
  <c r="B237" i="22"/>
  <c r="A237" i="22"/>
  <c r="AP236" i="22"/>
  <c r="AO236" i="22"/>
  <c r="AN236" i="22"/>
  <c r="AM236" i="22"/>
  <c r="AL236" i="22"/>
  <c r="AK236" i="22"/>
  <c r="AJ236" i="22"/>
  <c r="AI236" i="22"/>
  <c r="AH236" i="22"/>
  <c r="AG236" i="22"/>
  <c r="AF236" i="22"/>
  <c r="AE236" i="22"/>
  <c r="AA236" i="22"/>
  <c r="V236" i="22"/>
  <c r="U236" i="22"/>
  <c r="T236" i="22"/>
  <c r="S236" i="22"/>
  <c r="P236" i="22"/>
  <c r="O236" i="22"/>
  <c r="H236" i="22"/>
  <c r="N236" i="22" s="1"/>
  <c r="G236" i="22"/>
  <c r="F236" i="22"/>
  <c r="E236" i="22"/>
  <c r="D236" i="22"/>
  <c r="C236" i="22"/>
  <c r="B236" i="22"/>
  <c r="A236" i="22"/>
  <c r="AP235" i="22"/>
  <c r="AO235" i="22"/>
  <c r="AN235" i="22"/>
  <c r="AM235" i="22"/>
  <c r="AL235" i="22"/>
  <c r="AK235" i="22"/>
  <c r="AJ235" i="22"/>
  <c r="AI235" i="22"/>
  <c r="AH235" i="22"/>
  <c r="AG235" i="22"/>
  <c r="AF235" i="22"/>
  <c r="AE235" i="22"/>
  <c r="AA235" i="22"/>
  <c r="V235" i="22"/>
  <c r="U235" i="22"/>
  <c r="T235" i="22"/>
  <c r="S235" i="22"/>
  <c r="P235" i="22"/>
  <c r="O235" i="22"/>
  <c r="H235" i="22"/>
  <c r="N235" i="22" s="1"/>
  <c r="G235" i="22"/>
  <c r="F235" i="22"/>
  <c r="E235" i="22"/>
  <c r="D235" i="22"/>
  <c r="C235" i="22"/>
  <c r="B235" i="22"/>
  <c r="A235" i="22"/>
  <c r="AP234" i="22"/>
  <c r="AO234" i="22"/>
  <c r="AN234" i="22"/>
  <c r="AM234" i="22"/>
  <c r="AL234" i="22"/>
  <c r="AK234" i="22"/>
  <c r="AJ234" i="22"/>
  <c r="AI234" i="22"/>
  <c r="AH234" i="22"/>
  <c r="AG234" i="22"/>
  <c r="AF234" i="22"/>
  <c r="AE234" i="22"/>
  <c r="AA234" i="22"/>
  <c r="V234" i="22"/>
  <c r="U234" i="22"/>
  <c r="T234" i="22"/>
  <c r="S234" i="22"/>
  <c r="P234" i="22"/>
  <c r="O234" i="22"/>
  <c r="H234" i="22"/>
  <c r="N234" i="22" s="1"/>
  <c r="G234" i="22"/>
  <c r="F234" i="22"/>
  <c r="E234" i="22"/>
  <c r="D234" i="22"/>
  <c r="C234" i="22"/>
  <c r="B234" i="22"/>
  <c r="A234" i="22"/>
  <c r="AP233" i="22"/>
  <c r="AO233" i="22"/>
  <c r="AN233" i="22"/>
  <c r="AM233" i="22"/>
  <c r="AL233" i="22"/>
  <c r="AK233" i="22"/>
  <c r="AJ233" i="22"/>
  <c r="AI233" i="22"/>
  <c r="AH233" i="22"/>
  <c r="AG233" i="22"/>
  <c r="AF233" i="22"/>
  <c r="AE233" i="22"/>
  <c r="AA233" i="22"/>
  <c r="V233" i="22"/>
  <c r="U233" i="22"/>
  <c r="T233" i="22"/>
  <c r="S233" i="22"/>
  <c r="P233" i="22"/>
  <c r="O233" i="22"/>
  <c r="H233" i="22"/>
  <c r="N233" i="22" s="1"/>
  <c r="G233" i="22"/>
  <c r="F233" i="22"/>
  <c r="E233" i="22"/>
  <c r="D233" i="22"/>
  <c r="C233" i="22"/>
  <c r="B233" i="22"/>
  <c r="A233" i="22"/>
  <c r="AP232" i="22"/>
  <c r="AO232" i="22"/>
  <c r="AN232" i="22"/>
  <c r="AM232" i="22"/>
  <c r="AL232" i="22"/>
  <c r="AK232" i="22"/>
  <c r="AJ232" i="22"/>
  <c r="AI232" i="22"/>
  <c r="AH232" i="22"/>
  <c r="AG232" i="22"/>
  <c r="AF232" i="22"/>
  <c r="AE232" i="22"/>
  <c r="AA232" i="22"/>
  <c r="V232" i="22"/>
  <c r="U232" i="22"/>
  <c r="T232" i="22"/>
  <c r="S232" i="22"/>
  <c r="P232" i="22"/>
  <c r="O232" i="22"/>
  <c r="H232" i="22"/>
  <c r="N232" i="22" s="1"/>
  <c r="G232" i="22"/>
  <c r="F232" i="22"/>
  <c r="E232" i="22"/>
  <c r="D232" i="22"/>
  <c r="C232" i="22"/>
  <c r="B232" i="22"/>
  <c r="A232" i="22"/>
  <c r="AP231" i="22"/>
  <c r="AO231" i="22"/>
  <c r="AN231" i="22"/>
  <c r="AM231" i="22"/>
  <c r="AL231" i="22"/>
  <c r="AK231" i="22"/>
  <c r="AJ231" i="22"/>
  <c r="AI231" i="22"/>
  <c r="AH231" i="22"/>
  <c r="AG231" i="22"/>
  <c r="AF231" i="22"/>
  <c r="AE231" i="22"/>
  <c r="AA231" i="22"/>
  <c r="V231" i="22"/>
  <c r="U231" i="22"/>
  <c r="T231" i="22"/>
  <c r="S231" i="22"/>
  <c r="P231" i="22"/>
  <c r="O231" i="22"/>
  <c r="H231" i="22"/>
  <c r="N231" i="22" s="1"/>
  <c r="G231" i="22"/>
  <c r="F231" i="22"/>
  <c r="E231" i="22"/>
  <c r="D231" i="22"/>
  <c r="C231" i="22"/>
  <c r="B231" i="22"/>
  <c r="A231" i="22"/>
  <c r="AP230" i="22"/>
  <c r="AO230" i="22"/>
  <c r="AN230" i="22"/>
  <c r="AM230" i="22"/>
  <c r="AL230" i="22"/>
  <c r="AK230" i="22"/>
  <c r="AJ230" i="22"/>
  <c r="AI230" i="22"/>
  <c r="AH230" i="22"/>
  <c r="AG230" i="22"/>
  <c r="AF230" i="22"/>
  <c r="AE230" i="22"/>
  <c r="AA230" i="22"/>
  <c r="V230" i="22"/>
  <c r="U230" i="22"/>
  <c r="T230" i="22"/>
  <c r="S230" i="22"/>
  <c r="P230" i="22"/>
  <c r="O230" i="22"/>
  <c r="H230" i="22"/>
  <c r="N230" i="22" s="1"/>
  <c r="G230" i="22"/>
  <c r="F230" i="22"/>
  <c r="E230" i="22"/>
  <c r="D230" i="22"/>
  <c r="C230" i="22"/>
  <c r="B230" i="22"/>
  <c r="A230" i="22"/>
  <c r="AP229" i="22"/>
  <c r="AO229" i="22"/>
  <c r="AN229" i="22"/>
  <c r="AM229" i="22"/>
  <c r="AL229" i="22"/>
  <c r="AK229" i="22"/>
  <c r="AJ229" i="22"/>
  <c r="AI229" i="22"/>
  <c r="AH229" i="22"/>
  <c r="AG229" i="22"/>
  <c r="AF229" i="22"/>
  <c r="AE229" i="22"/>
  <c r="AA229" i="22"/>
  <c r="V229" i="22"/>
  <c r="U229" i="22"/>
  <c r="T229" i="22"/>
  <c r="S229" i="22"/>
  <c r="P229" i="22"/>
  <c r="O229" i="22"/>
  <c r="H229" i="22"/>
  <c r="N229" i="22" s="1"/>
  <c r="G229" i="22"/>
  <c r="F229" i="22"/>
  <c r="E229" i="22"/>
  <c r="D229" i="22"/>
  <c r="C229" i="22"/>
  <c r="B229" i="22"/>
  <c r="A229" i="22"/>
  <c r="AP228" i="22"/>
  <c r="AO228" i="22"/>
  <c r="AN228" i="22"/>
  <c r="AM228" i="22"/>
  <c r="AL228" i="22"/>
  <c r="AK228" i="22"/>
  <c r="AJ228" i="22"/>
  <c r="AI228" i="22"/>
  <c r="AH228" i="22"/>
  <c r="AG228" i="22"/>
  <c r="AF228" i="22"/>
  <c r="AE228" i="22"/>
  <c r="AA228" i="22"/>
  <c r="V228" i="22"/>
  <c r="U228" i="22"/>
  <c r="T228" i="22"/>
  <c r="S228" i="22"/>
  <c r="P228" i="22"/>
  <c r="O228" i="22"/>
  <c r="H228" i="22"/>
  <c r="N228" i="22" s="1"/>
  <c r="G228" i="22"/>
  <c r="F228" i="22"/>
  <c r="E228" i="22"/>
  <c r="D228" i="22"/>
  <c r="C228" i="22"/>
  <c r="B228" i="22"/>
  <c r="A228" i="22"/>
  <c r="AP227" i="22"/>
  <c r="AO227" i="22"/>
  <c r="AN227" i="22"/>
  <c r="AM227" i="22"/>
  <c r="AL227" i="22"/>
  <c r="AK227" i="22"/>
  <c r="AJ227" i="22"/>
  <c r="AI227" i="22"/>
  <c r="AH227" i="22"/>
  <c r="AG227" i="22"/>
  <c r="AF227" i="22"/>
  <c r="AE227" i="22"/>
  <c r="AA227" i="22"/>
  <c r="V227" i="22"/>
  <c r="U227" i="22"/>
  <c r="T227" i="22"/>
  <c r="S227" i="22"/>
  <c r="P227" i="22"/>
  <c r="O227" i="22"/>
  <c r="H227" i="22"/>
  <c r="N227" i="22" s="1"/>
  <c r="G227" i="22"/>
  <c r="F227" i="22"/>
  <c r="E227" i="22"/>
  <c r="D227" i="22"/>
  <c r="C227" i="22"/>
  <c r="B227" i="22"/>
  <c r="A227" i="22"/>
  <c r="AP226" i="22"/>
  <c r="AO226" i="22"/>
  <c r="AN226" i="22"/>
  <c r="AM226" i="22"/>
  <c r="AL226" i="22"/>
  <c r="AK226" i="22"/>
  <c r="AJ226" i="22"/>
  <c r="AI226" i="22"/>
  <c r="AH226" i="22"/>
  <c r="AG226" i="22"/>
  <c r="AF226" i="22"/>
  <c r="AE226" i="22"/>
  <c r="AA226" i="22"/>
  <c r="V226" i="22"/>
  <c r="U226" i="22"/>
  <c r="T226" i="22"/>
  <c r="S226" i="22"/>
  <c r="P226" i="22"/>
  <c r="O226" i="22"/>
  <c r="H226" i="22"/>
  <c r="N226" i="22" s="1"/>
  <c r="G226" i="22"/>
  <c r="F226" i="22"/>
  <c r="E226" i="22"/>
  <c r="D226" i="22"/>
  <c r="C226" i="22"/>
  <c r="B226" i="22"/>
  <c r="A226" i="22"/>
  <c r="AP225" i="22"/>
  <c r="AO225" i="22"/>
  <c r="AN225" i="22"/>
  <c r="AM225" i="22"/>
  <c r="AL225" i="22"/>
  <c r="AK225" i="22"/>
  <c r="AJ225" i="22"/>
  <c r="AI225" i="22"/>
  <c r="AH225" i="22"/>
  <c r="AG225" i="22"/>
  <c r="AF225" i="22"/>
  <c r="AE225" i="22"/>
  <c r="AA225" i="22"/>
  <c r="V225" i="22"/>
  <c r="U225" i="22"/>
  <c r="T225" i="22"/>
  <c r="S225" i="22"/>
  <c r="P225" i="22"/>
  <c r="O225" i="22"/>
  <c r="H225" i="22"/>
  <c r="N225" i="22" s="1"/>
  <c r="G225" i="22"/>
  <c r="F225" i="22"/>
  <c r="E225" i="22"/>
  <c r="D225" i="22"/>
  <c r="C225" i="22"/>
  <c r="B225" i="22"/>
  <c r="A225" i="22"/>
  <c r="AP224" i="22"/>
  <c r="AO224" i="22"/>
  <c r="AN224" i="22"/>
  <c r="AM224" i="22"/>
  <c r="AL224" i="22"/>
  <c r="AK224" i="22"/>
  <c r="AJ224" i="22"/>
  <c r="AI224" i="22"/>
  <c r="AH224" i="22"/>
  <c r="AG224" i="22"/>
  <c r="AF224" i="22"/>
  <c r="AE224" i="22"/>
  <c r="AA224" i="22"/>
  <c r="V224" i="22"/>
  <c r="U224" i="22"/>
  <c r="T224" i="22"/>
  <c r="S224" i="22"/>
  <c r="P224" i="22"/>
  <c r="O224" i="22"/>
  <c r="H224" i="22"/>
  <c r="N224" i="22" s="1"/>
  <c r="G224" i="22"/>
  <c r="F224" i="22"/>
  <c r="E224" i="22"/>
  <c r="D224" i="22"/>
  <c r="C224" i="22"/>
  <c r="B224" i="22"/>
  <c r="A224" i="22"/>
  <c r="AP223" i="22"/>
  <c r="AO223" i="22"/>
  <c r="AN223" i="22"/>
  <c r="AM223" i="22"/>
  <c r="AL223" i="22"/>
  <c r="AK223" i="22"/>
  <c r="AJ223" i="22"/>
  <c r="AI223" i="22"/>
  <c r="AH223" i="22"/>
  <c r="AG223" i="22"/>
  <c r="AF223" i="22"/>
  <c r="AE223" i="22"/>
  <c r="AA223" i="22"/>
  <c r="V223" i="22"/>
  <c r="U223" i="22"/>
  <c r="T223" i="22"/>
  <c r="S223" i="22"/>
  <c r="P223" i="22"/>
  <c r="O223" i="22"/>
  <c r="H223" i="22"/>
  <c r="N223" i="22" s="1"/>
  <c r="G223" i="22"/>
  <c r="F223" i="22"/>
  <c r="E223" i="22"/>
  <c r="D223" i="22"/>
  <c r="C223" i="22"/>
  <c r="B223" i="22"/>
  <c r="A223" i="22"/>
  <c r="AP222" i="22"/>
  <c r="AO222" i="22"/>
  <c r="AN222" i="22"/>
  <c r="AM222" i="22"/>
  <c r="AL222" i="22"/>
  <c r="AK222" i="22"/>
  <c r="AJ222" i="22"/>
  <c r="AI222" i="22"/>
  <c r="AH222" i="22"/>
  <c r="AG222" i="22"/>
  <c r="AF222" i="22"/>
  <c r="AE222" i="22"/>
  <c r="AA222" i="22"/>
  <c r="V222" i="22"/>
  <c r="U222" i="22"/>
  <c r="T222" i="22"/>
  <c r="S222" i="22"/>
  <c r="P222" i="22"/>
  <c r="O222" i="22"/>
  <c r="H222" i="22"/>
  <c r="N222" i="22" s="1"/>
  <c r="G222" i="22"/>
  <c r="F222" i="22"/>
  <c r="E222" i="22"/>
  <c r="D222" i="22"/>
  <c r="C222" i="22"/>
  <c r="B222" i="22"/>
  <c r="A222" i="22"/>
  <c r="AP221" i="22"/>
  <c r="AO221" i="22"/>
  <c r="AN221" i="22"/>
  <c r="AM221" i="22"/>
  <c r="AL221" i="22"/>
  <c r="AK221" i="22"/>
  <c r="AJ221" i="22"/>
  <c r="AI221" i="22"/>
  <c r="AH221" i="22"/>
  <c r="AG221" i="22"/>
  <c r="AF221" i="22"/>
  <c r="AE221" i="22"/>
  <c r="AA221" i="22"/>
  <c r="V221" i="22"/>
  <c r="U221" i="22"/>
  <c r="T221" i="22"/>
  <c r="S221" i="22"/>
  <c r="P221" i="22"/>
  <c r="O221" i="22"/>
  <c r="H221" i="22"/>
  <c r="N221" i="22" s="1"/>
  <c r="G221" i="22"/>
  <c r="F221" i="22"/>
  <c r="E221" i="22"/>
  <c r="D221" i="22"/>
  <c r="C221" i="22"/>
  <c r="B221" i="22"/>
  <c r="A221" i="22"/>
  <c r="AP220" i="22"/>
  <c r="AO220" i="22"/>
  <c r="AN220" i="22"/>
  <c r="AM220" i="22"/>
  <c r="AL220" i="22"/>
  <c r="AK220" i="22"/>
  <c r="AJ220" i="22"/>
  <c r="AI220" i="22"/>
  <c r="AH220" i="22"/>
  <c r="AG220" i="22"/>
  <c r="AF220" i="22"/>
  <c r="AE220" i="22"/>
  <c r="AA220" i="22"/>
  <c r="V220" i="22"/>
  <c r="U220" i="22"/>
  <c r="T220" i="22"/>
  <c r="S220" i="22"/>
  <c r="P220" i="22"/>
  <c r="O220" i="22"/>
  <c r="H220" i="22"/>
  <c r="N220" i="22" s="1"/>
  <c r="G220" i="22"/>
  <c r="F220" i="22"/>
  <c r="E220" i="22"/>
  <c r="D220" i="22"/>
  <c r="C220" i="22"/>
  <c r="B220" i="22"/>
  <c r="A220" i="22"/>
  <c r="AP219" i="22"/>
  <c r="AO219" i="22"/>
  <c r="AN219" i="22"/>
  <c r="AM219" i="22"/>
  <c r="AL219" i="22"/>
  <c r="AK219" i="22"/>
  <c r="AJ219" i="22"/>
  <c r="AI219" i="22"/>
  <c r="AH219" i="22"/>
  <c r="AG219" i="22"/>
  <c r="AF219" i="22"/>
  <c r="AE219" i="22"/>
  <c r="AA219" i="22"/>
  <c r="V219" i="22"/>
  <c r="U219" i="22"/>
  <c r="T219" i="22"/>
  <c r="S219" i="22"/>
  <c r="P219" i="22"/>
  <c r="O219" i="22"/>
  <c r="H219" i="22"/>
  <c r="N219" i="22" s="1"/>
  <c r="G219" i="22"/>
  <c r="F219" i="22"/>
  <c r="E219" i="22"/>
  <c r="D219" i="22"/>
  <c r="C219" i="22"/>
  <c r="B219" i="22"/>
  <c r="A219" i="22"/>
  <c r="AP218" i="22"/>
  <c r="AO218" i="22"/>
  <c r="AN218" i="22"/>
  <c r="AM218" i="22"/>
  <c r="AL218" i="22"/>
  <c r="AK218" i="22"/>
  <c r="AJ218" i="22"/>
  <c r="AI218" i="22"/>
  <c r="AH218" i="22"/>
  <c r="AG218" i="22"/>
  <c r="AF218" i="22"/>
  <c r="AE218" i="22"/>
  <c r="AA218" i="22"/>
  <c r="V218" i="22"/>
  <c r="U218" i="22"/>
  <c r="T218" i="22"/>
  <c r="S218" i="22"/>
  <c r="P218" i="22"/>
  <c r="O218" i="22"/>
  <c r="H218" i="22"/>
  <c r="N218" i="22" s="1"/>
  <c r="G218" i="22"/>
  <c r="F218" i="22"/>
  <c r="E218" i="22"/>
  <c r="D218" i="22"/>
  <c r="C218" i="22"/>
  <c r="B218" i="22"/>
  <c r="A218" i="22"/>
  <c r="AP217" i="22"/>
  <c r="AO217" i="22"/>
  <c r="AN217" i="22"/>
  <c r="AM217" i="22"/>
  <c r="AL217" i="22"/>
  <c r="AK217" i="22"/>
  <c r="AJ217" i="22"/>
  <c r="AI217" i="22"/>
  <c r="AH217" i="22"/>
  <c r="AG217" i="22"/>
  <c r="AF217" i="22"/>
  <c r="AE217" i="22"/>
  <c r="AA217" i="22"/>
  <c r="V217" i="22"/>
  <c r="U217" i="22"/>
  <c r="T217" i="22"/>
  <c r="S217" i="22"/>
  <c r="P217" i="22"/>
  <c r="O217" i="22"/>
  <c r="H217" i="22"/>
  <c r="N217" i="22" s="1"/>
  <c r="G217" i="22"/>
  <c r="F217" i="22"/>
  <c r="E217" i="22"/>
  <c r="D217" i="22"/>
  <c r="C217" i="22"/>
  <c r="B217" i="22"/>
  <c r="A217" i="22"/>
  <c r="AP216" i="22"/>
  <c r="AO216" i="22"/>
  <c r="AN216" i="22"/>
  <c r="AM216" i="22"/>
  <c r="AL216" i="22"/>
  <c r="AK216" i="22"/>
  <c r="AJ216" i="22"/>
  <c r="AI216" i="22"/>
  <c r="AH216" i="22"/>
  <c r="AG216" i="22"/>
  <c r="AF216" i="22"/>
  <c r="AE216" i="22"/>
  <c r="AA216" i="22"/>
  <c r="V216" i="22"/>
  <c r="U216" i="22"/>
  <c r="T216" i="22"/>
  <c r="S216" i="22"/>
  <c r="P216" i="22"/>
  <c r="O216" i="22"/>
  <c r="H216" i="22"/>
  <c r="N216" i="22" s="1"/>
  <c r="G216" i="22"/>
  <c r="F216" i="22"/>
  <c r="E216" i="22"/>
  <c r="D216" i="22"/>
  <c r="C216" i="22"/>
  <c r="B216" i="22"/>
  <c r="A216" i="22"/>
  <c r="AP215" i="22"/>
  <c r="AO215" i="22"/>
  <c r="AN215" i="22"/>
  <c r="AM215" i="22"/>
  <c r="AL215" i="22"/>
  <c r="AK215" i="22"/>
  <c r="AJ215" i="22"/>
  <c r="AI215" i="22"/>
  <c r="AH215" i="22"/>
  <c r="AG215" i="22"/>
  <c r="AF215" i="22"/>
  <c r="AE215" i="22"/>
  <c r="AA215" i="22"/>
  <c r="V215" i="22"/>
  <c r="U215" i="22"/>
  <c r="T215" i="22"/>
  <c r="S215" i="22"/>
  <c r="P215" i="22"/>
  <c r="O215" i="22"/>
  <c r="H215" i="22"/>
  <c r="N215" i="22" s="1"/>
  <c r="G215" i="22"/>
  <c r="F215" i="22"/>
  <c r="E215" i="22"/>
  <c r="D215" i="22"/>
  <c r="C215" i="22"/>
  <c r="B215" i="22"/>
  <c r="A215" i="22"/>
  <c r="AP214" i="22"/>
  <c r="AO214" i="22"/>
  <c r="AN214" i="22"/>
  <c r="AM214" i="22"/>
  <c r="AL214" i="22"/>
  <c r="AK214" i="22"/>
  <c r="AJ214" i="22"/>
  <c r="AI214" i="22"/>
  <c r="AH214" i="22"/>
  <c r="AG214" i="22"/>
  <c r="AF214" i="22"/>
  <c r="AE214" i="22"/>
  <c r="AA214" i="22"/>
  <c r="V214" i="22"/>
  <c r="U214" i="22"/>
  <c r="T214" i="22"/>
  <c r="S214" i="22"/>
  <c r="P214" i="22"/>
  <c r="O214" i="22"/>
  <c r="H214" i="22"/>
  <c r="N214" i="22" s="1"/>
  <c r="G214" i="22"/>
  <c r="F214" i="22"/>
  <c r="E214" i="22"/>
  <c r="D214" i="22"/>
  <c r="C214" i="22"/>
  <c r="B214" i="22"/>
  <c r="A214" i="22"/>
  <c r="AP213" i="22"/>
  <c r="AO213" i="22"/>
  <c r="AN213" i="22"/>
  <c r="AM213" i="22"/>
  <c r="AL213" i="22"/>
  <c r="AK213" i="22"/>
  <c r="AJ213" i="22"/>
  <c r="AI213" i="22"/>
  <c r="AH213" i="22"/>
  <c r="AG213" i="22"/>
  <c r="AF213" i="22"/>
  <c r="AE213" i="22"/>
  <c r="AA213" i="22"/>
  <c r="V213" i="22"/>
  <c r="U213" i="22"/>
  <c r="T213" i="22"/>
  <c r="S213" i="22"/>
  <c r="P213" i="22"/>
  <c r="O213" i="22"/>
  <c r="H213" i="22"/>
  <c r="N213" i="22" s="1"/>
  <c r="G213" i="22"/>
  <c r="F213" i="22"/>
  <c r="E213" i="22"/>
  <c r="D213" i="22"/>
  <c r="C213" i="22"/>
  <c r="B213" i="22"/>
  <c r="A213" i="22"/>
  <c r="AP212" i="22"/>
  <c r="AO212" i="22"/>
  <c r="AN212" i="22"/>
  <c r="AM212" i="22"/>
  <c r="AL212" i="22"/>
  <c r="AK212" i="22"/>
  <c r="AJ212" i="22"/>
  <c r="AI212" i="22"/>
  <c r="AH212" i="22"/>
  <c r="AG212" i="22"/>
  <c r="AF212" i="22"/>
  <c r="AE212" i="22"/>
  <c r="AA212" i="22"/>
  <c r="V212" i="22"/>
  <c r="U212" i="22"/>
  <c r="T212" i="22"/>
  <c r="S212" i="22"/>
  <c r="P212" i="22"/>
  <c r="O212" i="22"/>
  <c r="H212" i="22"/>
  <c r="N212" i="22" s="1"/>
  <c r="G212" i="22"/>
  <c r="F212" i="22"/>
  <c r="E212" i="22"/>
  <c r="D212" i="22"/>
  <c r="C212" i="22"/>
  <c r="B212" i="22"/>
  <c r="A212" i="22"/>
  <c r="AP211" i="22"/>
  <c r="AO211" i="22"/>
  <c r="AN211" i="22"/>
  <c r="AM211" i="22"/>
  <c r="AL211" i="22"/>
  <c r="AK211" i="22"/>
  <c r="AJ211" i="22"/>
  <c r="AI211" i="22"/>
  <c r="AH211" i="22"/>
  <c r="AG211" i="22"/>
  <c r="AF211" i="22"/>
  <c r="AE211" i="22"/>
  <c r="AA211" i="22"/>
  <c r="V211" i="22"/>
  <c r="U211" i="22"/>
  <c r="T211" i="22"/>
  <c r="S211" i="22"/>
  <c r="P211" i="22"/>
  <c r="O211" i="22"/>
  <c r="H211" i="22"/>
  <c r="N211" i="22" s="1"/>
  <c r="G211" i="22"/>
  <c r="F211" i="22"/>
  <c r="E211" i="22"/>
  <c r="D211" i="22"/>
  <c r="C211" i="22"/>
  <c r="B211" i="22"/>
  <c r="A211" i="22"/>
  <c r="AP210" i="22"/>
  <c r="AO210" i="22"/>
  <c r="AN210" i="22"/>
  <c r="AM210" i="22"/>
  <c r="AL210" i="22"/>
  <c r="AK210" i="22"/>
  <c r="AJ210" i="22"/>
  <c r="AI210" i="22"/>
  <c r="AH210" i="22"/>
  <c r="AG210" i="22"/>
  <c r="AF210" i="22"/>
  <c r="AE210" i="22"/>
  <c r="AA210" i="22"/>
  <c r="V210" i="22"/>
  <c r="U210" i="22"/>
  <c r="T210" i="22"/>
  <c r="S210" i="22"/>
  <c r="P210" i="22"/>
  <c r="O210" i="22"/>
  <c r="H210" i="22"/>
  <c r="N210" i="22" s="1"/>
  <c r="G210" i="22"/>
  <c r="F210" i="22"/>
  <c r="E210" i="22"/>
  <c r="D210" i="22"/>
  <c r="C210" i="22"/>
  <c r="B210" i="22"/>
  <c r="A210" i="22"/>
  <c r="AP209" i="22"/>
  <c r="AO209" i="22"/>
  <c r="AN209" i="22"/>
  <c r="AM209" i="22"/>
  <c r="AL209" i="22"/>
  <c r="AK209" i="22"/>
  <c r="AJ209" i="22"/>
  <c r="AI209" i="22"/>
  <c r="AH209" i="22"/>
  <c r="AG209" i="22"/>
  <c r="AF209" i="22"/>
  <c r="AE209" i="22"/>
  <c r="AA209" i="22"/>
  <c r="V209" i="22"/>
  <c r="U209" i="22"/>
  <c r="T209" i="22"/>
  <c r="S209" i="22"/>
  <c r="P209" i="22"/>
  <c r="O209" i="22"/>
  <c r="H209" i="22"/>
  <c r="N209" i="22" s="1"/>
  <c r="G209" i="22"/>
  <c r="F209" i="22"/>
  <c r="E209" i="22"/>
  <c r="D209" i="22"/>
  <c r="C209" i="22"/>
  <c r="B209" i="22"/>
  <c r="A209" i="22"/>
  <c r="AP208" i="22"/>
  <c r="AO208" i="22"/>
  <c r="AN208" i="22"/>
  <c r="AM208" i="22"/>
  <c r="AL208" i="22"/>
  <c r="AK208" i="22"/>
  <c r="AJ208" i="22"/>
  <c r="AI208" i="22"/>
  <c r="AH208" i="22"/>
  <c r="AG208" i="22"/>
  <c r="AF208" i="22"/>
  <c r="AE208" i="22"/>
  <c r="AA208" i="22"/>
  <c r="V208" i="22"/>
  <c r="U208" i="22"/>
  <c r="T208" i="22"/>
  <c r="S208" i="22"/>
  <c r="P208" i="22"/>
  <c r="O208" i="22"/>
  <c r="H208" i="22"/>
  <c r="N208" i="22" s="1"/>
  <c r="G208" i="22"/>
  <c r="F208" i="22"/>
  <c r="E208" i="22"/>
  <c r="D208" i="22"/>
  <c r="C208" i="22"/>
  <c r="B208" i="22"/>
  <c r="A208" i="22"/>
  <c r="AP207" i="22"/>
  <c r="AO207" i="22"/>
  <c r="AN207" i="22"/>
  <c r="AM207" i="22"/>
  <c r="AL207" i="22"/>
  <c r="AK207" i="22"/>
  <c r="AJ207" i="22"/>
  <c r="AI207" i="22"/>
  <c r="AH207" i="22"/>
  <c r="AG207" i="22"/>
  <c r="AF207" i="22"/>
  <c r="AE207" i="22"/>
  <c r="AA207" i="22"/>
  <c r="V207" i="22"/>
  <c r="U207" i="22"/>
  <c r="T207" i="22"/>
  <c r="S207" i="22"/>
  <c r="P207" i="22"/>
  <c r="O207" i="22"/>
  <c r="H207" i="22"/>
  <c r="N207" i="22" s="1"/>
  <c r="G207" i="22"/>
  <c r="F207" i="22"/>
  <c r="E207" i="22"/>
  <c r="D207" i="22"/>
  <c r="C207" i="22"/>
  <c r="B207" i="22"/>
  <c r="A207" i="22"/>
  <c r="AP206" i="22"/>
  <c r="AO206" i="22"/>
  <c r="AN206" i="22"/>
  <c r="AM206" i="22"/>
  <c r="AL206" i="22"/>
  <c r="AK206" i="22"/>
  <c r="AJ206" i="22"/>
  <c r="AI206" i="22"/>
  <c r="AH206" i="22"/>
  <c r="AG206" i="22"/>
  <c r="AF206" i="22"/>
  <c r="AE206" i="22"/>
  <c r="AA206" i="22"/>
  <c r="V206" i="22"/>
  <c r="U206" i="22"/>
  <c r="T206" i="22"/>
  <c r="S206" i="22"/>
  <c r="P206" i="22"/>
  <c r="O206" i="22"/>
  <c r="H206" i="22"/>
  <c r="N206" i="22" s="1"/>
  <c r="G206" i="22"/>
  <c r="F206" i="22"/>
  <c r="E206" i="22"/>
  <c r="D206" i="22"/>
  <c r="C206" i="22"/>
  <c r="B206" i="22"/>
  <c r="A206" i="22"/>
  <c r="AP205" i="22"/>
  <c r="AO205" i="22"/>
  <c r="AN205" i="22"/>
  <c r="AM205" i="22"/>
  <c r="AL205" i="22"/>
  <c r="AK205" i="22"/>
  <c r="AJ205" i="22"/>
  <c r="AI205" i="22"/>
  <c r="AH205" i="22"/>
  <c r="AG205" i="22"/>
  <c r="AF205" i="22"/>
  <c r="AE205" i="22"/>
  <c r="AA205" i="22"/>
  <c r="V205" i="22"/>
  <c r="U205" i="22"/>
  <c r="T205" i="22"/>
  <c r="S205" i="22"/>
  <c r="P205" i="22"/>
  <c r="O205" i="22"/>
  <c r="H205" i="22"/>
  <c r="N205" i="22" s="1"/>
  <c r="G205" i="22"/>
  <c r="F205" i="22"/>
  <c r="E205" i="22"/>
  <c r="D205" i="22"/>
  <c r="C205" i="22"/>
  <c r="B205" i="22"/>
  <c r="A205" i="22"/>
  <c r="AP204" i="22"/>
  <c r="AO204" i="22"/>
  <c r="AN204" i="22"/>
  <c r="AM204" i="22"/>
  <c r="AL204" i="22"/>
  <c r="AK204" i="22"/>
  <c r="AJ204" i="22"/>
  <c r="AI204" i="22"/>
  <c r="AH204" i="22"/>
  <c r="AG204" i="22"/>
  <c r="AF204" i="22"/>
  <c r="AE204" i="22"/>
  <c r="AA204" i="22"/>
  <c r="V204" i="22"/>
  <c r="U204" i="22"/>
  <c r="T204" i="22"/>
  <c r="S204" i="22"/>
  <c r="P204" i="22"/>
  <c r="O204" i="22"/>
  <c r="H204" i="22"/>
  <c r="N204" i="22" s="1"/>
  <c r="G204" i="22"/>
  <c r="F204" i="22"/>
  <c r="E204" i="22"/>
  <c r="D204" i="22"/>
  <c r="C204" i="22"/>
  <c r="B204" i="22"/>
  <c r="A204" i="22"/>
  <c r="AP203" i="22"/>
  <c r="AO203" i="22"/>
  <c r="AN203" i="22"/>
  <c r="AM203" i="22"/>
  <c r="AL203" i="22"/>
  <c r="AK203" i="22"/>
  <c r="AJ203" i="22"/>
  <c r="AI203" i="22"/>
  <c r="AH203" i="22"/>
  <c r="AG203" i="22"/>
  <c r="AF203" i="22"/>
  <c r="AE203" i="22"/>
  <c r="AA203" i="22"/>
  <c r="V203" i="22"/>
  <c r="U203" i="22"/>
  <c r="T203" i="22"/>
  <c r="S203" i="22"/>
  <c r="P203" i="22"/>
  <c r="O203" i="22"/>
  <c r="H203" i="22"/>
  <c r="N203" i="22" s="1"/>
  <c r="G203" i="22"/>
  <c r="F203" i="22"/>
  <c r="E203" i="22"/>
  <c r="D203" i="22"/>
  <c r="C203" i="22"/>
  <c r="B203" i="22"/>
  <c r="A203" i="22"/>
  <c r="AP202" i="22"/>
  <c r="AO202" i="22"/>
  <c r="AN202" i="22"/>
  <c r="AM202" i="22"/>
  <c r="AL202" i="22"/>
  <c r="AK202" i="22"/>
  <c r="AJ202" i="22"/>
  <c r="AI202" i="22"/>
  <c r="AH202" i="22"/>
  <c r="AG202" i="22"/>
  <c r="AF202" i="22"/>
  <c r="AE202" i="22"/>
  <c r="AA202" i="22"/>
  <c r="V202" i="22"/>
  <c r="U202" i="22"/>
  <c r="T202" i="22"/>
  <c r="S202" i="22"/>
  <c r="P202" i="22"/>
  <c r="O202" i="22"/>
  <c r="H202" i="22"/>
  <c r="N202" i="22" s="1"/>
  <c r="G202" i="22"/>
  <c r="F202" i="22"/>
  <c r="E202" i="22"/>
  <c r="D202" i="22"/>
  <c r="C202" i="22"/>
  <c r="B202" i="22"/>
  <c r="A202" i="22"/>
  <c r="AP201" i="22"/>
  <c r="AO201" i="22"/>
  <c r="AN201" i="22"/>
  <c r="AM201" i="22"/>
  <c r="AL201" i="22"/>
  <c r="AK201" i="22"/>
  <c r="AJ201" i="22"/>
  <c r="AI201" i="22"/>
  <c r="AH201" i="22"/>
  <c r="AG201" i="22"/>
  <c r="AF201" i="22"/>
  <c r="AE201" i="22"/>
  <c r="AA201" i="22"/>
  <c r="V201" i="22"/>
  <c r="U201" i="22"/>
  <c r="T201" i="22"/>
  <c r="S201" i="22"/>
  <c r="P201" i="22"/>
  <c r="O201" i="22"/>
  <c r="H201" i="22"/>
  <c r="N201" i="22" s="1"/>
  <c r="G201" i="22"/>
  <c r="F201" i="22"/>
  <c r="E201" i="22"/>
  <c r="D201" i="22"/>
  <c r="C201" i="22"/>
  <c r="B201" i="22"/>
  <c r="A201" i="22"/>
  <c r="AP200" i="22"/>
  <c r="AO200" i="22"/>
  <c r="AN200" i="22"/>
  <c r="AM200" i="22"/>
  <c r="AL200" i="22"/>
  <c r="AK200" i="22"/>
  <c r="AJ200" i="22"/>
  <c r="AI200" i="22"/>
  <c r="AH200" i="22"/>
  <c r="AG200" i="22"/>
  <c r="AF200" i="22"/>
  <c r="AE200" i="22"/>
  <c r="AA200" i="22"/>
  <c r="V200" i="22"/>
  <c r="U200" i="22"/>
  <c r="T200" i="22"/>
  <c r="S200" i="22"/>
  <c r="P200" i="22"/>
  <c r="O200" i="22"/>
  <c r="H200" i="22"/>
  <c r="N200" i="22" s="1"/>
  <c r="G200" i="22"/>
  <c r="F200" i="22"/>
  <c r="E200" i="22"/>
  <c r="D200" i="22"/>
  <c r="C200" i="22"/>
  <c r="B200" i="22"/>
  <c r="A200" i="22"/>
  <c r="AP199" i="22"/>
  <c r="AO199" i="22"/>
  <c r="AN199" i="22"/>
  <c r="AM199" i="22"/>
  <c r="AL199" i="22"/>
  <c r="AK199" i="22"/>
  <c r="AJ199" i="22"/>
  <c r="AI199" i="22"/>
  <c r="AH199" i="22"/>
  <c r="AG199" i="22"/>
  <c r="AF199" i="22"/>
  <c r="AE199" i="22"/>
  <c r="AA199" i="22"/>
  <c r="V199" i="22"/>
  <c r="U199" i="22"/>
  <c r="T199" i="22"/>
  <c r="S199" i="22"/>
  <c r="P199" i="22"/>
  <c r="O199" i="22"/>
  <c r="H199" i="22"/>
  <c r="N199" i="22" s="1"/>
  <c r="G199" i="22"/>
  <c r="F199" i="22"/>
  <c r="E199" i="22"/>
  <c r="D199" i="22"/>
  <c r="C199" i="22"/>
  <c r="B199" i="22"/>
  <c r="A199" i="22"/>
  <c r="AP198" i="22"/>
  <c r="AO198" i="22"/>
  <c r="AN198" i="22"/>
  <c r="AM198" i="22"/>
  <c r="AL198" i="22"/>
  <c r="AK198" i="22"/>
  <c r="AJ198" i="22"/>
  <c r="AI198" i="22"/>
  <c r="AH198" i="22"/>
  <c r="AG198" i="22"/>
  <c r="AF198" i="22"/>
  <c r="AE198" i="22"/>
  <c r="AA198" i="22"/>
  <c r="V198" i="22"/>
  <c r="U198" i="22"/>
  <c r="T198" i="22"/>
  <c r="S198" i="22"/>
  <c r="P198" i="22"/>
  <c r="O198" i="22"/>
  <c r="H198" i="22"/>
  <c r="N198" i="22" s="1"/>
  <c r="G198" i="22"/>
  <c r="F198" i="22"/>
  <c r="E198" i="22"/>
  <c r="D198" i="22"/>
  <c r="C198" i="22"/>
  <c r="B198" i="22"/>
  <c r="A198" i="22"/>
  <c r="AP197" i="22"/>
  <c r="AO197" i="22"/>
  <c r="AN197" i="22"/>
  <c r="AM197" i="22"/>
  <c r="AL197" i="22"/>
  <c r="AK197" i="22"/>
  <c r="AJ197" i="22"/>
  <c r="AI197" i="22"/>
  <c r="AH197" i="22"/>
  <c r="AG197" i="22"/>
  <c r="AF197" i="22"/>
  <c r="AE197" i="22"/>
  <c r="AA197" i="22"/>
  <c r="V197" i="22"/>
  <c r="U197" i="22"/>
  <c r="T197" i="22"/>
  <c r="S197" i="22"/>
  <c r="P197" i="22"/>
  <c r="O197" i="22"/>
  <c r="H197" i="22"/>
  <c r="N197" i="22" s="1"/>
  <c r="G197" i="22"/>
  <c r="F197" i="22"/>
  <c r="E197" i="22"/>
  <c r="D197" i="22"/>
  <c r="C197" i="22"/>
  <c r="B197" i="22"/>
  <c r="A197" i="22"/>
  <c r="AP196" i="22"/>
  <c r="AO196" i="22"/>
  <c r="AN196" i="22"/>
  <c r="AM196" i="22"/>
  <c r="AL196" i="22"/>
  <c r="AK196" i="22"/>
  <c r="AJ196" i="22"/>
  <c r="AI196" i="22"/>
  <c r="AH196" i="22"/>
  <c r="AG196" i="22"/>
  <c r="AF196" i="22"/>
  <c r="AE196" i="22"/>
  <c r="AA196" i="22"/>
  <c r="V196" i="22"/>
  <c r="U196" i="22"/>
  <c r="T196" i="22"/>
  <c r="S196" i="22"/>
  <c r="P196" i="22"/>
  <c r="O196" i="22"/>
  <c r="H196" i="22"/>
  <c r="N196" i="22" s="1"/>
  <c r="G196" i="22"/>
  <c r="F196" i="22"/>
  <c r="E196" i="22"/>
  <c r="D196" i="22"/>
  <c r="C196" i="22"/>
  <c r="B196" i="22"/>
  <c r="A196" i="22"/>
  <c r="AP195" i="22"/>
  <c r="AO195" i="22"/>
  <c r="AN195" i="22"/>
  <c r="AM195" i="22"/>
  <c r="AL195" i="22"/>
  <c r="AK195" i="22"/>
  <c r="AJ195" i="22"/>
  <c r="AI195" i="22"/>
  <c r="AH195" i="22"/>
  <c r="AG195" i="22"/>
  <c r="AF195" i="22"/>
  <c r="AE195" i="22"/>
  <c r="AA195" i="22"/>
  <c r="V195" i="22"/>
  <c r="U195" i="22"/>
  <c r="T195" i="22"/>
  <c r="S195" i="22"/>
  <c r="P195" i="22"/>
  <c r="O195" i="22"/>
  <c r="H195" i="22"/>
  <c r="N195" i="22" s="1"/>
  <c r="G195" i="22"/>
  <c r="F195" i="22"/>
  <c r="E195" i="22"/>
  <c r="D195" i="22"/>
  <c r="C195" i="22"/>
  <c r="B195" i="22"/>
  <c r="A195" i="22"/>
  <c r="AP194" i="22"/>
  <c r="AO194" i="22"/>
  <c r="AN194" i="22"/>
  <c r="AM194" i="22"/>
  <c r="AL194" i="22"/>
  <c r="AK194" i="22"/>
  <c r="AJ194" i="22"/>
  <c r="AI194" i="22"/>
  <c r="AH194" i="22"/>
  <c r="AG194" i="22"/>
  <c r="AF194" i="22"/>
  <c r="AE194" i="22"/>
  <c r="AA194" i="22"/>
  <c r="V194" i="22"/>
  <c r="U194" i="22"/>
  <c r="T194" i="22"/>
  <c r="S194" i="22"/>
  <c r="P194" i="22"/>
  <c r="O194" i="22"/>
  <c r="H194" i="22"/>
  <c r="N194" i="22" s="1"/>
  <c r="G194" i="22"/>
  <c r="F194" i="22"/>
  <c r="E194" i="22"/>
  <c r="D194" i="22"/>
  <c r="C194" i="22"/>
  <c r="B194" i="22"/>
  <c r="A194" i="22"/>
  <c r="AP193" i="22"/>
  <c r="AO193" i="22"/>
  <c r="AN193" i="22"/>
  <c r="AM193" i="22"/>
  <c r="AL193" i="22"/>
  <c r="AK193" i="22"/>
  <c r="AJ193" i="22"/>
  <c r="AI193" i="22"/>
  <c r="AH193" i="22"/>
  <c r="AG193" i="22"/>
  <c r="AF193" i="22"/>
  <c r="AE193" i="22"/>
  <c r="AA193" i="22"/>
  <c r="V193" i="22"/>
  <c r="U193" i="22"/>
  <c r="T193" i="22"/>
  <c r="S193" i="22"/>
  <c r="P193" i="22"/>
  <c r="O193" i="22"/>
  <c r="H193" i="22"/>
  <c r="N193" i="22" s="1"/>
  <c r="G193" i="22"/>
  <c r="F193" i="22"/>
  <c r="E193" i="22"/>
  <c r="D193" i="22"/>
  <c r="C193" i="22"/>
  <c r="B193" i="22"/>
  <c r="A193" i="22"/>
  <c r="AP192" i="22"/>
  <c r="AO192" i="22"/>
  <c r="AN192" i="22"/>
  <c r="AM192" i="22"/>
  <c r="AL192" i="22"/>
  <c r="AK192" i="22"/>
  <c r="AJ192" i="22"/>
  <c r="AI192" i="22"/>
  <c r="AH192" i="22"/>
  <c r="AG192" i="22"/>
  <c r="AF192" i="22"/>
  <c r="AE192" i="22"/>
  <c r="AA192" i="22"/>
  <c r="V192" i="22"/>
  <c r="U192" i="22"/>
  <c r="T192" i="22"/>
  <c r="S192" i="22"/>
  <c r="P192" i="22"/>
  <c r="O192" i="22"/>
  <c r="H192" i="22"/>
  <c r="N192" i="22" s="1"/>
  <c r="G192" i="22"/>
  <c r="F192" i="22"/>
  <c r="E192" i="22"/>
  <c r="D192" i="22"/>
  <c r="C192" i="22"/>
  <c r="B192" i="22"/>
  <c r="A192" i="22"/>
  <c r="AP191" i="22"/>
  <c r="AO191" i="22"/>
  <c r="AN191" i="22"/>
  <c r="AM191" i="22"/>
  <c r="AL191" i="22"/>
  <c r="AK191" i="22"/>
  <c r="AJ191" i="22"/>
  <c r="AI191" i="22"/>
  <c r="AH191" i="22"/>
  <c r="AG191" i="22"/>
  <c r="AF191" i="22"/>
  <c r="AE191" i="22"/>
  <c r="AA191" i="22"/>
  <c r="V191" i="22"/>
  <c r="U191" i="22"/>
  <c r="T191" i="22"/>
  <c r="S191" i="22"/>
  <c r="P191" i="22"/>
  <c r="O191" i="22"/>
  <c r="H191" i="22"/>
  <c r="N191" i="22" s="1"/>
  <c r="G191" i="22"/>
  <c r="F191" i="22"/>
  <c r="E191" i="22"/>
  <c r="D191" i="22"/>
  <c r="C191" i="22"/>
  <c r="B191" i="22"/>
  <c r="A191" i="22"/>
  <c r="AP190" i="22"/>
  <c r="AO190" i="22"/>
  <c r="AN190" i="22"/>
  <c r="AM190" i="22"/>
  <c r="AL190" i="22"/>
  <c r="AK190" i="22"/>
  <c r="AJ190" i="22"/>
  <c r="AI190" i="22"/>
  <c r="AH190" i="22"/>
  <c r="AG190" i="22"/>
  <c r="AF190" i="22"/>
  <c r="AE190" i="22"/>
  <c r="AA190" i="22"/>
  <c r="V190" i="22"/>
  <c r="U190" i="22"/>
  <c r="T190" i="22"/>
  <c r="S190" i="22"/>
  <c r="P190" i="22"/>
  <c r="O190" i="22"/>
  <c r="H190" i="22"/>
  <c r="N190" i="22" s="1"/>
  <c r="G190" i="22"/>
  <c r="F190" i="22"/>
  <c r="E190" i="22"/>
  <c r="D190" i="22"/>
  <c r="C190" i="22"/>
  <c r="B190" i="22"/>
  <c r="A190" i="22"/>
  <c r="AP189" i="22"/>
  <c r="AO189" i="22"/>
  <c r="AN189" i="22"/>
  <c r="AM189" i="22"/>
  <c r="AL189" i="22"/>
  <c r="AK189" i="22"/>
  <c r="AJ189" i="22"/>
  <c r="AI189" i="22"/>
  <c r="AH189" i="22"/>
  <c r="AG189" i="22"/>
  <c r="AF189" i="22"/>
  <c r="AE189" i="22"/>
  <c r="AA189" i="22"/>
  <c r="V189" i="22"/>
  <c r="U189" i="22"/>
  <c r="T189" i="22"/>
  <c r="S189" i="22"/>
  <c r="P189" i="22"/>
  <c r="O189" i="22"/>
  <c r="H189" i="22"/>
  <c r="N189" i="22" s="1"/>
  <c r="G189" i="22"/>
  <c r="F189" i="22"/>
  <c r="E189" i="22"/>
  <c r="D189" i="22"/>
  <c r="C189" i="22"/>
  <c r="B189" i="22"/>
  <c r="A189" i="22"/>
  <c r="AP188" i="22"/>
  <c r="AO188" i="22"/>
  <c r="AN188" i="22"/>
  <c r="AM188" i="22"/>
  <c r="AL188" i="22"/>
  <c r="AK188" i="22"/>
  <c r="AJ188" i="22"/>
  <c r="AI188" i="22"/>
  <c r="AH188" i="22"/>
  <c r="AG188" i="22"/>
  <c r="AF188" i="22"/>
  <c r="AE188" i="22"/>
  <c r="AA188" i="22"/>
  <c r="V188" i="22"/>
  <c r="U188" i="22"/>
  <c r="T188" i="22"/>
  <c r="S188" i="22"/>
  <c r="P188" i="22"/>
  <c r="O188" i="22"/>
  <c r="H188" i="22"/>
  <c r="N188" i="22" s="1"/>
  <c r="G188" i="22"/>
  <c r="F188" i="22"/>
  <c r="E188" i="22"/>
  <c r="D188" i="22"/>
  <c r="C188" i="22"/>
  <c r="B188" i="22"/>
  <c r="A188" i="22"/>
  <c r="AP187" i="22"/>
  <c r="AO187" i="22"/>
  <c r="AN187" i="22"/>
  <c r="AM187" i="22"/>
  <c r="AL187" i="22"/>
  <c r="AK187" i="22"/>
  <c r="AJ187" i="22"/>
  <c r="AI187" i="22"/>
  <c r="AH187" i="22"/>
  <c r="AG187" i="22"/>
  <c r="AF187" i="22"/>
  <c r="AE187" i="22"/>
  <c r="AA187" i="22"/>
  <c r="V187" i="22"/>
  <c r="U187" i="22"/>
  <c r="T187" i="22"/>
  <c r="S187" i="22"/>
  <c r="P187" i="22"/>
  <c r="O187" i="22"/>
  <c r="H187" i="22"/>
  <c r="N187" i="22" s="1"/>
  <c r="G187" i="22"/>
  <c r="F187" i="22"/>
  <c r="E187" i="22"/>
  <c r="D187" i="22"/>
  <c r="C187" i="22"/>
  <c r="B187" i="22"/>
  <c r="A187" i="22"/>
  <c r="AP186" i="22"/>
  <c r="AO186" i="22"/>
  <c r="AN186" i="22"/>
  <c r="AM186" i="22"/>
  <c r="AL186" i="22"/>
  <c r="AK186" i="22"/>
  <c r="AJ186" i="22"/>
  <c r="AI186" i="22"/>
  <c r="AH186" i="22"/>
  <c r="AG186" i="22"/>
  <c r="AF186" i="22"/>
  <c r="AE186" i="22"/>
  <c r="AA186" i="22"/>
  <c r="V186" i="22"/>
  <c r="U186" i="22"/>
  <c r="T186" i="22"/>
  <c r="S186" i="22"/>
  <c r="P186" i="22"/>
  <c r="O186" i="22"/>
  <c r="H186" i="22"/>
  <c r="N186" i="22" s="1"/>
  <c r="G186" i="22"/>
  <c r="F186" i="22"/>
  <c r="E186" i="22"/>
  <c r="D186" i="22"/>
  <c r="C186" i="22"/>
  <c r="B186" i="22"/>
  <c r="A186" i="22"/>
  <c r="AP185" i="22"/>
  <c r="AO185" i="22"/>
  <c r="AN185" i="22"/>
  <c r="AM185" i="22"/>
  <c r="AL185" i="22"/>
  <c r="AK185" i="22"/>
  <c r="AJ185" i="22"/>
  <c r="AI185" i="22"/>
  <c r="AH185" i="22"/>
  <c r="AG185" i="22"/>
  <c r="AF185" i="22"/>
  <c r="AE185" i="22"/>
  <c r="AA185" i="22"/>
  <c r="V185" i="22"/>
  <c r="U185" i="22"/>
  <c r="T185" i="22"/>
  <c r="S185" i="22"/>
  <c r="P185" i="22"/>
  <c r="O185" i="22"/>
  <c r="H185" i="22"/>
  <c r="N185" i="22" s="1"/>
  <c r="G185" i="22"/>
  <c r="F185" i="22"/>
  <c r="E185" i="22"/>
  <c r="D185" i="22"/>
  <c r="C185" i="22"/>
  <c r="B185" i="22"/>
  <c r="A185" i="22"/>
  <c r="AP184" i="22"/>
  <c r="AO184" i="22"/>
  <c r="AN184" i="22"/>
  <c r="AM184" i="22"/>
  <c r="AL184" i="22"/>
  <c r="AK184" i="22"/>
  <c r="AJ184" i="22"/>
  <c r="AI184" i="22"/>
  <c r="AH184" i="22"/>
  <c r="AG184" i="22"/>
  <c r="AF184" i="22"/>
  <c r="AE184" i="22"/>
  <c r="AA184" i="22"/>
  <c r="V184" i="22"/>
  <c r="U184" i="22"/>
  <c r="T184" i="22"/>
  <c r="S184" i="22"/>
  <c r="P184" i="22"/>
  <c r="O184" i="22"/>
  <c r="H184" i="22"/>
  <c r="N184" i="22" s="1"/>
  <c r="G184" i="22"/>
  <c r="F184" i="22"/>
  <c r="E184" i="22"/>
  <c r="D184" i="22"/>
  <c r="C184" i="22"/>
  <c r="B184" i="22"/>
  <c r="A184" i="22"/>
  <c r="AP183" i="22"/>
  <c r="AO183" i="22"/>
  <c r="AN183" i="22"/>
  <c r="AM183" i="22"/>
  <c r="AL183" i="22"/>
  <c r="AK183" i="22"/>
  <c r="AJ183" i="22"/>
  <c r="AI183" i="22"/>
  <c r="AH183" i="22"/>
  <c r="AG183" i="22"/>
  <c r="AF183" i="22"/>
  <c r="AE183" i="22"/>
  <c r="AA183" i="22"/>
  <c r="V183" i="22"/>
  <c r="U183" i="22"/>
  <c r="T183" i="22"/>
  <c r="S183" i="22"/>
  <c r="P183" i="22"/>
  <c r="O183" i="22"/>
  <c r="H183" i="22"/>
  <c r="N183" i="22" s="1"/>
  <c r="G183" i="22"/>
  <c r="F183" i="22"/>
  <c r="E183" i="22"/>
  <c r="D183" i="22"/>
  <c r="C183" i="22"/>
  <c r="B183" i="22"/>
  <c r="A183" i="22"/>
  <c r="AP182" i="22"/>
  <c r="AO182" i="22"/>
  <c r="AN182" i="22"/>
  <c r="AM182" i="22"/>
  <c r="AL182" i="22"/>
  <c r="AK182" i="22"/>
  <c r="AJ182" i="22"/>
  <c r="AI182" i="22"/>
  <c r="AH182" i="22"/>
  <c r="AG182" i="22"/>
  <c r="AF182" i="22"/>
  <c r="AE182" i="22"/>
  <c r="AA182" i="22"/>
  <c r="V182" i="22"/>
  <c r="U182" i="22"/>
  <c r="T182" i="22"/>
  <c r="S182" i="22"/>
  <c r="P182" i="22"/>
  <c r="O182" i="22"/>
  <c r="H182" i="22"/>
  <c r="N182" i="22" s="1"/>
  <c r="G182" i="22"/>
  <c r="F182" i="22"/>
  <c r="E182" i="22"/>
  <c r="D182" i="22"/>
  <c r="C182" i="22"/>
  <c r="B182" i="22"/>
  <c r="A182" i="22"/>
  <c r="AP181" i="22"/>
  <c r="AO181" i="22"/>
  <c r="AN181" i="22"/>
  <c r="AM181" i="22"/>
  <c r="AL181" i="22"/>
  <c r="AK181" i="22"/>
  <c r="AJ181" i="22"/>
  <c r="AI181" i="22"/>
  <c r="AH181" i="22"/>
  <c r="AG181" i="22"/>
  <c r="AF181" i="22"/>
  <c r="AE181" i="22"/>
  <c r="AA181" i="22"/>
  <c r="V181" i="22"/>
  <c r="U181" i="22"/>
  <c r="T181" i="22"/>
  <c r="S181" i="22"/>
  <c r="P181" i="22"/>
  <c r="O181" i="22"/>
  <c r="H181" i="22"/>
  <c r="N181" i="22" s="1"/>
  <c r="G181" i="22"/>
  <c r="F181" i="22"/>
  <c r="E181" i="22"/>
  <c r="D181" i="22"/>
  <c r="C181" i="22"/>
  <c r="B181" i="22"/>
  <c r="A181" i="22"/>
  <c r="AP180" i="22"/>
  <c r="AO180" i="22"/>
  <c r="AN180" i="22"/>
  <c r="AM180" i="22"/>
  <c r="AL180" i="22"/>
  <c r="AK180" i="22"/>
  <c r="AJ180" i="22"/>
  <c r="AI180" i="22"/>
  <c r="AH180" i="22"/>
  <c r="AG180" i="22"/>
  <c r="AF180" i="22"/>
  <c r="AE180" i="22"/>
  <c r="AA180" i="22"/>
  <c r="V180" i="22"/>
  <c r="U180" i="22"/>
  <c r="T180" i="22"/>
  <c r="S180" i="22"/>
  <c r="P180" i="22"/>
  <c r="O180" i="22"/>
  <c r="H180" i="22"/>
  <c r="N180" i="22" s="1"/>
  <c r="G180" i="22"/>
  <c r="F180" i="22"/>
  <c r="E180" i="22"/>
  <c r="D180" i="22"/>
  <c r="C180" i="22"/>
  <c r="B180" i="22"/>
  <c r="A180" i="22"/>
  <c r="AP179" i="22"/>
  <c r="AO179" i="22"/>
  <c r="AN179" i="22"/>
  <c r="AM179" i="22"/>
  <c r="AL179" i="22"/>
  <c r="AK179" i="22"/>
  <c r="AJ179" i="22"/>
  <c r="AI179" i="22"/>
  <c r="AH179" i="22"/>
  <c r="AG179" i="22"/>
  <c r="AF179" i="22"/>
  <c r="AE179" i="22"/>
  <c r="AA179" i="22"/>
  <c r="V179" i="22"/>
  <c r="U179" i="22"/>
  <c r="T179" i="22"/>
  <c r="S179" i="22"/>
  <c r="P179" i="22"/>
  <c r="O179" i="22"/>
  <c r="H179" i="22"/>
  <c r="N179" i="22" s="1"/>
  <c r="G179" i="22"/>
  <c r="F179" i="22"/>
  <c r="E179" i="22"/>
  <c r="D179" i="22"/>
  <c r="C179" i="22"/>
  <c r="B179" i="22"/>
  <c r="A179" i="22"/>
  <c r="AP178" i="22"/>
  <c r="AO178" i="22"/>
  <c r="AN178" i="22"/>
  <c r="AM178" i="22"/>
  <c r="AL178" i="22"/>
  <c r="AK178" i="22"/>
  <c r="AJ178" i="22"/>
  <c r="AI178" i="22"/>
  <c r="AH178" i="22"/>
  <c r="AG178" i="22"/>
  <c r="AF178" i="22"/>
  <c r="AE178" i="22"/>
  <c r="AA178" i="22"/>
  <c r="V178" i="22"/>
  <c r="U178" i="22"/>
  <c r="T178" i="22"/>
  <c r="S178" i="22"/>
  <c r="P178" i="22"/>
  <c r="O178" i="22"/>
  <c r="H178" i="22"/>
  <c r="N178" i="22" s="1"/>
  <c r="G178" i="22"/>
  <c r="F178" i="22"/>
  <c r="E178" i="22"/>
  <c r="D178" i="22"/>
  <c r="C178" i="22"/>
  <c r="B178" i="22"/>
  <c r="A178" i="22"/>
  <c r="AP177" i="22"/>
  <c r="AO177" i="22"/>
  <c r="AN177" i="22"/>
  <c r="AM177" i="22"/>
  <c r="AL177" i="22"/>
  <c r="AK177" i="22"/>
  <c r="AJ177" i="22"/>
  <c r="AI177" i="22"/>
  <c r="AH177" i="22"/>
  <c r="AG177" i="22"/>
  <c r="AF177" i="22"/>
  <c r="AE177" i="22"/>
  <c r="AA177" i="22"/>
  <c r="V177" i="22"/>
  <c r="U177" i="22"/>
  <c r="T177" i="22"/>
  <c r="S177" i="22"/>
  <c r="P177" i="22"/>
  <c r="O177" i="22"/>
  <c r="H177" i="22"/>
  <c r="N177" i="22" s="1"/>
  <c r="G177" i="22"/>
  <c r="F177" i="22"/>
  <c r="E177" i="22"/>
  <c r="D177" i="22"/>
  <c r="C177" i="22"/>
  <c r="B177" i="22"/>
  <c r="A177" i="22"/>
  <c r="AP176" i="22"/>
  <c r="AO176" i="22"/>
  <c r="AN176" i="22"/>
  <c r="AM176" i="22"/>
  <c r="AL176" i="22"/>
  <c r="AK176" i="22"/>
  <c r="AJ176" i="22"/>
  <c r="AI176" i="22"/>
  <c r="AH176" i="22"/>
  <c r="AG176" i="22"/>
  <c r="AF176" i="22"/>
  <c r="AE176" i="22"/>
  <c r="AA176" i="22"/>
  <c r="V176" i="22"/>
  <c r="U176" i="22"/>
  <c r="T176" i="22"/>
  <c r="S176" i="22"/>
  <c r="P176" i="22"/>
  <c r="O176" i="22"/>
  <c r="H176" i="22"/>
  <c r="N176" i="22" s="1"/>
  <c r="G176" i="22"/>
  <c r="F176" i="22"/>
  <c r="E176" i="22"/>
  <c r="D176" i="22"/>
  <c r="C176" i="22"/>
  <c r="B176" i="22"/>
  <c r="A176" i="22"/>
  <c r="AP175" i="22"/>
  <c r="AO175" i="22"/>
  <c r="AN175" i="22"/>
  <c r="AM175" i="22"/>
  <c r="AL175" i="22"/>
  <c r="AK175" i="22"/>
  <c r="AJ175" i="22"/>
  <c r="AI175" i="22"/>
  <c r="AH175" i="22"/>
  <c r="AG175" i="22"/>
  <c r="AF175" i="22"/>
  <c r="AE175" i="22"/>
  <c r="AA175" i="22"/>
  <c r="V175" i="22"/>
  <c r="U175" i="22"/>
  <c r="T175" i="22"/>
  <c r="S175" i="22"/>
  <c r="P175" i="22"/>
  <c r="O175" i="22"/>
  <c r="H175" i="22"/>
  <c r="N175" i="22" s="1"/>
  <c r="G175" i="22"/>
  <c r="F175" i="22"/>
  <c r="E175" i="22"/>
  <c r="D175" i="22"/>
  <c r="C175" i="22"/>
  <c r="B175" i="22"/>
  <c r="A175" i="22"/>
  <c r="AP174" i="22"/>
  <c r="AO174" i="22"/>
  <c r="AN174" i="22"/>
  <c r="AM174" i="22"/>
  <c r="AL174" i="22"/>
  <c r="AK174" i="22"/>
  <c r="AJ174" i="22"/>
  <c r="AI174" i="22"/>
  <c r="AH174" i="22"/>
  <c r="AG174" i="22"/>
  <c r="AF174" i="22"/>
  <c r="AE174" i="22"/>
  <c r="AA174" i="22"/>
  <c r="V174" i="22"/>
  <c r="U174" i="22"/>
  <c r="T174" i="22"/>
  <c r="S174" i="22"/>
  <c r="P174" i="22"/>
  <c r="O174" i="22"/>
  <c r="H174" i="22"/>
  <c r="N174" i="22" s="1"/>
  <c r="G174" i="22"/>
  <c r="F174" i="22"/>
  <c r="E174" i="22"/>
  <c r="D174" i="22"/>
  <c r="C174" i="22"/>
  <c r="B174" i="22"/>
  <c r="A174" i="22"/>
  <c r="AP173" i="22"/>
  <c r="AO173" i="22"/>
  <c r="AN173" i="22"/>
  <c r="AM173" i="22"/>
  <c r="AL173" i="22"/>
  <c r="AK173" i="22"/>
  <c r="AJ173" i="22"/>
  <c r="AI173" i="22"/>
  <c r="AH173" i="22"/>
  <c r="AG173" i="22"/>
  <c r="AF173" i="22"/>
  <c r="AE173" i="22"/>
  <c r="AA173" i="22"/>
  <c r="V173" i="22"/>
  <c r="U173" i="22"/>
  <c r="T173" i="22"/>
  <c r="S173" i="22"/>
  <c r="P173" i="22"/>
  <c r="O173" i="22"/>
  <c r="H173" i="22"/>
  <c r="N173" i="22" s="1"/>
  <c r="G173" i="22"/>
  <c r="F173" i="22"/>
  <c r="E173" i="22"/>
  <c r="D173" i="22"/>
  <c r="C173" i="22"/>
  <c r="B173" i="22"/>
  <c r="A173" i="22"/>
  <c r="AP172" i="22"/>
  <c r="AO172" i="22"/>
  <c r="AN172" i="22"/>
  <c r="AM172" i="22"/>
  <c r="AL172" i="22"/>
  <c r="AK172" i="22"/>
  <c r="AJ172" i="22"/>
  <c r="AI172" i="22"/>
  <c r="AH172" i="22"/>
  <c r="AG172" i="22"/>
  <c r="AF172" i="22"/>
  <c r="AE172" i="22"/>
  <c r="AA172" i="22"/>
  <c r="V172" i="22"/>
  <c r="U172" i="22"/>
  <c r="T172" i="22"/>
  <c r="S172" i="22"/>
  <c r="P172" i="22"/>
  <c r="O172" i="22"/>
  <c r="H172" i="22"/>
  <c r="N172" i="22" s="1"/>
  <c r="G172" i="22"/>
  <c r="F172" i="22"/>
  <c r="E172" i="22"/>
  <c r="D172" i="22"/>
  <c r="C172" i="22"/>
  <c r="B172" i="22"/>
  <c r="A172" i="22"/>
  <c r="AP171" i="22"/>
  <c r="AO171" i="22"/>
  <c r="AN171" i="22"/>
  <c r="AM171" i="22"/>
  <c r="AL171" i="22"/>
  <c r="AK171" i="22"/>
  <c r="AJ171" i="22"/>
  <c r="AI171" i="22"/>
  <c r="AH171" i="22"/>
  <c r="AG171" i="22"/>
  <c r="AF171" i="22"/>
  <c r="AE171" i="22"/>
  <c r="AA171" i="22"/>
  <c r="V171" i="22"/>
  <c r="U171" i="22"/>
  <c r="T171" i="22"/>
  <c r="S171" i="22"/>
  <c r="P171" i="22"/>
  <c r="O171" i="22"/>
  <c r="H171" i="22"/>
  <c r="N171" i="22" s="1"/>
  <c r="G171" i="22"/>
  <c r="F171" i="22"/>
  <c r="E171" i="22"/>
  <c r="D171" i="22"/>
  <c r="C171" i="22"/>
  <c r="B171" i="22"/>
  <c r="A171" i="22"/>
  <c r="AP170" i="22"/>
  <c r="AO170" i="22"/>
  <c r="AN170" i="22"/>
  <c r="AM170" i="22"/>
  <c r="AL170" i="22"/>
  <c r="AK170" i="22"/>
  <c r="AJ170" i="22"/>
  <c r="AI170" i="22"/>
  <c r="AH170" i="22"/>
  <c r="AG170" i="22"/>
  <c r="AF170" i="22"/>
  <c r="AE170" i="22"/>
  <c r="AA170" i="22"/>
  <c r="V170" i="22"/>
  <c r="U170" i="22"/>
  <c r="T170" i="22"/>
  <c r="S170" i="22"/>
  <c r="P170" i="22"/>
  <c r="O170" i="22"/>
  <c r="H170" i="22"/>
  <c r="N170" i="22" s="1"/>
  <c r="G170" i="22"/>
  <c r="F170" i="22"/>
  <c r="E170" i="22"/>
  <c r="D170" i="22"/>
  <c r="C170" i="22"/>
  <c r="B170" i="22"/>
  <c r="A170" i="22"/>
  <c r="AP169" i="22"/>
  <c r="AO169" i="22"/>
  <c r="AN169" i="22"/>
  <c r="AM169" i="22"/>
  <c r="AL169" i="22"/>
  <c r="AK169" i="22"/>
  <c r="AJ169" i="22"/>
  <c r="AI169" i="22"/>
  <c r="AH169" i="22"/>
  <c r="AG169" i="22"/>
  <c r="AF169" i="22"/>
  <c r="AE169" i="22"/>
  <c r="AA169" i="22"/>
  <c r="V169" i="22"/>
  <c r="U169" i="22"/>
  <c r="T169" i="22"/>
  <c r="S169" i="22"/>
  <c r="P169" i="22"/>
  <c r="O169" i="22"/>
  <c r="H169" i="22"/>
  <c r="N169" i="22" s="1"/>
  <c r="G169" i="22"/>
  <c r="F169" i="22"/>
  <c r="E169" i="22"/>
  <c r="D169" i="22"/>
  <c r="C169" i="22"/>
  <c r="B169" i="22"/>
  <c r="A169" i="22"/>
  <c r="AP168" i="22"/>
  <c r="AO168" i="22"/>
  <c r="AN168" i="22"/>
  <c r="AM168" i="22"/>
  <c r="AL168" i="22"/>
  <c r="AK168" i="22"/>
  <c r="AJ168" i="22"/>
  <c r="AI168" i="22"/>
  <c r="AH168" i="22"/>
  <c r="AG168" i="22"/>
  <c r="AF168" i="22"/>
  <c r="AE168" i="22"/>
  <c r="AA168" i="22"/>
  <c r="V168" i="22"/>
  <c r="U168" i="22"/>
  <c r="T168" i="22"/>
  <c r="S168" i="22"/>
  <c r="P168" i="22"/>
  <c r="O168" i="22"/>
  <c r="H168" i="22"/>
  <c r="N168" i="22" s="1"/>
  <c r="G168" i="22"/>
  <c r="F168" i="22"/>
  <c r="E168" i="22"/>
  <c r="D168" i="22"/>
  <c r="C168" i="22"/>
  <c r="B168" i="22"/>
  <c r="A168" i="22"/>
  <c r="AP167" i="22"/>
  <c r="AO167" i="22"/>
  <c r="AN167" i="22"/>
  <c r="AM167" i="22"/>
  <c r="AL167" i="22"/>
  <c r="AK167" i="22"/>
  <c r="AJ167" i="22"/>
  <c r="AI167" i="22"/>
  <c r="AH167" i="22"/>
  <c r="AG167" i="22"/>
  <c r="AF167" i="22"/>
  <c r="AE167" i="22"/>
  <c r="AA167" i="22"/>
  <c r="V167" i="22"/>
  <c r="U167" i="22"/>
  <c r="T167" i="22"/>
  <c r="S167" i="22"/>
  <c r="P167" i="22"/>
  <c r="O167" i="22"/>
  <c r="H167" i="22"/>
  <c r="N167" i="22" s="1"/>
  <c r="G167" i="22"/>
  <c r="F167" i="22"/>
  <c r="E167" i="22"/>
  <c r="D167" i="22"/>
  <c r="C167" i="22"/>
  <c r="B167" i="22"/>
  <c r="A167" i="22"/>
  <c r="AP166" i="22"/>
  <c r="AO166" i="22"/>
  <c r="AN166" i="22"/>
  <c r="AM166" i="22"/>
  <c r="AL166" i="22"/>
  <c r="AK166" i="22"/>
  <c r="AJ166" i="22"/>
  <c r="AI166" i="22"/>
  <c r="AH166" i="22"/>
  <c r="AG166" i="22"/>
  <c r="AF166" i="22"/>
  <c r="AE166" i="22"/>
  <c r="AA166" i="22"/>
  <c r="V166" i="22"/>
  <c r="U166" i="22"/>
  <c r="T166" i="22"/>
  <c r="S166" i="22"/>
  <c r="P166" i="22"/>
  <c r="O166" i="22"/>
  <c r="H166" i="22"/>
  <c r="N166" i="22" s="1"/>
  <c r="G166" i="22"/>
  <c r="F166" i="22"/>
  <c r="E166" i="22"/>
  <c r="D166" i="22"/>
  <c r="C166" i="22"/>
  <c r="B166" i="22"/>
  <c r="A166" i="22"/>
  <c r="AP165" i="22"/>
  <c r="AO165" i="22"/>
  <c r="AN165" i="22"/>
  <c r="AM165" i="22"/>
  <c r="AL165" i="22"/>
  <c r="AK165" i="22"/>
  <c r="AJ165" i="22"/>
  <c r="AI165" i="22"/>
  <c r="AH165" i="22"/>
  <c r="AG165" i="22"/>
  <c r="AF165" i="22"/>
  <c r="AE165" i="22"/>
  <c r="AA165" i="22"/>
  <c r="V165" i="22"/>
  <c r="U165" i="22"/>
  <c r="T165" i="22"/>
  <c r="S165" i="22"/>
  <c r="P165" i="22"/>
  <c r="O165" i="22"/>
  <c r="H165" i="22"/>
  <c r="N165" i="22" s="1"/>
  <c r="G165" i="22"/>
  <c r="F165" i="22"/>
  <c r="E165" i="22"/>
  <c r="D165" i="22"/>
  <c r="C165" i="22"/>
  <c r="B165" i="22"/>
  <c r="A165" i="22"/>
  <c r="AP164" i="22"/>
  <c r="AO164" i="22"/>
  <c r="AN164" i="22"/>
  <c r="AM164" i="22"/>
  <c r="AL164" i="22"/>
  <c r="AK164" i="22"/>
  <c r="AJ164" i="22"/>
  <c r="AI164" i="22"/>
  <c r="AH164" i="22"/>
  <c r="AG164" i="22"/>
  <c r="AF164" i="22"/>
  <c r="AE164" i="22"/>
  <c r="AA164" i="22"/>
  <c r="V164" i="22"/>
  <c r="U164" i="22"/>
  <c r="T164" i="22"/>
  <c r="S164" i="22"/>
  <c r="P164" i="22"/>
  <c r="O164" i="22"/>
  <c r="H164" i="22"/>
  <c r="N164" i="22" s="1"/>
  <c r="G164" i="22"/>
  <c r="F164" i="22"/>
  <c r="E164" i="22"/>
  <c r="D164" i="22"/>
  <c r="C164" i="22"/>
  <c r="B164" i="22"/>
  <c r="A164" i="22"/>
  <c r="AP163" i="22"/>
  <c r="AO163" i="22"/>
  <c r="AN163" i="22"/>
  <c r="AM163" i="22"/>
  <c r="AL163" i="22"/>
  <c r="AK163" i="22"/>
  <c r="AJ163" i="22"/>
  <c r="AI163" i="22"/>
  <c r="AH163" i="22"/>
  <c r="AG163" i="22"/>
  <c r="AF163" i="22"/>
  <c r="AE163" i="22"/>
  <c r="AA163" i="22"/>
  <c r="V163" i="22"/>
  <c r="U163" i="22"/>
  <c r="T163" i="22"/>
  <c r="S163" i="22"/>
  <c r="P163" i="22"/>
  <c r="O163" i="22"/>
  <c r="N163" i="22"/>
  <c r="H163" i="22"/>
  <c r="G163" i="22"/>
  <c r="F163" i="22"/>
  <c r="E163" i="22"/>
  <c r="D163" i="22"/>
  <c r="C163" i="22"/>
  <c r="B163" i="22"/>
  <c r="A163" i="22"/>
  <c r="AP162" i="22"/>
  <c r="AO162" i="22"/>
  <c r="AN162" i="22"/>
  <c r="AM162" i="22"/>
  <c r="AL162" i="22"/>
  <c r="AK162" i="22"/>
  <c r="AJ162" i="22"/>
  <c r="AI162" i="22"/>
  <c r="AH162" i="22"/>
  <c r="AG162" i="22"/>
  <c r="AF162" i="22"/>
  <c r="AE162" i="22"/>
  <c r="AA162" i="22"/>
  <c r="V162" i="22"/>
  <c r="U162" i="22"/>
  <c r="T162" i="22"/>
  <c r="S162" i="22"/>
  <c r="P162" i="22"/>
  <c r="O162" i="22"/>
  <c r="N162" i="22"/>
  <c r="H162" i="22"/>
  <c r="G162" i="22"/>
  <c r="F162" i="22"/>
  <c r="E162" i="22"/>
  <c r="D162" i="22"/>
  <c r="C162" i="22"/>
  <c r="B162" i="22"/>
  <c r="A162" i="22"/>
  <c r="AP161" i="22"/>
  <c r="AO161" i="22"/>
  <c r="AN161" i="22"/>
  <c r="AM161" i="22"/>
  <c r="AL161" i="22"/>
  <c r="AK161" i="22"/>
  <c r="AJ161" i="22"/>
  <c r="AI161" i="22"/>
  <c r="AH161" i="22"/>
  <c r="AG161" i="22"/>
  <c r="AF161" i="22"/>
  <c r="AE161" i="22"/>
  <c r="AA161" i="22"/>
  <c r="V161" i="22"/>
  <c r="U161" i="22"/>
  <c r="T161" i="22"/>
  <c r="S161" i="22"/>
  <c r="P161" i="22"/>
  <c r="O161" i="22"/>
  <c r="N161" i="22"/>
  <c r="H161" i="22"/>
  <c r="G161" i="22"/>
  <c r="F161" i="22"/>
  <c r="E161" i="22"/>
  <c r="D161" i="22"/>
  <c r="C161" i="22"/>
  <c r="B161" i="22"/>
  <c r="A161" i="22"/>
  <c r="AP160" i="22"/>
  <c r="AO160" i="22"/>
  <c r="AN160" i="22"/>
  <c r="AM160" i="22"/>
  <c r="AL160" i="22"/>
  <c r="AK160" i="22"/>
  <c r="AJ160" i="22"/>
  <c r="AI160" i="22"/>
  <c r="AH160" i="22"/>
  <c r="AG160" i="22"/>
  <c r="AF160" i="22"/>
  <c r="AE160" i="22"/>
  <c r="AA160" i="22"/>
  <c r="V160" i="22"/>
  <c r="U160" i="22"/>
  <c r="T160" i="22"/>
  <c r="S160" i="22"/>
  <c r="P160" i="22"/>
  <c r="O160" i="22"/>
  <c r="N160" i="22"/>
  <c r="H160" i="22"/>
  <c r="G160" i="22"/>
  <c r="F160" i="22"/>
  <c r="E160" i="22"/>
  <c r="D160" i="22"/>
  <c r="C160" i="22"/>
  <c r="B160" i="22"/>
  <c r="A160" i="22"/>
  <c r="AP159" i="22"/>
  <c r="AO159" i="22"/>
  <c r="AN159" i="22"/>
  <c r="AM159" i="22"/>
  <c r="AL159" i="22"/>
  <c r="AK159" i="22"/>
  <c r="AJ159" i="22"/>
  <c r="AI159" i="22"/>
  <c r="AH159" i="22"/>
  <c r="AG159" i="22"/>
  <c r="AF159" i="22"/>
  <c r="AE159" i="22"/>
  <c r="AA159" i="22"/>
  <c r="V159" i="22"/>
  <c r="U159" i="22"/>
  <c r="T159" i="22"/>
  <c r="S159" i="22"/>
  <c r="P159" i="22"/>
  <c r="O159" i="22"/>
  <c r="N159" i="22"/>
  <c r="H159" i="22"/>
  <c r="G159" i="22"/>
  <c r="F159" i="22"/>
  <c r="E159" i="22"/>
  <c r="D159" i="22"/>
  <c r="C159" i="22"/>
  <c r="B159" i="22"/>
  <c r="A159" i="22"/>
  <c r="AP158" i="22"/>
  <c r="AO158" i="22"/>
  <c r="AN158" i="22"/>
  <c r="AM158" i="22"/>
  <c r="AL158" i="22"/>
  <c r="AK158" i="22"/>
  <c r="AJ158" i="22"/>
  <c r="AI158" i="22"/>
  <c r="AH158" i="22"/>
  <c r="AG158" i="22"/>
  <c r="AF158" i="22"/>
  <c r="AE158" i="22"/>
  <c r="AA158" i="22"/>
  <c r="V158" i="22"/>
  <c r="U158" i="22"/>
  <c r="T158" i="22"/>
  <c r="S158" i="22"/>
  <c r="P158" i="22"/>
  <c r="O158" i="22"/>
  <c r="N158" i="22"/>
  <c r="H158" i="22"/>
  <c r="G158" i="22"/>
  <c r="F158" i="22"/>
  <c r="E158" i="22"/>
  <c r="D158" i="22"/>
  <c r="C158" i="22"/>
  <c r="B158" i="22"/>
  <c r="A158" i="22"/>
  <c r="AP157" i="22"/>
  <c r="AO157" i="22"/>
  <c r="AN157" i="22"/>
  <c r="AM157" i="22"/>
  <c r="AL157" i="22"/>
  <c r="AK157" i="22"/>
  <c r="AJ157" i="22"/>
  <c r="AI157" i="22"/>
  <c r="AH157" i="22"/>
  <c r="AG157" i="22"/>
  <c r="AF157" i="22"/>
  <c r="AE157" i="22"/>
  <c r="AA157" i="22"/>
  <c r="V157" i="22"/>
  <c r="U157" i="22"/>
  <c r="T157" i="22"/>
  <c r="S157" i="22"/>
  <c r="P157" i="22"/>
  <c r="O157" i="22"/>
  <c r="N157" i="22"/>
  <c r="H157" i="22"/>
  <c r="G157" i="22"/>
  <c r="F157" i="22"/>
  <c r="E157" i="22"/>
  <c r="D157" i="22"/>
  <c r="C157" i="22"/>
  <c r="B157" i="22"/>
  <c r="A157" i="22"/>
  <c r="AP156" i="22"/>
  <c r="AO156" i="22"/>
  <c r="AN156" i="22"/>
  <c r="AM156" i="22"/>
  <c r="AL156" i="22"/>
  <c r="AK156" i="22"/>
  <c r="AJ156" i="22"/>
  <c r="AI156" i="22"/>
  <c r="AH156" i="22"/>
  <c r="AG156" i="22"/>
  <c r="AF156" i="22"/>
  <c r="AE156" i="22"/>
  <c r="AA156" i="22"/>
  <c r="V156" i="22"/>
  <c r="U156" i="22"/>
  <c r="T156" i="22"/>
  <c r="S156" i="22"/>
  <c r="P156" i="22"/>
  <c r="O156" i="22"/>
  <c r="N156" i="22"/>
  <c r="H156" i="22"/>
  <c r="G156" i="22"/>
  <c r="F156" i="22"/>
  <c r="E156" i="22"/>
  <c r="D156" i="22"/>
  <c r="C156" i="22"/>
  <c r="B156" i="22"/>
  <c r="A156" i="22"/>
  <c r="AP155" i="22"/>
  <c r="AO155" i="22"/>
  <c r="AN155" i="22"/>
  <c r="AM155" i="22"/>
  <c r="AL155" i="22"/>
  <c r="AK155" i="22"/>
  <c r="AJ155" i="22"/>
  <c r="AI155" i="22"/>
  <c r="AH155" i="22"/>
  <c r="AG155" i="22"/>
  <c r="AF155" i="22"/>
  <c r="AE155" i="22"/>
  <c r="AA155" i="22"/>
  <c r="V155" i="22"/>
  <c r="U155" i="22"/>
  <c r="T155" i="22"/>
  <c r="S155" i="22"/>
  <c r="P155" i="22"/>
  <c r="O155" i="22"/>
  <c r="N155" i="22"/>
  <c r="H155" i="22"/>
  <c r="G155" i="22"/>
  <c r="F155" i="22"/>
  <c r="E155" i="22"/>
  <c r="D155" i="22"/>
  <c r="C155" i="22"/>
  <c r="B155" i="22"/>
  <c r="A155" i="22"/>
  <c r="AP154" i="22"/>
  <c r="AO154" i="22"/>
  <c r="AN154" i="22"/>
  <c r="AM154" i="22"/>
  <c r="AL154" i="22"/>
  <c r="AK154" i="22"/>
  <c r="AJ154" i="22"/>
  <c r="AI154" i="22"/>
  <c r="AH154" i="22"/>
  <c r="AG154" i="22"/>
  <c r="AF154" i="22"/>
  <c r="AE154" i="22"/>
  <c r="AA154" i="22"/>
  <c r="V154" i="22"/>
  <c r="U154" i="22"/>
  <c r="T154" i="22"/>
  <c r="S154" i="22"/>
  <c r="P154" i="22"/>
  <c r="O154" i="22"/>
  <c r="N154" i="22"/>
  <c r="H154" i="22"/>
  <c r="G154" i="22"/>
  <c r="F154" i="22"/>
  <c r="E154" i="22"/>
  <c r="D154" i="22"/>
  <c r="C154" i="22"/>
  <c r="B154" i="22"/>
  <c r="A154" i="22"/>
  <c r="AP153" i="22"/>
  <c r="AO153" i="22"/>
  <c r="AN153" i="22"/>
  <c r="AM153" i="22"/>
  <c r="AL153" i="22"/>
  <c r="AK153" i="22"/>
  <c r="AJ153" i="22"/>
  <c r="AI153" i="22"/>
  <c r="AH153" i="22"/>
  <c r="AG153" i="22"/>
  <c r="AF153" i="22"/>
  <c r="AE153" i="22"/>
  <c r="AA153" i="22"/>
  <c r="V153" i="22"/>
  <c r="U153" i="22"/>
  <c r="T153" i="22"/>
  <c r="S153" i="22"/>
  <c r="P153" i="22"/>
  <c r="O153" i="22"/>
  <c r="N153" i="22"/>
  <c r="H153" i="22"/>
  <c r="G153" i="22"/>
  <c r="F153" i="22"/>
  <c r="E153" i="22"/>
  <c r="D153" i="22"/>
  <c r="C153" i="22"/>
  <c r="B153" i="22"/>
  <c r="A153" i="22"/>
  <c r="AP152" i="22"/>
  <c r="AO152" i="22"/>
  <c r="AN152" i="22"/>
  <c r="AM152" i="22"/>
  <c r="AL152" i="22"/>
  <c r="AK152" i="22"/>
  <c r="AJ152" i="22"/>
  <c r="AI152" i="22"/>
  <c r="AH152" i="22"/>
  <c r="AG152" i="22"/>
  <c r="AF152" i="22"/>
  <c r="AE152" i="22"/>
  <c r="AA152" i="22"/>
  <c r="V152" i="22"/>
  <c r="U152" i="22"/>
  <c r="T152" i="22"/>
  <c r="S152" i="22"/>
  <c r="P152" i="22"/>
  <c r="O152" i="22"/>
  <c r="N152" i="22"/>
  <c r="H152" i="22"/>
  <c r="G152" i="22"/>
  <c r="F152" i="22"/>
  <c r="E152" i="22"/>
  <c r="D152" i="22"/>
  <c r="C152" i="22"/>
  <c r="B152" i="22"/>
  <c r="A152" i="22"/>
  <c r="AP151" i="22"/>
  <c r="AO151" i="22"/>
  <c r="AN151" i="22"/>
  <c r="AM151" i="22"/>
  <c r="AL151" i="22"/>
  <c r="AK151" i="22"/>
  <c r="AJ151" i="22"/>
  <c r="AI151" i="22"/>
  <c r="AH151" i="22"/>
  <c r="AG151" i="22"/>
  <c r="AF151" i="22"/>
  <c r="AE151" i="22"/>
  <c r="AA151" i="22"/>
  <c r="V151" i="22"/>
  <c r="U151" i="22"/>
  <c r="T151" i="22"/>
  <c r="S151" i="22"/>
  <c r="P151" i="22"/>
  <c r="O151" i="22"/>
  <c r="N151" i="22"/>
  <c r="H151" i="22"/>
  <c r="G151" i="22"/>
  <c r="F151" i="22"/>
  <c r="E151" i="22"/>
  <c r="D151" i="22"/>
  <c r="C151" i="22"/>
  <c r="B151" i="22"/>
  <c r="A151" i="22"/>
  <c r="AP150" i="22"/>
  <c r="AO150" i="22"/>
  <c r="AN150" i="22"/>
  <c r="AM150" i="22"/>
  <c r="AL150" i="22"/>
  <c r="AK150" i="22"/>
  <c r="AJ150" i="22"/>
  <c r="AI150" i="22"/>
  <c r="AH150" i="22"/>
  <c r="AG150" i="22"/>
  <c r="AF150" i="22"/>
  <c r="AE150" i="22"/>
  <c r="AA150" i="22"/>
  <c r="V150" i="22"/>
  <c r="U150" i="22"/>
  <c r="T150" i="22"/>
  <c r="S150" i="22"/>
  <c r="P150" i="22"/>
  <c r="O150" i="22"/>
  <c r="N150" i="22"/>
  <c r="H150" i="22"/>
  <c r="G150" i="22"/>
  <c r="F150" i="22"/>
  <c r="E150" i="22"/>
  <c r="D150" i="22"/>
  <c r="C150" i="22"/>
  <c r="B150" i="22"/>
  <c r="A150" i="22"/>
  <c r="AP149" i="22"/>
  <c r="AO149" i="22"/>
  <c r="AN149" i="22"/>
  <c r="AM149" i="22"/>
  <c r="AL149" i="22"/>
  <c r="AK149" i="22"/>
  <c r="AJ149" i="22"/>
  <c r="AI149" i="22"/>
  <c r="AH149" i="22"/>
  <c r="AG149" i="22"/>
  <c r="AF149" i="22"/>
  <c r="AE149" i="22"/>
  <c r="AA149" i="22"/>
  <c r="V149" i="22"/>
  <c r="U149" i="22"/>
  <c r="T149" i="22"/>
  <c r="S149" i="22"/>
  <c r="P149" i="22"/>
  <c r="O149" i="22"/>
  <c r="N149" i="22"/>
  <c r="H149" i="22"/>
  <c r="G149" i="22"/>
  <c r="F149" i="22"/>
  <c r="E149" i="22"/>
  <c r="D149" i="22"/>
  <c r="C149" i="22"/>
  <c r="B149" i="22"/>
  <c r="A149" i="22"/>
  <c r="AP148" i="22"/>
  <c r="AO148" i="22"/>
  <c r="AN148" i="22"/>
  <c r="AM148" i="22"/>
  <c r="AL148" i="22"/>
  <c r="AK148" i="22"/>
  <c r="AJ148" i="22"/>
  <c r="AI148" i="22"/>
  <c r="AH148" i="22"/>
  <c r="AG148" i="22"/>
  <c r="AF148" i="22"/>
  <c r="AE148" i="22"/>
  <c r="AA148" i="22"/>
  <c r="V148" i="22"/>
  <c r="U148" i="22"/>
  <c r="T148" i="22"/>
  <c r="S148" i="22"/>
  <c r="P148" i="22"/>
  <c r="O148" i="22"/>
  <c r="N148" i="22"/>
  <c r="H148" i="22"/>
  <c r="G148" i="22"/>
  <c r="F148" i="22"/>
  <c r="E148" i="22"/>
  <c r="D148" i="22"/>
  <c r="C148" i="22"/>
  <c r="B148" i="22"/>
  <c r="A148" i="22"/>
  <c r="AP147" i="22"/>
  <c r="AO147" i="22"/>
  <c r="AN147" i="22"/>
  <c r="AM147" i="22"/>
  <c r="AL147" i="22"/>
  <c r="AK147" i="22"/>
  <c r="AJ147" i="22"/>
  <c r="AI147" i="22"/>
  <c r="AH147" i="22"/>
  <c r="AG147" i="22"/>
  <c r="AF147" i="22"/>
  <c r="AE147" i="22"/>
  <c r="AA147" i="22"/>
  <c r="V147" i="22"/>
  <c r="U147" i="22"/>
  <c r="T147" i="22"/>
  <c r="S147" i="22"/>
  <c r="P147" i="22"/>
  <c r="O147" i="22"/>
  <c r="N147" i="22"/>
  <c r="H147" i="22"/>
  <c r="G147" i="22"/>
  <c r="F147" i="22"/>
  <c r="E147" i="22"/>
  <c r="D147" i="22"/>
  <c r="C147" i="22"/>
  <c r="B147" i="22"/>
  <c r="A147" i="22"/>
  <c r="AP146" i="22"/>
  <c r="AO146" i="22"/>
  <c r="AN146" i="22"/>
  <c r="AM146" i="22"/>
  <c r="AL146" i="22"/>
  <c r="AK146" i="22"/>
  <c r="AJ146" i="22"/>
  <c r="AI146" i="22"/>
  <c r="AH146" i="22"/>
  <c r="AG146" i="22"/>
  <c r="AF146" i="22"/>
  <c r="AE146" i="22"/>
  <c r="AA146" i="22"/>
  <c r="V146" i="22"/>
  <c r="U146" i="22"/>
  <c r="T146" i="22"/>
  <c r="S146" i="22"/>
  <c r="P146" i="22"/>
  <c r="O146" i="22"/>
  <c r="N146" i="22"/>
  <c r="H146" i="22"/>
  <c r="G146" i="22"/>
  <c r="F146" i="22"/>
  <c r="E146" i="22"/>
  <c r="D146" i="22"/>
  <c r="C146" i="22"/>
  <c r="B146" i="22"/>
  <c r="A146" i="22"/>
  <c r="AP145" i="22"/>
  <c r="AO145" i="22"/>
  <c r="AN145" i="22"/>
  <c r="AM145" i="22"/>
  <c r="AL145" i="22"/>
  <c r="AK145" i="22"/>
  <c r="AJ145" i="22"/>
  <c r="AI145" i="22"/>
  <c r="AH145" i="22"/>
  <c r="AG145" i="22"/>
  <c r="AF145" i="22"/>
  <c r="AE145" i="22"/>
  <c r="AA145" i="22"/>
  <c r="V145" i="22"/>
  <c r="U145" i="22"/>
  <c r="T145" i="22"/>
  <c r="S145" i="22"/>
  <c r="P145" i="22"/>
  <c r="O145" i="22"/>
  <c r="N145" i="22"/>
  <c r="H145" i="22"/>
  <c r="G145" i="22"/>
  <c r="F145" i="22"/>
  <c r="E145" i="22"/>
  <c r="D145" i="22"/>
  <c r="C145" i="22"/>
  <c r="B145" i="22"/>
  <c r="A145" i="22"/>
  <c r="AP144" i="22"/>
  <c r="AO144" i="22"/>
  <c r="AN144" i="22"/>
  <c r="AM144" i="22"/>
  <c r="AL144" i="22"/>
  <c r="AK144" i="22"/>
  <c r="AJ144" i="22"/>
  <c r="AI144" i="22"/>
  <c r="AH144" i="22"/>
  <c r="AG144" i="22"/>
  <c r="AF144" i="22"/>
  <c r="AE144" i="22"/>
  <c r="AA144" i="22"/>
  <c r="V144" i="22"/>
  <c r="U144" i="22"/>
  <c r="T144" i="22"/>
  <c r="S144" i="22"/>
  <c r="P144" i="22"/>
  <c r="O144" i="22"/>
  <c r="N144" i="22"/>
  <c r="H144" i="22"/>
  <c r="G144" i="22"/>
  <c r="F144" i="22"/>
  <c r="E144" i="22"/>
  <c r="D144" i="22"/>
  <c r="C144" i="22"/>
  <c r="B144" i="22"/>
  <c r="A144" i="22"/>
  <c r="AP143" i="22"/>
  <c r="AO143" i="22"/>
  <c r="AN143" i="22"/>
  <c r="AM143" i="22"/>
  <c r="AL143" i="22"/>
  <c r="AK143" i="22"/>
  <c r="AJ143" i="22"/>
  <c r="AI143" i="22"/>
  <c r="AH143" i="22"/>
  <c r="AG143" i="22"/>
  <c r="AF143" i="22"/>
  <c r="AE143" i="22"/>
  <c r="AA143" i="22"/>
  <c r="V143" i="22"/>
  <c r="U143" i="22"/>
  <c r="T143" i="22"/>
  <c r="S143" i="22"/>
  <c r="P143" i="22"/>
  <c r="O143" i="22"/>
  <c r="N143" i="22"/>
  <c r="H143" i="22"/>
  <c r="G143" i="22"/>
  <c r="F143" i="22"/>
  <c r="E143" i="22"/>
  <c r="D143" i="22"/>
  <c r="C143" i="22"/>
  <c r="B143" i="22"/>
  <c r="A143" i="22"/>
  <c r="AP142" i="22"/>
  <c r="AO142" i="22"/>
  <c r="AN142" i="22"/>
  <c r="AM142" i="22"/>
  <c r="AL142" i="22"/>
  <c r="AK142" i="22"/>
  <c r="AJ142" i="22"/>
  <c r="AI142" i="22"/>
  <c r="AH142" i="22"/>
  <c r="AG142" i="22"/>
  <c r="AF142" i="22"/>
  <c r="AE142" i="22"/>
  <c r="AA142" i="22"/>
  <c r="V142" i="22"/>
  <c r="U142" i="22"/>
  <c r="T142" i="22"/>
  <c r="S142" i="22"/>
  <c r="P142" i="22"/>
  <c r="O142" i="22"/>
  <c r="N142" i="22"/>
  <c r="H142" i="22"/>
  <c r="G142" i="22"/>
  <c r="F142" i="22"/>
  <c r="E142" i="22"/>
  <c r="D142" i="22"/>
  <c r="C142" i="22"/>
  <c r="B142" i="22"/>
  <c r="A142" i="22"/>
  <c r="AP141" i="22"/>
  <c r="AO141" i="22"/>
  <c r="AN141" i="22"/>
  <c r="AM141" i="22"/>
  <c r="AL141" i="22"/>
  <c r="AK141" i="22"/>
  <c r="AJ141" i="22"/>
  <c r="AI141" i="22"/>
  <c r="AH141" i="22"/>
  <c r="AG141" i="22"/>
  <c r="AF141" i="22"/>
  <c r="AE141" i="22"/>
  <c r="AA141" i="22"/>
  <c r="V141" i="22"/>
  <c r="U141" i="22"/>
  <c r="T141" i="22"/>
  <c r="S141" i="22"/>
  <c r="P141" i="22"/>
  <c r="O141" i="22"/>
  <c r="N141" i="22"/>
  <c r="H141" i="22"/>
  <c r="G141" i="22"/>
  <c r="F141" i="22"/>
  <c r="E141" i="22"/>
  <c r="D141" i="22"/>
  <c r="C141" i="22"/>
  <c r="B141" i="22"/>
  <c r="A141" i="22"/>
  <c r="AP140" i="22"/>
  <c r="AO140" i="22"/>
  <c r="AN140" i="22"/>
  <c r="AM140" i="22"/>
  <c r="AL140" i="22"/>
  <c r="AK140" i="22"/>
  <c r="AJ140" i="22"/>
  <c r="AI140" i="22"/>
  <c r="AH140" i="22"/>
  <c r="AG140" i="22"/>
  <c r="AF140" i="22"/>
  <c r="AE140" i="22"/>
  <c r="AA140" i="22"/>
  <c r="V140" i="22"/>
  <c r="U140" i="22"/>
  <c r="T140" i="22"/>
  <c r="S140" i="22"/>
  <c r="P140" i="22"/>
  <c r="O140" i="22"/>
  <c r="N140" i="22"/>
  <c r="H140" i="22"/>
  <c r="G140" i="22"/>
  <c r="F140" i="22"/>
  <c r="E140" i="22"/>
  <c r="D140" i="22"/>
  <c r="C140" i="22"/>
  <c r="B140" i="22"/>
  <c r="A140" i="22"/>
  <c r="AP139" i="22"/>
  <c r="AO139" i="22"/>
  <c r="AN139" i="22"/>
  <c r="AM139" i="22"/>
  <c r="AL139" i="22"/>
  <c r="AK139" i="22"/>
  <c r="AJ139" i="22"/>
  <c r="AI139" i="22"/>
  <c r="AH139" i="22"/>
  <c r="AG139" i="22"/>
  <c r="AF139" i="22"/>
  <c r="AE139" i="22"/>
  <c r="AA139" i="22"/>
  <c r="V139" i="22"/>
  <c r="U139" i="22"/>
  <c r="T139" i="22"/>
  <c r="S139" i="22"/>
  <c r="P139" i="22"/>
  <c r="O139" i="22"/>
  <c r="N139" i="22"/>
  <c r="H139" i="22"/>
  <c r="G139" i="22"/>
  <c r="F139" i="22"/>
  <c r="E139" i="22"/>
  <c r="D139" i="22"/>
  <c r="C139" i="22"/>
  <c r="B139" i="22"/>
  <c r="A139" i="22"/>
  <c r="AP138" i="22"/>
  <c r="AO138" i="22"/>
  <c r="AN138" i="22"/>
  <c r="AM138" i="22"/>
  <c r="AL138" i="22"/>
  <c r="AK138" i="22"/>
  <c r="AJ138" i="22"/>
  <c r="AI138" i="22"/>
  <c r="AH138" i="22"/>
  <c r="AG138" i="22"/>
  <c r="AF138" i="22"/>
  <c r="AE138" i="22"/>
  <c r="AA138" i="22"/>
  <c r="V138" i="22"/>
  <c r="U138" i="22"/>
  <c r="T138" i="22"/>
  <c r="S138" i="22"/>
  <c r="P138" i="22"/>
  <c r="O138" i="22"/>
  <c r="N138" i="22"/>
  <c r="H138" i="22"/>
  <c r="G138" i="22"/>
  <c r="F138" i="22"/>
  <c r="E138" i="22"/>
  <c r="D138" i="22"/>
  <c r="C138" i="22"/>
  <c r="B138" i="22"/>
  <c r="A138" i="22"/>
  <c r="AP137" i="22"/>
  <c r="AO137" i="22"/>
  <c r="AN137" i="22"/>
  <c r="AM137" i="22"/>
  <c r="AL137" i="22"/>
  <c r="AK137" i="22"/>
  <c r="AJ137" i="22"/>
  <c r="AI137" i="22"/>
  <c r="AH137" i="22"/>
  <c r="AG137" i="22"/>
  <c r="AF137" i="22"/>
  <c r="AE137" i="22"/>
  <c r="AA137" i="22"/>
  <c r="V137" i="22"/>
  <c r="U137" i="22"/>
  <c r="T137" i="22"/>
  <c r="S137" i="22"/>
  <c r="P137" i="22"/>
  <c r="O137" i="22"/>
  <c r="N137" i="22"/>
  <c r="H137" i="22"/>
  <c r="G137" i="22"/>
  <c r="F137" i="22"/>
  <c r="E137" i="22"/>
  <c r="D137" i="22"/>
  <c r="C137" i="22"/>
  <c r="B137" i="22"/>
  <c r="A137" i="22"/>
  <c r="AP136" i="22"/>
  <c r="AO136" i="22"/>
  <c r="AN136" i="22"/>
  <c r="AM136" i="22"/>
  <c r="AL136" i="22"/>
  <c r="AK136" i="22"/>
  <c r="AJ136" i="22"/>
  <c r="AI136" i="22"/>
  <c r="AH136" i="22"/>
  <c r="AG136" i="22"/>
  <c r="AF136" i="22"/>
  <c r="AE136" i="22"/>
  <c r="AA136" i="22"/>
  <c r="V136" i="22"/>
  <c r="U136" i="22"/>
  <c r="T136" i="22"/>
  <c r="S136" i="22"/>
  <c r="P136" i="22"/>
  <c r="O136" i="22"/>
  <c r="N136" i="22"/>
  <c r="H136" i="22"/>
  <c r="G136" i="22"/>
  <c r="F136" i="22"/>
  <c r="E136" i="22"/>
  <c r="D136" i="22"/>
  <c r="C136" i="22"/>
  <c r="B136" i="22"/>
  <c r="A136" i="22"/>
  <c r="AP135" i="22"/>
  <c r="AO135" i="22"/>
  <c r="AN135" i="22"/>
  <c r="AM135" i="22"/>
  <c r="AL135" i="22"/>
  <c r="AK135" i="22"/>
  <c r="AJ135" i="22"/>
  <c r="AI135" i="22"/>
  <c r="AH135" i="22"/>
  <c r="AG135" i="22"/>
  <c r="AF135" i="22"/>
  <c r="AE135" i="22"/>
  <c r="AA135" i="22"/>
  <c r="V135" i="22"/>
  <c r="U135" i="22"/>
  <c r="T135" i="22"/>
  <c r="S135" i="22"/>
  <c r="P135" i="22"/>
  <c r="O135" i="22"/>
  <c r="N135" i="22"/>
  <c r="H135" i="22"/>
  <c r="G135" i="22"/>
  <c r="F135" i="22"/>
  <c r="E135" i="22"/>
  <c r="D135" i="22"/>
  <c r="C135" i="22"/>
  <c r="B135" i="22"/>
  <c r="A135" i="22"/>
  <c r="AP134" i="22"/>
  <c r="AO134" i="22"/>
  <c r="AN134" i="22"/>
  <c r="AM134" i="22"/>
  <c r="AL134" i="22"/>
  <c r="AK134" i="22"/>
  <c r="AJ134" i="22"/>
  <c r="AI134" i="22"/>
  <c r="AH134" i="22"/>
  <c r="AG134" i="22"/>
  <c r="AF134" i="22"/>
  <c r="AE134" i="22"/>
  <c r="AA134" i="22"/>
  <c r="V134" i="22"/>
  <c r="U134" i="22"/>
  <c r="T134" i="22"/>
  <c r="S134" i="22"/>
  <c r="P134" i="22"/>
  <c r="O134" i="22"/>
  <c r="N134" i="22"/>
  <c r="H134" i="22"/>
  <c r="G134" i="22"/>
  <c r="F134" i="22"/>
  <c r="E134" i="22"/>
  <c r="D134" i="22"/>
  <c r="C134" i="22"/>
  <c r="B134" i="22"/>
  <c r="A134" i="22"/>
  <c r="AP133" i="22"/>
  <c r="AO133" i="22"/>
  <c r="AN133" i="22"/>
  <c r="AM133" i="22"/>
  <c r="AL133" i="22"/>
  <c r="AK133" i="22"/>
  <c r="AJ133" i="22"/>
  <c r="AI133" i="22"/>
  <c r="AH133" i="22"/>
  <c r="AG133" i="22"/>
  <c r="AF133" i="22"/>
  <c r="AE133" i="22"/>
  <c r="AA133" i="22"/>
  <c r="V133" i="22"/>
  <c r="U133" i="22"/>
  <c r="T133" i="22"/>
  <c r="S133" i="22"/>
  <c r="P133" i="22"/>
  <c r="O133" i="22"/>
  <c r="N133" i="22"/>
  <c r="H133" i="22"/>
  <c r="G133" i="22"/>
  <c r="F133" i="22"/>
  <c r="E133" i="22"/>
  <c r="D133" i="22"/>
  <c r="C133" i="22"/>
  <c r="B133" i="22"/>
  <c r="A133" i="22"/>
  <c r="AP132" i="22"/>
  <c r="AO132" i="22"/>
  <c r="AN132" i="22"/>
  <c r="AM132" i="22"/>
  <c r="AL132" i="22"/>
  <c r="AK132" i="22"/>
  <c r="AJ132" i="22"/>
  <c r="AI132" i="22"/>
  <c r="AH132" i="22"/>
  <c r="AG132" i="22"/>
  <c r="AF132" i="22"/>
  <c r="AE132" i="22"/>
  <c r="AA132" i="22"/>
  <c r="V132" i="22"/>
  <c r="U132" i="22"/>
  <c r="T132" i="22"/>
  <c r="S132" i="22"/>
  <c r="P132" i="22"/>
  <c r="O132" i="22"/>
  <c r="N132" i="22"/>
  <c r="H132" i="22"/>
  <c r="G132" i="22"/>
  <c r="F132" i="22"/>
  <c r="E132" i="22"/>
  <c r="D132" i="22"/>
  <c r="C132" i="22"/>
  <c r="B132" i="22"/>
  <c r="A132" i="22"/>
  <c r="AP131" i="22"/>
  <c r="AO131" i="22"/>
  <c r="AN131" i="22"/>
  <c r="AM131" i="22"/>
  <c r="AL131" i="22"/>
  <c r="AK131" i="22"/>
  <c r="AJ131" i="22"/>
  <c r="AI131" i="22"/>
  <c r="AH131" i="22"/>
  <c r="AG131" i="22"/>
  <c r="AF131" i="22"/>
  <c r="AE131" i="22"/>
  <c r="AA131" i="22"/>
  <c r="V131" i="22"/>
  <c r="U131" i="22"/>
  <c r="T131" i="22"/>
  <c r="S131" i="22"/>
  <c r="P131" i="22"/>
  <c r="O131" i="22"/>
  <c r="N131" i="22"/>
  <c r="H131" i="22"/>
  <c r="G131" i="22"/>
  <c r="F131" i="22"/>
  <c r="E131" i="22"/>
  <c r="D131" i="22"/>
  <c r="C131" i="22"/>
  <c r="B131" i="22"/>
  <c r="A131" i="22"/>
  <c r="AP130" i="22"/>
  <c r="AO130" i="22"/>
  <c r="AN130" i="22"/>
  <c r="AM130" i="22"/>
  <c r="AL130" i="22"/>
  <c r="AK130" i="22"/>
  <c r="AJ130" i="22"/>
  <c r="AI130" i="22"/>
  <c r="AH130" i="22"/>
  <c r="AG130" i="22"/>
  <c r="AF130" i="22"/>
  <c r="AE130" i="22"/>
  <c r="AA130" i="22"/>
  <c r="V130" i="22"/>
  <c r="U130" i="22"/>
  <c r="T130" i="22"/>
  <c r="S130" i="22"/>
  <c r="P130" i="22"/>
  <c r="O130" i="22"/>
  <c r="N130" i="22"/>
  <c r="H130" i="22"/>
  <c r="G130" i="22"/>
  <c r="F130" i="22"/>
  <c r="E130" i="22"/>
  <c r="D130" i="22"/>
  <c r="C130" i="22"/>
  <c r="B130" i="22"/>
  <c r="A130" i="22"/>
  <c r="AP129" i="22"/>
  <c r="AO129" i="22"/>
  <c r="AN129" i="22"/>
  <c r="AM129" i="22"/>
  <c r="AL129" i="22"/>
  <c r="AK129" i="22"/>
  <c r="AJ129" i="22"/>
  <c r="AI129" i="22"/>
  <c r="AH129" i="22"/>
  <c r="AG129" i="22"/>
  <c r="AF129" i="22"/>
  <c r="AE129" i="22"/>
  <c r="AA129" i="22"/>
  <c r="V129" i="22"/>
  <c r="U129" i="22"/>
  <c r="T129" i="22"/>
  <c r="S129" i="22"/>
  <c r="P129" i="22"/>
  <c r="O129" i="22"/>
  <c r="N129" i="22"/>
  <c r="H129" i="22"/>
  <c r="G129" i="22"/>
  <c r="F129" i="22"/>
  <c r="E129" i="22"/>
  <c r="D129" i="22"/>
  <c r="C129" i="22"/>
  <c r="B129" i="22"/>
  <c r="A129" i="22"/>
  <c r="AP128" i="22"/>
  <c r="AO128" i="22"/>
  <c r="AN128" i="22"/>
  <c r="AM128" i="22"/>
  <c r="AL128" i="22"/>
  <c r="AK128" i="22"/>
  <c r="AJ128" i="22"/>
  <c r="AI128" i="22"/>
  <c r="AH128" i="22"/>
  <c r="AG128" i="22"/>
  <c r="AF128" i="22"/>
  <c r="AE128" i="22"/>
  <c r="AA128" i="22"/>
  <c r="V128" i="22"/>
  <c r="U128" i="22"/>
  <c r="T128" i="22"/>
  <c r="S128" i="22"/>
  <c r="P128" i="22"/>
  <c r="O128" i="22"/>
  <c r="N128" i="22"/>
  <c r="H128" i="22"/>
  <c r="G128" i="22"/>
  <c r="F128" i="22"/>
  <c r="E128" i="22"/>
  <c r="D128" i="22"/>
  <c r="C128" i="22"/>
  <c r="B128" i="22"/>
  <c r="A128" i="22"/>
  <c r="AP127" i="22"/>
  <c r="AO127" i="22"/>
  <c r="AN127" i="22"/>
  <c r="AM127" i="22"/>
  <c r="AL127" i="22"/>
  <c r="AK127" i="22"/>
  <c r="AJ127" i="22"/>
  <c r="AI127" i="22"/>
  <c r="AH127" i="22"/>
  <c r="AG127" i="22"/>
  <c r="AF127" i="22"/>
  <c r="AE127" i="22"/>
  <c r="AA127" i="22"/>
  <c r="V127" i="22"/>
  <c r="U127" i="22"/>
  <c r="T127" i="22"/>
  <c r="S127" i="22"/>
  <c r="P127" i="22"/>
  <c r="O127" i="22"/>
  <c r="N127" i="22"/>
  <c r="H127" i="22"/>
  <c r="G127" i="22"/>
  <c r="F127" i="22"/>
  <c r="E127" i="22"/>
  <c r="D127" i="22"/>
  <c r="C127" i="22"/>
  <c r="B127" i="22"/>
  <c r="A127" i="22"/>
  <c r="AP126" i="22"/>
  <c r="AO126" i="22"/>
  <c r="AN126" i="22"/>
  <c r="AM126" i="22"/>
  <c r="AL126" i="22"/>
  <c r="AK126" i="22"/>
  <c r="AJ126" i="22"/>
  <c r="AI126" i="22"/>
  <c r="AH126" i="22"/>
  <c r="AG126" i="22"/>
  <c r="AF126" i="22"/>
  <c r="AE126" i="22"/>
  <c r="AA126" i="22"/>
  <c r="V126" i="22"/>
  <c r="U126" i="22"/>
  <c r="T126" i="22"/>
  <c r="S126" i="22"/>
  <c r="P126" i="22"/>
  <c r="O126" i="22"/>
  <c r="N126" i="22"/>
  <c r="H126" i="22"/>
  <c r="G126" i="22"/>
  <c r="F126" i="22"/>
  <c r="E126" i="22"/>
  <c r="D126" i="22"/>
  <c r="C126" i="22"/>
  <c r="B126" i="22"/>
  <c r="A126" i="22"/>
  <c r="AP125" i="22"/>
  <c r="AO125" i="22"/>
  <c r="AN125" i="22"/>
  <c r="AM125" i="22"/>
  <c r="AL125" i="22"/>
  <c r="AK125" i="22"/>
  <c r="AJ125" i="22"/>
  <c r="AI125" i="22"/>
  <c r="AH125" i="22"/>
  <c r="AG125" i="22"/>
  <c r="AF125" i="22"/>
  <c r="AE125" i="22"/>
  <c r="AA125" i="22"/>
  <c r="V125" i="22"/>
  <c r="U125" i="22"/>
  <c r="T125" i="22"/>
  <c r="S125" i="22"/>
  <c r="P125" i="22"/>
  <c r="O125" i="22"/>
  <c r="N125" i="22"/>
  <c r="H125" i="22"/>
  <c r="G125" i="22"/>
  <c r="F125" i="22"/>
  <c r="E125" i="22"/>
  <c r="D125" i="22"/>
  <c r="C125" i="22"/>
  <c r="B125" i="22"/>
  <c r="A125" i="22"/>
  <c r="AP124" i="22"/>
  <c r="AO124" i="22"/>
  <c r="AN124" i="22"/>
  <c r="AM124" i="22"/>
  <c r="AL124" i="22"/>
  <c r="AK124" i="22"/>
  <c r="AJ124" i="22"/>
  <c r="AI124" i="22"/>
  <c r="AH124" i="22"/>
  <c r="AG124" i="22"/>
  <c r="AF124" i="22"/>
  <c r="AE124" i="22"/>
  <c r="AA124" i="22"/>
  <c r="V124" i="22"/>
  <c r="U124" i="22"/>
  <c r="T124" i="22"/>
  <c r="S124" i="22"/>
  <c r="P124" i="22"/>
  <c r="O124" i="22"/>
  <c r="N124" i="22"/>
  <c r="H124" i="22"/>
  <c r="G124" i="22"/>
  <c r="F124" i="22"/>
  <c r="E124" i="22"/>
  <c r="D124" i="22"/>
  <c r="C124" i="22"/>
  <c r="B124" i="22"/>
  <c r="A124" i="22"/>
  <c r="AP123" i="22"/>
  <c r="AO123" i="22"/>
  <c r="AN123" i="22"/>
  <c r="AM123" i="22"/>
  <c r="AL123" i="22"/>
  <c r="AK123" i="22"/>
  <c r="AJ123" i="22"/>
  <c r="AI123" i="22"/>
  <c r="AH123" i="22"/>
  <c r="AG123" i="22"/>
  <c r="AF123" i="22"/>
  <c r="AE123" i="22"/>
  <c r="AA123" i="22"/>
  <c r="V123" i="22"/>
  <c r="U123" i="22"/>
  <c r="T123" i="22"/>
  <c r="S123" i="22"/>
  <c r="P123" i="22"/>
  <c r="O123" i="22"/>
  <c r="N123" i="22"/>
  <c r="H123" i="22"/>
  <c r="G123" i="22"/>
  <c r="F123" i="22"/>
  <c r="E123" i="22"/>
  <c r="D123" i="22"/>
  <c r="C123" i="22"/>
  <c r="B123" i="22"/>
  <c r="A123" i="22"/>
  <c r="AP122" i="22"/>
  <c r="AO122" i="22"/>
  <c r="AN122" i="22"/>
  <c r="AM122" i="22"/>
  <c r="AL122" i="22"/>
  <c r="AK122" i="22"/>
  <c r="AJ122" i="22"/>
  <c r="AI122" i="22"/>
  <c r="AH122" i="22"/>
  <c r="AG122" i="22"/>
  <c r="AF122" i="22"/>
  <c r="AE122" i="22"/>
  <c r="AA122" i="22"/>
  <c r="V122" i="22"/>
  <c r="U122" i="22"/>
  <c r="T122" i="22"/>
  <c r="S122" i="22"/>
  <c r="P122" i="22"/>
  <c r="O122" i="22"/>
  <c r="N122" i="22"/>
  <c r="H122" i="22"/>
  <c r="G122" i="22"/>
  <c r="F122" i="22"/>
  <c r="E122" i="22"/>
  <c r="D122" i="22"/>
  <c r="C122" i="22"/>
  <c r="B122" i="22"/>
  <c r="A122" i="22"/>
  <c r="AP121" i="22"/>
  <c r="AO121" i="22"/>
  <c r="AN121" i="22"/>
  <c r="AM121" i="22"/>
  <c r="AL121" i="22"/>
  <c r="AK121" i="22"/>
  <c r="AJ121" i="22"/>
  <c r="AI121" i="22"/>
  <c r="AH121" i="22"/>
  <c r="AG121" i="22"/>
  <c r="AF121" i="22"/>
  <c r="AE121" i="22"/>
  <c r="AA121" i="22"/>
  <c r="V121" i="22"/>
  <c r="U121" i="22"/>
  <c r="T121" i="22"/>
  <c r="S121" i="22"/>
  <c r="P121" i="22"/>
  <c r="O121" i="22"/>
  <c r="N121" i="22"/>
  <c r="H121" i="22"/>
  <c r="G121" i="22"/>
  <c r="F121" i="22"/>
  <c r="E121" i="22"/>
  <c r="D121" i="22"/>
  <c r="C121" i="22"/>
  <c r="B121" i="22"/>
  <c r="A121" i="22"/>
  <c r="AP120" i="22"/>
  <c r="AO120" i="22"/>
  <c r="AN120" i="22"/>
  <c r="AM120" i="22"/>
  <c r="AL120" i="22"/>
  <c r="AK120" i="22"/>
  <c r="AJ120" i="22"/>
  <c r="AI120" i="22"/>
  <c r="AH120" i="22"/>
  <c r="AG120" i="22"/>
  <c r="AF120" i="22"/>
  <c r="AE120" i="22"/>
  <c r="AA120" i="22"/>
  <c r="V120" i="22"/>
  <c r="U120" i="22"/>
  <c r="T120" i="22"/>
  <c r="S120" i="22"/>
  <c r="P120" i="22"/>
  <c r="O120" i="22"/>
  <c r="N120" i="22"/>
  <c r="H120" i="22"/>
  <c r="G120" i="22"/>
  <c r="F120" i="22"/>
  <c r="E120" i="22"/>
  <c r="D120" i="22"/>
  <c r="C120" i="22"/>
  <c r="B120" i="22"/>
  <c r="A120" i="22"/>
  <c r="AP119" i="22"/>
  <c r="AO119" i="22"/>
  <c r="AN119" i="22"/>
  <c r="AM119" i="22"/>
  <c r="AL119" i="22"/>
  <c r="AK119" i="22"/>
  <c r="AJ119" i="22"/>
  <c r="AI119" i="22"/>
  <c r="AH119" i="22"/>
  <c r="AG119" i="22"/>
  <c r="AF119" i="22"/>
  <c r="AE119" i="22"/>
  <c r="AA119" i="22"/>
  <c r="V119" i="22"/>
  <c r="U119" i="22"/>
  <c r="T119" i="22"/>
  <c r="S119" i="22"/>
  <c r="P119" i="22"/>
  <c r="O119" i="22"/>
  <c r="N119" i="22"/>
  <c r="H119" i="22"/>
  <c r="G119" i="22"/>
  <c r="F119" i="22"/>
  <c r="E119" i="22"/>
  <c r="D119" i="22"/>
  <c r="C119" i="22"/>
  <c r="B119" i="22"/>
  <c r="A119" i="22"/>
  <c r="AP118" i="22"/>
  <c r="AO118" i="22"/>
  <c r="AN118" i="22"/>
  <c r="AM118" i="22"/>
  <c r="AL118" i="22"/>
  <c r="AK118" i="22"/>
  <c r="AJ118" i="22"/>
  <c r="AI118" i="22"/>
  <c r="AH118" i="22"/>
  <c r="AG118" i="22"/>
  <c r="AF118" i="22"/>
  <c r="AE118" i="22"/>
  <c r="AA118" i="22"/>
  <c r="V118" i="22"/>
  <c r="U118" i="22"/>
  <c r="T118" i="22"/>
  <c r="S118" i="22"/>
  <c r="P118" i="22"/>
  <c r="O118" i="22"/>
  <c r="N118" i="22"/>
  <c r="H118" i="22"/>
  <c r="G118" i="22"/>
  <c r="F118" i="22"/>
  <c r="E118" i="22"/>
  <c r="D118" i="22"/>
  <c r="C118" i="22"/>
  <c r="B118" i="22"/>
  <c r="A118" i="22"/>
  <c r="AP117" i="22"/>
  <c r="AO117" i="22"/>
  <c r="AN117" i="22"/>
  <c r="AM117" i="22"/>
  <c r="AL117" i="22"/>
  <c r="AK117" i="22"/>
  <c r="AJ117" i="22"/>
  <c r="AI117" i="22"/>
  <c r="AH117" i="22"/>
  <c r="AG117" i="22"/>
  <c r="AF117" i="22"/>
  <c r="AE117" i="22"/>
  <c r="AA117" i="22"/>
  <c r="V117" i="22"/>
  <c r="U117" i="22"/>
  <c r="T117" i="22"/>
  <c r="S117" i="22"/>
  <c r="P117" i="22"/>
  <c r="O117" i="22"/>
  <c r="N117" i="22"/>
  <c r="H117" i="22"/>
  <c r="G117" i="22"/>
  <c r="F117" i="22"/>
  <c r="E117" i="22"/>
  <c r="D117" i="22"/>
  <c r="C117" i="22"/>
  <c r="B117" i="22"/>
  <c r="A117" i="22"/>
  <c r="AP116" i="22"/>
  <c r="AO116" i="22"/>
  <c r="AN116" i="22"/>
  <c r="AM116" i="22"/>
  <c r="AL116" i="22"/>
  <c r="AK116" i="22"/>
  <c r="AJ116" i="22"/>
  <c r="AI116" i="22"/>
  <c r="AH116" i="22"/>
  <c r="AG116" i="22"/>
  <c r="AF116" i="22"/>
  <c r="AE116" i="22"/>
  <c r="AA116" i="22"/>
  <c r="V116" i="22"/>
  <c r="U116" i="22"/>
  <c r="T116" i="22"/>
  <c r="S116" i="22"/>
  <c r="P116" i="22"/>
  <c r="O116" i="22"/>
  <c r="N116" i="22"/>
  <c r="H116" i="22"/>
  <c r="G116" i="22"/>
  <c r="F116" i="22"/>
  <c r="E116" i="22"/>
  <c r="D116" i="22"/>
  <c r="C116" i="22"/>
  <c r="B116" i="22"/>
  <c r="A116" i="22"/>
  <c r="AP115" i="22"/>
  <c r="AO115" i="22"/>
  <c r="AN115" i="22"/>
  <c r="AM115" i="22"/>
  <c r="AL115" i="22"/>
  <c r="AK115" i="22"/>
  <c r="AJ115" i="22"/>
  <c r="AI115" i="22"/>
  <c r="AH115" i="22"/>
  <c r="AG115" i="22"/>
  <c r="AF115" i="22"/>
  <c r="AE115" i="22"/>
  <c r="AA115" i="22"/>
  <c r="V115" i="22"/>
  <c r="U115" i="22"/>
  <c r="T115" i="22"/>
  <c r="S115" i="22"/>
  <c r="P115" i="22"/>
  <c r="O115" i="22"/>
  <c r="N115" i="22"/>
  <c r="H115" i="22"/>
  <c r="G115" i="22"/>
  <c r="F115" i="22"/>
  <c r="E115" i="22"/>
  <c r="D115" i="22"/>
  <c r="C115" i="22"/>
  <c r="B115" i="22"/>
  <c r="A115" i="22"/>
  <c r="AP114" i="22"/>
  <c r="AO114" i="22"/>
  <c r="AN114" i="22"/>
  <c r="AM114" i="22"/>
  <c r="AL114" i="22"/>
  <c r="AK114" i="22"/>
  <c r="AJ114" i="22"/>
  <c r="AI114" i="22"/>
  <c r="AH114" i="22"/>
  <c r="AG114" i="22"/>
  <c r="AF114" i="22"/>
  <c r="AE114" i="22"/>
  <c r="AA114" i="22"/>
  <c r="V114" i="22"/>
  <c r="U114" i="22"/>
  <c r="T114" i="22"/>
  <c r="S114" i="22"/>
  <c r="P114" i="22"/>
  <c r="O114" i="22"/>
  <c r="N114" i="22"/>
  <c r="H114" i="22"/>
  <c r="G114" i="22"/>
  <c r="F114" i="22"/>
  <c r="E114" i="22"/>
  <c r="D114" i="22"/>
  <c r="C114" i="22"/>
  <c r="B114" i="22"/>
  <c r="A114" i="22"/>
  <c r="AP113" i="22"/>
  <c r="AO113" i="22"/>
  <c r="AN113" i="22"/>
  <c r="AM113" i="22"/>
  <c r="AL113" i="22"/>
  <c r="AK113" i="22"/>
  <c r="AJ113" i="22"/>
  <c r="AI113" i="22"/>
  <c r="AH113" i="22"/>
  <c r="AG113" i="22"/>
  <c r="AF113" i="22"/>
  <c r="AE113" i="22"/>
  <c r="AA113" i="22"/>
  <c r="V113" i="22"/>
  <c r="U113" i="22"/>
  <c r="T113" i="22"/>
  <c r="S113" i="22"/>
  <c r="P113" i="22"/>
  <c r="O113" i="22"/>
  <c r="N113" i="22"/>
  <c r="H113" i="22"/>
  <c r="G113" i="22"/>
  <c r="F113" i="22"/>
  <c r="E113" i="22"/>
  <c r="D113" i="22"/>
  <c r="C113" i="22"/>
  <c r="B113" i="22"/>
  <c r="A113" i="22"/>
  <c r="AP112" i="22"/>
  <c r="AO112" i="22"/>
  <c r="AN112" i="22"/>
  <c r="AM112" i="22"/>
  <c r="AL112" i="22"/>
  <c r="AK112" i="22"/>
  <c r="AJ112" i="22"/>
  <c r="AI112" i="22"/>
  <c r="AH112" i="22"/>
  <c r="AG112" i="22"/>
  <c r="AF112" i="22"/>
  <c r="AE112" i="22"/>
  <c r="AA112" i="22"/>
  <c r="V112" i="22"/>
  <c r="U112" i="22"/>
  <c r="T112" i="22"/>
  <c r="S112" i="22"/>
  <c r="P112" i="22"/>
  <c r="O112" i="22"/>
  <c r="N112" i="22"/>
  <c r="H112" i="22"/>
  <c r="G112" i="22"/>
  <c r="F112" i="22"/>
  <c r="E112" i="22"/>
  <c r="D112" i="22"/>
  <c r="C112" i="22"/>
  <c r="B112" i="22"/>
  <c r="A112" i="22"/>
  <c r="AP111" i="22"/>
  <c r="AO111" i="22"/>
  <c r="AN111" i="22"/>
  <c r="AM111" i="22"/>
  <c r="AL111" i="22"/>
  <c r="AK111" i="22"/>
  <c r="AJ111" i="22"/>
  <c r="AI111" i="22"/>
  <c r="AH111" i="22"/>
  <c r="AG111" i="22"/>
  <c r="AF111" i="22"/>
  <c r="AE111" i="22"/>
  <c r="AA111" i="22"/>
  <c r="V111" i="22"/>
  <c r="U111" i="22"/>
  <c r="T111" i="22"/>
  <c r="S111" i="22"/>
  <c r="P111" i="22"/>
  <c r="O111" i="22"/>
  <c r="N111" i="22"/>
  <c r="H111" i="22"/>
  <c r="G111" i="22"/>
  <c r="F111" i="22"/>
  <c r="E111" i="22"/>
  <c r="D111" i="22"/>
  <c r="C111" i="22"/>
  <c r="B111" i="22"/>
  <c r="A111" i="22"/>
  <c r="AP110" i="22"/>
  <c r="AO110" i="22"/>
  <c r="AN110" i="22"/>
  <c r="AM110" i="22"/>
  <c r="AL110" i="22"/>
  <c r="AK110" i="22"/>
  <c r="AJ110" i="22"/>
  <c r="AI110" i="22"/>
  <c r="AH110" i="22"/>
  <c r="AG110" i="22"/>
  <c r="AF110" i="22"/>
  <c r="AE110" i="22"/>
  <c r="AA110" i="22"/>
  <c r="V110" i="22"/>
  <c r="U110" i="22"/>
  <c r="T110" i="22"/>
  <c r="S110" i="22"/>
  <c r="P110" i="22"/>
  <c r="O110" i="22"/>
  <c r="N110" i="22"/>
  <c r="H110" i="22"/>
  <c r="G110" i="22"/>
  <c r="F110" i="22"/>
  <c r="E110" i="22"/>
  <c r="D110" i="22"/>
  <c r="C110" i="22"/>
  <c r="B110" i="22"/>
  <c r="A110" i="22"/>
  <c r="AP109" i="22"/>
  <c r="AO109" i="22"/>
  <c r="AN109" i="22"/>
  <c r="AM109" i="22"/>
  <c r="AL109" i="22"/>
  <c r="AK109" i="22"/>
  <c r="AJ109" i="22"/>
  <c r="AI109" i="22"/>
  <c r="AH109" i="22"/>
  <c r="AG109" i="22"/>
  <c r="AF109" i="22"/>
  <c r="AE109" i="22"/>
  <c r="AA109" i="22"/>
  <c r="V109" i="22"/>
  <c r="U109" i="22"/>
  <c r="T109" i="22"/>
  <c r="S109" i="22"/>
  <c r="P109" i="22"/>
  <c r="O109" i="22"/>
  <c r="N109" i="22"/>
  <c r="H109" i="22"/>
  <c r="G109" i="22"/>
  <c r="F109" i="22"/>
  <c r="E109" i="22"/>
  <c r="D109" i="22"/>
  <c r="C109" i="22"/>
  <c r="B109" i="22"/>
  <c r="A109" i="22"/>
  <c r="AP108" i="22"/>
  <c r="AO108" i="22"/>
  <c r="AN108" i="22"/>
  <c r="AM108" i="22"/>
  <c r="AL108" i="22"/>
  <c r="AK108" i="22"/>
  <c r="AJ108" i="22"/>
  <c r="AI108" i="22"/>
  <c r="AH108" i="22"/>
  <c r="AG108" i="22"/>
  <c r="AF108" i="22"/>
  <c r="AE108" i="22"/>
  <c r="AA108" i="22"/>
  <c r="V108" i="22"/>
  <c r="U108" i="22"/>
  <c r="T108" i="22"/>
  <c r="S108" i="22"/>
  <c r="P108" i="22"/>
  <c r="O108" i="22"/>
  <c r="N108" i="22"/>
  <c r="H108" i="22"/>
  <c r="G108" i="22"/>
  <c r="F108" i="22"/>
  <c r="E108" i="22"/>
  <c r="D108" i="22"/>
  <c r="C108" i="22"/>
  <c r="B108" i="22"/>
  <c r="A108" i="22"/>
  <c r="AP107" i="22"/>
  <c r="AO107" i="22"/>
  <c r="AN107" i="22"/>
  <c r="AM107" i="22"/>
  <c r="AL107" i="22"/>
  <c r="AK107" i="22"/>
  <c r="AJ107" i="22"/>
  <c r="AI107" i="22"/>
  <c r="AH107" i="22"/>
  <c r="AG107" i="22"/>
  <c r="AF107" i="22"/>
  <c r="AE107" i="22"/>
  <c r="AA107" i="22"/>
  <c r="V107" i="22"/>
  <c r="U107" i="22"/>
  <c r="T107" i="22"/>
  <c r="S107" i="22"/>
  <c r="P107" i="22"/>
  <c r="O107" i="22"/>
  <c r="N107" i="22"/>
  <c r="H107" i="22"/>
  <c r="G107" i="22"/>
  <c r="F107" i="22"/>
  <c r="E107" i="22"/>
  <c r="D107" i="22"/>
  <c r="C107" i="22"/>
  <c r="B107" i="22"/>
  <c r="A107" i="22"/>
  <c r="AP106" i="22"/>
  <c r="AO106" i="22"/>
  <c r="AN106" i="22"/>
  <c r="AM106" i="22"/>
  <c r="AL106" i="22"/>
  <c r="AK106" i="22"/>
  <c r="AJ106" i="22"/>
  <c r="AI106" i="22"/>
  <c r="AH106" i="22"/>
  <c r="AG106" i="22"/>
  <c r="AF106" i="22"/>
  <c r="AE106" i="22"/>
  <c r="AA106" i="22"/>
  <c r="V106" i="22"/>
  <c r="U106" i="22"/>
  <c r="T106" i="22"/>
  <c r="S106" i="22"/>
  <c r="P106" i="22"/>
  <c r="O106" i="22"/>
  <c r="N106" i="22"/>
  <c r="H106" i="22"/>
  <c r="G106" i="22"/>
  <c r="F106" i="22"/>
  <c r="E106" i="22"/>
  <c r="D106" i="22"/>
  <c r="C106" i="22"/>
  <c r="B106" i="22"/>
  <c r="A106" i="22"/>
  <c r="AP105" i="22"/>
  <c r="AO105" i="22"/>
  <c r="AN105" i="22"/>
  <c r="AM105" i="22"/>
  <c r="AL105" i="22"/>
  <c r="AK105" i="22"/>
  <c r="AJ105" i="22"/>
  <c r="AI105" i="22"/>
  <c r="AH105" i="22"/>
  <c r="AG105" i="22"/>
  <c r="AF105" i="22"/>
  <c r="AE105" i="22"/>
  <c r="AA105" i="22"/>
  <c r="V105" i="22"/>
  <c r="U105" i="22"/>
  <c r="T105" i="22"/>
  <c r="S105" i="22"/>
  <c r="P105" i="22"/>
  <c r="O105" i="22"/>
  <c r="N105" i="22"/>
  <c r="H105" i="22"/>
  <c r="G105" i="22"/>
  <c r="F105" i="22"/>
  <c r="E105" i="22"/>
  <c r="D105" i="22"/>
  <c r="C105" i="22"/>
  <c r="B105" i="22"/>
  <c r="A105" i="22"/>
  <c r="AP104" i="22"/>
  <c r="AO104" i="22"/>
  <c r="AN104" i="22"/>
  <c r="AM104" i="22"/>
  <c r="AL104" i="22"/>
  <c r="AK104" i="22"/>
  <c r="AJ104" i="22"/>
  <c r="AI104" i="22"/>
  <c r="AH104" i="22"/>
  <c r="AG104" i="22"/>
  <c r="AF104" i="22"/>
  <c r="AE104" i="22"/>
  <c r="AA104" i="22"/>
  <c r="V104" i="22"/>
  <c r="U104" i="22"/>
  <c r="T104" i="22"/>
  <c r="S104" i="22"/>
  <c r="P104" i="22"/>
  <c r="O104" i="22"/>
  <c r="N104" i="22"/>
  <c r="H104" i="22"/>
  <c r="G104" i="22"/>
  <c r="F104" i="22"/>
  <c r="E104" i="22"/>
  <c r="D104" i="22"/>
  <c r="C104" i="22"/>
  <c r="B104" i="22"/>
  <c r="A104" i="22"/>
  <c r="AP103" i="22"/>
  <c r="AO103" i="22"/>
  <c r="AN103" i="22"/>
  <c r="AM103" i="22"/>
  <c r="AL103" i="22"/>
  <c r="AK103" i="22"/>
  <c r="AJ103" i="22"/>
  <c r="AI103" i="22"/>
  <c r="AH103" i="22"/>
  <c r="AG103" i="22"/>
  <c r="AF103" i="22"/>
  <c r="AE103" i="22"/>
  <c r="AA103" i="22"/>
  <c r="V103" i="22"/>
  <c r="U103" i="22"/>
  <c r="T103" i="22"/>
  <c r="S103" i="22"/>
  <c r="P103" i="22"/>
  <c r="O103" i="22"/>
  <c r="N103" i="22"/>
  <c r="H103" i="22"/>
  <c r="G103" i="22"/>
  <c r="F103" i="22"/>
  <c r="E103" i="22"/>
  <c r="D103" i="22"/>
  <c r="C103" i="22"/>
  <c r="B103" i="22"/>
  <c r="A103" i="22"/>
  <c r="AP102" i="22"/>
  <c r="AO102" i="22"/>
  <c r="AN102" i="22"/>
  <c r="AM102" i="22"/>
  <c r="AL102" i="22"/>
  <c r="AK102" i="22"/>
  <c r="AJ102" i="22"/>
  <c r="AI102" i="22"/>
  <c r="AH102" i="22"/>
  <c r="AG102" i="22"/>
  <c r="AF102" i="22"/>
  <c r="AE102" i="22"/>
  <c r="AA102" i="22"/>
  <c r="V102" i="22"/>
  <c r="U102" i="22"/>
  <c r="T102" i="22"/>
  <c r="S102" i="22"/>
  <c r="P102" i="22"/>
  <c r="O102" i="22"/>
  <c r="N102" i="22"/>
  <c r="H102" i="22"/>
  <c r="G102" i="22"/>
  <c r="F102" i="22"/>
  <c r="E102" i="22"/>
  <c r="D102" i="22"/>
  <c r="C102" i="22"/>
  <c r="B102" i="22"/>
  <c r="A102" i="22"/>
  <c r="AP101" i="22"/>
  <c r="AO101" i="22"/>
  <c r="AN101" i="22"/>
  <c r="AM101" i="22"/>
  <c r="AL101" i="22"/>
  <c r="AK101" i="22"/>
  <c r="AJ101" i="22"/>
  <c r="AI101" i="22"/>
  <c r="AH101" i="22"/>
  <c r="AG101" i="22"/>
  <c r="AF101" i="22"/>
  <c r="AE101" i="22"/>
  <c r="AA101" i="22"/>
  <c r="V101" i="22"/>
  <c r="U101" i="22"/>
  <c r="T101" i="22"/>
  <c r="S101" i="22"/>
  <c r="P101" i="22"/>
  <c r="O101" i="22"/>
  <c r="N101" i="22"/>
  <c r="H101" i="22"/>
  <c r="G101" i="22"/>
  <c r="F101" i="22"/>
  <c r="E101" i="22"/>
  <c r="D101" i="22"/>
  <c r="C101" i="22"/>
  <c r="B101" i="22"/>
  <c r="A101" i="22"/>
  <c r="AP100" i="22"/>
  <c r="AO100" i="22"/>
  <c r="AN100" i="22"/>
  <c r="AM100" i="22"/>
  <c r="AL100" i="22"/>
  <c r="AK100" i="22"/>
  <c r="AJ100" i="22"/>
  <c r="AI100" i="22"/>
  <c r="AH100" i="22"/>
  <c r="AG100" i="22"/>
  <c r="AF100" i="22"/>
  <c r="AE100" i="22"/>
  <c r="AA100" i="22"/>
  <c r="V100" i="22"/>
  <c r="U100" i="22"/>
  <c r="T100" i="22"/>
  <c r="S100" i="22"/>
  <c r="P100" i="22"/>
  <c r="O100" i="22"/>
  <c r="N100" i="22"/>
  <c r="H100" i="22"/>
  <c r="G100" i="22"/>
  <c r="F100" i="22"/>
  <c r="E100" i="22"/>
  <c r="D100" i="22"/>
  <c r="C100" i="22"/>
  <c r="B100" i="22"/>
  <c r="A100" i="22"/>
  <c r="AP99" i="22"/>
  <c r="AO99" i="22"/>
  <c r="AN99" i="22"/>
  <c r="AM99" i="22"/>
  <c r="AL99" i="22"/>
  <c r="AK99" i="22"/>
  <c r="AJ99" i="22"/>
  <c r="AI99" i="22"/>
  <c r="AH99" i="22"/>
  <c r="AG99" i="22"/>
  <c r="AF99" i="22"/>
  <c r="AE99" i="22"/>
  <c r="AA99" i="22"/>
  <c r="V99" i="22"/>
  <c r="U99" i="22"/>
  <c r="T99" i="22"/>
  <c r="S99" i="22"/>
  <c r="P99" i="22"/>
  <c r="O99" i="22"/>
  <c r="N99" i="22"/>
  <c r="H99" i="22"/>
  <c r="G99" i="22"/>
  <c r="F99" i="22"/>
  <c r="E99" i="22"/>
  <c r="D99" i="22"/>
  <c r="C99" i="22"/>
  <c r="B99" i="22"/>
  <c r="A99" i="22"/>
  <c r="AP98" i="22"/>
  <c r="AO98" i="22"/>
  <c r="AN98" i="22"/>
  <c r="AM98" i="22"/>
  <c r="AL98" i="22"/>
  <c r="AK98" i="22"/>
  <c r="AJ98" i="22"/>
  <c r="AI98" i="22"/>
  <c r="AH98" i="22"/>
  <c r="AG98" i="22"/>
  <c r="AF98" i="22"/>
  <c r="AE98" i="22"/>
  <c r="AA98" i="22"/>
  <c r="V98" i="22"/>
  <c r="U98" i="22"/>
  <c r="T98" i="22"/>
  <c r="S98" i="22"/>
  <c r="P98" i="22"/>
  <c r="O98" i="22"/>
  <c r="N98" i="22"/>
  <c r="H98" i="22"/>
  <c r="G98" i="22"/>
  <c r="F98" i="22"/>
  <c r="E98" i="22"/>
  <c r="D98" i="22"/>
  <c r="C98" i="22"/>
  <c r="B98" i="22"/>
  <c r="A98" i="22"/>
  <c r="AP97" i="22"/>
  <c r="AO97" i="22"/>
  <c r="AN97" i="22"/>
  <c r="AM97" i="22"/>
  <c r="AL97" i="22"/>
  <c r="AK97" i="22"/>
  <c r="AJ97" i="22"/>
  <c r="AI97" i="22"/>
  <c r="AH97" i="22"/>
  <c r="AG97" i="22"/>
  <c r="AF97" i="22"/>
  <c r="AE97" i="22"/>
  <c r="AA97" i="22"/>
  <c r="V97" i="22"/>
  <c r="U97" i="22"/>
  <c r="T97" i="22"/>
  <c r="S97" i="22"/>
  <c r="P97" i="22"/>
  <c r="O97" i="22"/>
  <c r="N97" i="22"/>
  <c r="H97" i="22"/>
  <c r="G97" i="22"/>
  <c r="F97" i="22"/>
  <c r="E97" i="22"/>
  <c r="D97" i="22"/>
  <c r="C97" i="22"/>
  <c r="B97" i="22"/>
  <c r="A97" i="22"/>
  <c r="AP96" i="22"/>
  <c r="AO96" i="22"/>
  <c r="AN96" i="22"/>
  <c r="AM96" i="22"/>
  <c r="AL96" i="22"/>
  <c r="AK96" i="22"/>
  <c r="AJ96" i="22"/>
  <c r="AI96" i="22"/>
  <c r="AH96" i="22"/>
  <c r="AG96" i="22"/>
  <c r="AF96" i="22"/>
  <c r="AE96" i="22"/>
  <c r="AA96" i="22"/>
  <c r="V96" i="22"/>
  <c r="U96" i="22"/>
  <c r="T96" i="22"/>
  <c r="S96" i="22"/>
  <c r="P96" i="22"/>
  <c r="O96" i="22"/>
  <c r="N96" i="22"/>
  <c r="H96" i="22"/>
  <c r="G96" i="22"/>
  <c r="F96" i="22"/>
  <c r="E96" i="22"/>
  <c r="D96" i="22"/>
  <c r="C96" i="22"/>
  <c r="B96" i="22"/>
  <c r="A96" i="22"/>
  <c r="AP95" i="22"/>
  <c r="AO95" i="22"/>
  <c r="AN95" i="22"/>
  <c r="AM95" i="22"/>
  <c r="AL95" i="22"/>
  <c r="AK95" i="22"/>
  <c r="AJ95" i="22"/>
  <c r="AI95" i="22"/>
  <c r="AH95" i="22"/>
  <c r="AG95" i="22"/>
  <c r="AF95" i="22"/>
  <c r="AE95" i="22"/>
  <c r="AA95" i="22"/>
  <c r="V95" i="22"/>
  <c r="U95" i="22"/>
  <c r="T95" i="22"/>
  <c r="S95" i="22"/>
  <c r="P95" i="22"/>
  <c r="O95" i="22"/>
  <c r="N95" i="22"/>
  <c r="H95" i="22"/>
  <c r="G95" i="22"/>
  <c r="F95" i="22"/>
  <c r="E95" i="22"/>
  <c r="D95" i="22"/>
  <c r="C95" i="22"/>
  <c r="B95" i="22"/>
  <c r="A95" i="22"/>
  <c r="AP94" i="22"/>
  <c r="AO94" i="22"/>
  <c r="AN94" i="22"/>
  <c r="AM94" i="22"/>
  <c r="AL94" i="22"/>
  <c r="AK94" i="22"/>
  <c r="AJ94" i="22"/>
  <c r="AI94" i="22"/>
  <c r="AH94" i="22"/>
  <c r="AG94" i="22"/>
  <c r="AF94" i="22"/>
  <c r="AE94" i="22"/>
  <c r="AA94" i="22"/>
  <c r="V94" i="22"/>
  <c r="U94" i="22"/>
  <c r="T94" i="22"/>
  <c r="S94" i="22"/>
  <c r="P94" i="22"/>
  <c r="O94" i="22"/>
  <c r="N94" i="22"/>
  <c r="H94" i="22"/>
  <c r="G94" i="22"/>
  <c r="F94" i="22"/>
  <c r="E94" i="22"/>
  <c r="D94" i="22"/>
  <c r="C94" i="22"/>
  <c r="B94" i="22"/>
  <c r="A94" i="22"/>
  <c r="AP93" i="22"/>
  <c r="AO93" i="22"/>
  <c r="AN93" i="22"/>
  <c r="AM93" i="22"/>
  <c r="AL93" i="22"/>
  <c r="AK93" i="22"/>
  <c r="AJ93" i="22"/>
  <c r="AI93" i="22"/>
  <c r="AH93" i="22"/>
  <c r="AG93" i="22"/>
  <c r="AF93" i="22"/>
  <c r="AE93" i="22"/>
  <c r="AA93" i="22"/>
  <c r="V93" i="22"/>
  <c r="U93" i="22"/>
  <c r="T93" i="22"/>
  <c r="S93" i="22"/>
  <c r="P93" i="22"/>
  <c r="O93" i="22"/>
  <c r="N93" i="22"/>
  <c r="H93" i="22"/>
  <c r="G93" i="22"/>
  <c r="F93" i="22"/>
  <c r="E93" i="22"/>
  <c r="D93" i="22"/>
  <c r="C93" i="22"/>
  <c r="B93" i="22"/>
  <c r="A93" i="22"/>
  <c r="AP92" i="22"/>
  <c r="AO92" i="22"/>
  <c r="AN92" i="22"/>
  <c r="AM92" i="22"/>
  <c r="AL92" i="22"/>
  <c r="AK92" i="22"/>
  <c r="AJ92" i="22"/>
  <c r="AI92" i="22"/>
  <c r="AH92" i="22"/>
  <c r="AG92" i="22"/>
  <c r="AF92" i="22"/>
  <c r="AE92" i="22"/>
  <c r="AA92" i="22"/>
  <c r="V92" i="22"/>
  <c r="U92" i="22"/>
  <c r="T92" i="22"/>
  <c r="S92" i="22"/>
  <c r="P92" i="22"/>
  <c r="O92" i="22"/>
  <c r="N92" i="22"/>
  <c r="H92" i="22"/>
  <c r="G92" i="22"/>
  <c r="F92" i="22"/>
  <c r="E92" i="22"/>
  <c r="D92" i="22"/>
  <c r="C92" i="22"/>
  <c r="B92" i="22"/>
  <c r="A92" i="22"/>
  <c r="AP91" i="22"/>
  <c r="AO91" i="22"/>
  <c r="AN91" i="22"/>
  <c r="AM91" i="22"/>
  <c r="AL91" i="22"/>
  <c r="AK91" i="22"/>
  <c r="AJ91" i="22"/>
  <c r="AI91" i="22"/>
  <c r="AH91" i="22"/>
  <c r="AG91" i="22"/>
  <c r="AF91" i="22"/>
  <c r="AE91" i="22"/>
  <c r="AA91" i="22"/>
  <c r="V91" i="22"/>
  <c r="U91" i="22"/>
  <c r="T91" i="22"/>
  <c r="S91" i="22"/>
  <c r="P91" i="22"/>
  <c r="O91" i="22"/>
  <c r="N91" i="22"/>
  <c r="H91" i="22"/>
  <c r="G91" i="22"/>
  <c r="F91" i="22"/>
  <c r="E91" i="22"/>
  <c r="D91" i="22"/>
  <c r="C91" i="22"/>
  <c r="B91" i="22"/>
  <c r="A91" i="22"/>
  <c r="AP90" i="22"/>
  <c r="AO90" i="22"/>
  <c r="AN90" i="22"/>
  <c r="AM90" i="22"/>
  <c r="AL90" i="22"/>
  <c r="AK90" i="22"/>
  <c r="AJ90" i="22"/>
  <c r="AI90" i="22"/>
  <c r="AH90" i="22"/>
  <c r="AG90" i="22"/>
  <c r="AF90" i="22"/>
  <c r="AE90" i="22"/>
  <c r="AA90" i="22"/>
  <c r="V90" i="22"/>
  <c r="U90" i="22"/>
  <c r="T90" i="22"/>
  <c r="S90" i="22"/>
  <c r="P90" i="22"/>
  <c r="O90" i="22"/>
  <c r="N90" i="22"/>
  <c r="H90" i="22"/>
  <c r="G90" i="22"/>
  <c r="F90" i="22"/>
  <c r="E90" i="22"/>
  <c r="D90" i="22"/>
  <c r="C90" i="22"/>
  <c r="B90" i="22"/>
  <c r="A90" i="22"/>
  <c r="AP89" i="22"/>
  <c r="AO89" i="22"/>
  <c r="AN89" i="22"/>
  <c r="AM89" i="22"/>
  <c r="AL89" i="22"/>
  <c r="AK89" i="22"/>
  <c r="AJ89" i="22"/>
  <c r="AI89" i="22"/>
  <c r="AH89" i="22"/>
  <c r="AG89" i="22"/>
  <c r="AF89" i="22"/>
  <c r="AE89" i="22"/>
  <c r="AA89" i="22"/>
  <c r="V89" i="22"/>
  <c r="U89" i="22"/>
  <c r="T89" i="22"/>
  <c r="S89" i="22"/>
  <c r="P89" i="22"/>
  <c r="O89" i="22"/>
  <c r="N89" i="22"/>
  <c r="H89" i="22"/>
  <c r="G89" i="22"/>
  <c r="F89" i="22"/>
  <c r="E89" i="22"/>
  <c r="D89" i="22"/>
  <c r="C89" i="22"/>
  <c r="B89" i="22"/>
  <c r="A89" i="22"/>
  <c r="AP88" i="22"/>
  <c r="AO88" i="22"/>
  <c r="AN88" i="22"/>
  <c r="AM88" i="22"/>
  <c r="AL88" i="22"/>
  <c r="AK88" i="22"/>
  <c r="AJ88" i="22"/>
  <c r="AI88" i="22"/>
  <c r="AH88" i="22"/>
  <c r="AG88" i="22"/>
  <c r="AF88" i="22"/>
  <c r="AE88" i="22"/>
  <c r="AA88" i="22"/>
  <c r="V88" i="22"/>
  <c r="U88" i="22"/>
  <c r="T88" i="22"/>
  <c r="S88" i="22"/>
  <c r="P88" i="22"/>
  <c r="O88" i="22"/>
  <c r="N88" i="22"/>
  <c r="H88" i="22"/>
  <c r="G88" i="22"/>
  <c r="F88" i="22"/>
  <c r="E88" i="22"/>
  <c r="D88" i="22"/>
  <c r="C88" i="22"/>
  <c r="B88" i="22"/>
  <c r="A88" i="22"/>
  <c r="AP87" i="22"/>
  <c r="AO87" i="22"/>
  <c r="AN87" i="22"/>
  <c r="AM87" i="22"/>
  <c r="AL87" i="22"/>
  <c r="AK87" i="22"/>
  <c r="AJ87" i="22"/>
  <c r="AI87" i="22"/>
  <c r="AH87" i="22"/>
  <c r="AG87" i="22"/>
  <c r="AF87" i="22"/>
  <c r="AE87" i="22"/>
  <c r="AA87" i="22"/>
  <c r="V87" i="22"/>
  <c r="U87" i="22"/>
  <c r="T87" i="22"/>
  <c r="S87" i="22"/>
  <c r="P87" i="22"/>
  <c r="O87" i="22"/>
  <c r="N87" i="22"/>
  <c r="H87" i="22"/>
  <c r="G87" i="22"/>
  <c r="F87" i="22"/>
  <c r="E87" i="22"/>
  <c r="D87" i="22"/>
  <c r="C87" i="22"/>
  <c r="B87" i="22"/>
  <c r="A87" i="22"/>
  <c r="AP86" i="22"/>
  <c r="AO86" i="22"/>
  <c r="AN86" i="22"/>
  <c r="AM86" i="22"/>
  <c r="AL86" i="22"/>
  <c r="AK86" i="22"/>
  <c r="AJ86" i="22"/>
  <c r="AI86" i="22"/>
  <c r="AH86" i="22"/>
  <c r="AG86" i="22"/>
  <c r="AF86" i="22"/>
  <c r="AE86" i="22"/>
  <c r="AA86" i="22"/>
  <c r="V86" i="22"/>
  <c r="U86" i="22"/>
  <c r="T86" i="22"/>
  <c r="S86" i="22"/>
  <c r="P86" i="22"/>
  <c r="O86" i="22"/>
  <c r="N86" i="22"/>
  <c r="H86" i="22"/>
  <c r="G86" i="22"/>
  <c r="F86" i="22"/>
  <c r="E86" i="22"/>
  <c r="D86" i="22"/>
  <c r="C86" i="22"/>
  <c r="B86" i="22"/>
  <c r="A86" i="22"/>
  <c r="AP85" i="22"/>
  <c r="AO85" i="22"/>
  <c r="AN85" i="22"/>
  <c r="AM85" i="22"/>
  <c r="AL85" i="22"/>
  <c r="AK85" i="22"/>
  <c r="AJ85" i="22"/>
  <c r="AI85" i="22"/>
  <c r="AH85" i="22"/>
  <c r="AG85" i="22"/>
  <c r="AF85" i="22"/>
  <c r="AE85" i="22"/>
  <c r="AA85" i="22"/>
  <c r="V85" i="22"/>
  <c r="U85" i="22"/>
  <c r="T85" i="22"/>
  <c r="S85" i="22"/>
  <c r="P85" i="22"/>
  <c r="O85" i="22"/>
  <c r="N85" i="22"/>
  <c r="H85" i="22"/>
  <c r="G85" i="22"/>
  <c r="F85" i="22"/>
  <c r="E85" i="22"/>
  <c r="D85" i="22"/>
  <c r="C85" i="22"/>
  <c r="B85" i="22"/>
  <c r="A85" i="22"/>
  <c r="AP84" i="22"/>
  <c r="AO84" i="22"/>
  <c r="AN84" i="22"/>
  <c r="AM84" i="22"/>
  <c r="AL84" i="22"/>
  <c r="AK84" i="22"/>
  <c r="AJ84" i="22"/>
  <c r="AI84" i="22"/>
  <c r="AH84" i="22"/>
  <c r="AG84" i="22"/>
  <c r="AF84" i="22"/>
  <c r="AE84" i="22"/>
  <c r="AA84" i="22"/>
  <c r="V84" i="22"/>
  <c r="U84" i="22"/>
  <c r="T84" i="22"/>
  <c r="S84" i="22"/>
  <c r="P84" i="22"/>
  <c r="O84" i="22"/>
  <c r="N84" i="22"/>
  <c r="H84" i="22"/>
  <c r="G84" i="22"/>
  <c r="F84" i="22"/>
  <c r="E84" i="22"/>
  <c r="D84" i="22"/>
  <c r="C84" i="22"/>
  <c r="B84" i="22"/>
  <c r="A84" i="22"/>
  <c r="AP83" i="22"/>
  <c r="AO83" i="22"/>
  <c r="AN83" i="22"/>
  <c r="AM83" i="22"/>
  <c r="AL83" i="22"/>
  <c r="AK83" i="22"/>
  <c r="AJ83" i="22"/>
  <c r="AI83" i="22"/>
  <c r="AH83" i="22"/>
  <c r="AG83" i="22"/>
  <c r="AF83" i="22"/>
  <c r="AE83" i="22"/>
  <c r="AA83" i="22"/>
  <c r="V83" i="22"/>
  <c r="U83" i="22"/>
  <c r="T83" i="22"/>
  <c r="S83" i="22"/>
  <c r="P83" i="22"/>
  <c r="O83" i="22"/>
  <c r="N83" i="22"/>
  <c r="H83" i="22"/>
  <c r="G83" i="22"/>
  <c r="F83" i="22"/>
  <c r="E83" i="22"/>
  <c r="D83" i="22"/>
  <c r="C83" i="22"/>
  <c r="B83" i="22"/>
  <c r="A83" i="22"/>
  <c r="AP82" i="22"/>
  <c r="AO82" i="22"/>
  <c r="AN82" i="22"/>
  <c r="AM82" i="22"/>
  <c r="AL82" i="22"/>
  <c r="AK82" i="22"/>
  <c r="AJ82" i="22"/>
  <c r="AI82" i="22"/>
  <c r="AH82" i="22"/>
  <c r="AG82" i="22"/>
  <c r="AF82" i="22"/>
  <c r="AE82" i="22"/>
  <c r="AA82" i="22"/>
  <c r="V82" i="22"/>
  <c r="U82" i="22"/>
  <c r="T82" i="22"/>
  <c r="S82" i="22"/>
  <c r="P82" i="22"/>
  <c r="O82" i="22"/>
  <c r="N82" i="22"/>
  <c r="H82" i="22"/>
  <c r="G82" i="22"/>
  <c r="F82" i="22"/>
  <c r="E82" i="22"/>
  <c r="D82" i="22"/>
  <c r="C82" i="22"/>
  <c r="B82" i="22"/>
  <c r="A82" i="22"/>
  <c r="AP81" i="22"/>
  <c r="AO81" i="22"/>
  <c r="AN81" i="22"/>
  <c r="AM81" i="22"/>
  <c r="AL81" i="22"/>
  <c r="AK81" i="22"/>
  <c r="AJ81" i="22"/>
  <c r="AI81" i="22"/>
  <c r="AH81" i="22"/>
  <c r="AG81" i="22"/>
  <c r="AF81" i="22"/>
  <c r="AE81" i="22"/>
  <c r="AA81" i="22"/>
  <c r="V81" i="22"/>
  <c r="U81" i="22"/>
  <c r="T81" i="22"/>
  <c r="S81" i="22"/>
  <c r="P81" i="22"/>
  <c r="O81" i="22"/>
  <c r="N81" i="22"/>
  <c r="H81" i="22"/>
  <c r="G81" i="22"/>
  <c r="F81" i="22"/>
  <c r="E81" i="22"/>
  <c r="D81" i="22"/>
  <c r="C81" i="22"/>
  <c r="B81" i="22"/>
  <c r="A81" i="22"/>
  <c r="AP80" i="22"/>
  <c r="AO80" i="22"/>
  <c r="AN80" i="22"/>
  <c r="AM80" i="22"/>
  <c r="AL80" i="22"/>
  <c r="AK80" i="22"/>
  <c r="AJ80" i="22"/>
  <c r="AI80" i="22"/>
  <c r="AH80" i="22"/>
  <c r="AG80" i="22"/>
  <c r="AF80" i="22"/>
  <c r="AE80" i="22"/>
  <c r="AA80" i="22"/>
  <c r="V80" i="22"/>
  <c r="U80" i="22"/>
  <c r="T80" i="22"/>
  <c r="S80" i="22"/>
  <c r="P80" i="22"/>
  <c r="O80" i="22"/>
  <c r="N80" i="22"/>
  <c r="H80" i="22"/>
  <c r="G80" i="22"/>
  <c r="F80" i="22"/>
  <c r="E80" i="22"/>
  <c r="D80" i="22"/>
  <c r="C80" i="22"/>
  <c r="B80" i="22"/>
  <c r="A80" i="22"/>
  <c r="AP79" i="22"/>
  <c r="AO79" i="22"/>
  <c r="AN79" i="22"/>
  <c r="AM79" i="22"/>
  <c r="AL79" i="22"/>
  <c r="AK79" i="22"/>
  <c r="AJ79" i="22"/>
  <c r="AI79" i="22"/>
  <c r="AH79" i="22"/>
  <c r="AG79" i="22"/>
  <c r="AF79" i="22"/>
  <c r="AE79" i="22"/>
  <c r="AA79" i="22"/>
  <c r="V79" i="22"/>
  <c r="U79" i="22"/>
  <c r="T79" i="22"/>
  <c r="S79" i="22"/>
  <c r="P79" i="22"/>
  <c r="O79" i="22"/>
  <c r="N79" i="22"/>
  <c r="H79" i="22"/>
  <c r="G79" i="22"/>
  <c r="F79" i="22"/>
  <c r="E79" i="22"/>
  <c r="D79" i="22"/>
  <c r="C79" i="22"/>
  <c r="B79" i="22"/>
  <c r="A79" i="22"/>
  <c r="AP78" i="22"/>
  <c r="AO78" i="22"/>
  <c r="AN78" i="22"/>
  <c r="AM78" i="22"/>
  <c r="AL78" i="22"/>
  <c r="AK78" i="22"/>
  <c r="AJ78" i="22"/>
  <c r="AI78" i="22"/>
  <c r="AH78" i="22"/>
  <c r="AG78" i="22"/>
  <c r="AF78" i="22"/>
  <c r="AE78" i="22"/>
  <c r="AA78" i="22"/>
  <c r="V78" i="22"/>
  <c r="U78" i="22"/>
  <c r="T78" i="22"/>
  <c r="S78" i="22"/>
  <c r="P78" i="22"/>
  <c r="O78" i="22"/>
  <c r="N78" i="22"/>
  <c r="H78" i="22"/>
  <c r="G78" i="22"/>
  <c r="F78" i="22"/>
  <c r="E78" i="22"/>
  <c r="D78" i="22"/>
  <c r="C78" i="22"/>
  <c r="B78" i="22"/>
  <c r="A78" i="22"/>
  <c r="AP77" i="22"/>
  <c r="AO77" i="22"/>
  <c r="AN77" i="22"/>
  <c r="AM77" i="22"/>
  <c r="AL77" i="22"/>
  <c r="AK77" i="22"/>
  <c r="AJ77" i="22"/>
  <c r="AI77" i="22"/>
  <c r="AH77" i="22"/>
  <c r="AG77" i="22"/>
  <c r="AF77" i="22"/>
  <c r="AE77" i="22"/>
  <c r="AA77" i="22"/>
  <c r="V77" i="22"/>
  <c r="U77" i="22"/>
  <c r="T77" i="22"/>
  <c r="S77" i="22"/>
  <c r="P77" i="22"/>
  <c r="O77" i="22"/>
  <c r="N77" i="22"/>
  <c r="H77" i="22"/>
  <c r="G77" i="22"/>
  <c r="F77" i="22"/>
  <c r="E77" i="22"/>
  <c r="D77" i="22"/>
  <c r="C77" i="22"/>
  <c r="B77" i="22"/>
  <c r="A77" i="22"/>
  <c r="AP76" i="22"/>
  <c r="AO76" i="22"/>
  <c r="AN76" i="22"/>
  <c r="AM76" i="22"/>
  <c r="AL76" i="22"/>
  <c r="AK76" i="22"/>
  <c r="AJ76" i="22"/>
  <c r="AI76" i="22"/>
  <c r="AH76" i="22"/>
  <c r="AG76" i="22"/>
  <c r="AF76" i="22"/>
  <c r="AE76" i="22"/>
  <c r="AA76" i="22"/>
  <c r="V76" i="22"/>
  <c r="U76" i="22"/>
  <c r="T76" i="22"/>
  <c r="S76" i="22"/>
  <c r="P76" i="22"/>
  <c r="O76" i="22"/>
  <c r="N76" i="22"/>
  <c r="H76" i="22"/>
  <c r="G76" i="22"/>
  <c r="F76" i="22"/>
  <c r="E76" i="22"/>
  <c r="D76" i="22"/>
  <c r="C76" i="22"/>
  <c r="B76" i="22"/>
  <c r="A76" i="22"/>
  <c r="AP75" i="22"/>
  <c r="AO75" i="22"/>
  <c r="AN75" i="22"/>
  <c r="AM75" i="22"/>
  <c r="AL75" i="22"/>
  <c r="AK75" i="22"/>
  <c r="AJ75" i="22"/>
  <c r="AI75" i="22"/>
  <c r="AH75" i="22"/>
  <c r="AG75" i="22"/>
  <c r="AF75" i="22"/>
  <c r="AE75" i="22"/>
  <c r="AA75" i="22"/>
  <c r="V75" i="22"/>
  <c r="U75" i="22"/>
  <c r="T75" i="22"/>
  <c r="S75" i="22"/>
  <c r="P75" i="22"/>
  <c r="O75" i="22"/>
  <c r="N75" i="22"/>
  <c r="H75" i="22"/>
  <c r="G75" i="22"/>
  <c r="F75" i="22"/>
  <c r="E75" i="22"/>
  <c r="D75" i="22"/>
  <c r="C75" i="22"/>
  <c r="B75" i="22"/>
  <c r="A75" i="22"/>
  <c r="AP74" i="22"/>
  <c r="AO74" i="22"/>
  <c r="AN74" i="22"/>
  <c r="AM74" i="22"/>
  <c r="AL74" i="22"/>
  <c r="AK74" i="22"/>
  <c r="AJ74" i="22"/>
  <c r="AI74" i="22"/>
  <c r="AH74" i="22"/>
  <c r="AG74" i="22"/>
  <c r="AF74" i="22"/>
  <c r="AE74" i="22"/>
  <c r="AA74" i="22"/>
  <c r="V74" i="22"/>
  <c r="U74" i="22"/>
  <c r="T74" i="22"/>
  <c r="S74" i="22"/>
  <c r="P74" i="22"/>
  <c r="O74" i="22"/>
  <c r="N74" i="22"/>
  <c r="H74" i="22"/>
  <c r="G74" i="22"/>
  <c r="F74" i="22"/>
  <c r="E74" i="22"/>
  <c r="D74" i="22"/>
  <c r="C74" i="22"/>
  <c r="B74" i="22"/>
  <c r="A74" i="22"/>
  <c r="AP73" i="22"/>
  <c r="AO73" i="22"/>
  <c r="AN73" i="22"/>
  <c r="AM73" i="22"/>
  <c r="AL73" i="22"/>
  <c r="AK73" i="22"/>
  <c r="AJ73" i="22"/>
  <c r="AI73" i="22"/>
  <c r="AH73" i="22"/>
  <c r="AG73" i="22"/>
  <c r="AF73" i="22"/>
  <c r="AE73" i="22"/>
  <c r="AA73" i="22"/>
  <c r="V73" i="22"/>
  <c r="U73" i="22"/>
  <c r="T73" i="22"/>
  <c r="S73" i="22"/>
  <c r="P73" i="22"/>
  <c r="O73" i="22"/>
  <c r="N73" i="22"/>
  <c r="H73" i="22"/>
  <c r="G73" i="22"/>
  <c r="F73" i="22"/>
  <c r="E73" i="22"/>
  <c r="D73" i="22"/>
  <c r="C73" i="22"/>
  <c r="B73" i="22"/>
  <c r="A73" i="22"/>
  <c r="AP72" i="22"/>
  <c r="AO72" i="22"/>
  <c r="AN72" i="22"/>
  <c r="AM72" i="22"/>
  <c r="AL72" i="22"/>
  <c r="AK72" i="22"/>
  <c r="AJ72" i="22"/>
  <c r="AI72" i="22"/>
  <c r="AH72" i="22"/>
  <c r="AG72" i="22"/>
  <c r="AF72" i="22"/>
  <c r="AE72" i="22"/>
  <c r="AA72" i="22"/>
  <c r="V72" i="22"/>
  <c r="U72" i="22"/>
  <c r="T72" i="22"/>
  <c r="S72" i="22"/>
  <c r="P72" i="22"/>
  <c r="O72" i="22"/>
  <c r="N72" i="22"/>
  <c r="H72" i="22"/>
  <c r="G72" i="22"/>
  <c r="F72" i="22"/>
  <c r="E72" i="22"/>
  <c r="D72" i="22"/>
  <c r="C72" i="22"/>
  <c r="B72" i="22"/>
  <c r="A72" i="22"/>
  <c r="AP71" i="22"/>
  <c r="AO71" i="22"/>
  <c r="AN71" i="22"/>
  <c r="AM71" i="22"/>
  <c r="AL71" i="22"/>
  <c r="AK71" i="22"/>
  <c r="AJ71" i="22"/>
  <c r="AI71" i="22"/>
  <c r="AH71" i="22"/>
  <c r="AG71" i="22"/>
  <c r="AF71" i="22"/>
  <c r="AE71" i="22"/>
  <c r="AA71" i="22"/>
  <c r="V71" i="22"/>
  <c r="U71" i="22"/>
  <c r="T71" i="22"/>
  <c r="S71" i="22"/>
  <c r="P71" i="22"/>
  <c r="O71" i="22"/>
  <c r="N71" i="22"/>
  <c r="H71" i="22"/>
  <c r="G71" i="22"/>
  <c r="F71" i="22"/>
  <c r="E71" i="22"/>
  <c r="D71" i="22"/>
  <c r="C71" i="22"/>
  <c r="B71" i="22"/>
  <c r="A71" i="22"/>
  <c r="AP70" i="22"/>
  <c r="AO70" i="22"/>
  <c r="AN70" i="22"/>
  <c r="AM70" i="22"/>
  <c r="AL70" i="22"/>
  <c r="AK70" i="22"/>
  <c r="AJ70" i="22"/>
  <c r="AI70" i="22"/>
  <c r="AH70" i="22"/>
  <c r="AG70" i="22"/>
  <c r="AF70" i="22"/>
  <c r="AE70" i="22"/>
  <c r="AA70" i="22"/>
  <c r="V70" i="22"/>
  <c r="U70" i="22"/>
  <c r="T70" i="22"/>
  <c r="S70" i="22"/>
  <c r="P70" i="22"/>
  <c r="O70" i="22"/>
  <c r="N70" i="22"/>
  <c r="H70" i="22"/>
  <c r="G70" i="22"/>
  <c r="F70" i="22"/>
  <c r="E70" i="22"/>
  <c r="D70" i="22"/>
  <c r="C70" i="22"/>
  <c r="B70" i="22"/>
  <c r="A70" i="22"/>
  <c r="AP69" i="22"/>
  <c r="AO69" i="22"/>
  <c r="AN69" i="22"/>
  <c r="AM69" i="22"/>
  <c r="AL69" i="22"/>
  <c r="AK69" i="22"/>
  <c r="AJ69" i="22"/>
  <c r="AI69" i="22"/>
  <c r="AH69" i="22"/>
  <c r="AG69" i="22"/>
  <c r="AF69" i="22"/>
  <c r="AE69" i="22"/>
  <c r="AA69" i="22"/>
  <c r="V69" i="22"/>
  <c r="U69" i="22"/>
  <c r="T69" i="22"/>
  <c r="S69" i="22"/>
  <c r="P69" i="22"/>
  <c r="O69" i="22"/>
  <c r="N69" i="22"/>
  <c r="H69" i="22"/>
  <c r="G69" i="22"/>
  <c r="F69" i="22"/>
  <c r="E69" i="22"/>
  <c r="D69" i="22"/>
  <c r="C69" i="22"/>
  <c r="B69" i="22"/>
  <c r="A69" i="22"/>
  <c r="AP68" i="22"/>
  <c r="AO68" i="22"/>
  <c r="AN68" i="22"/>
  <c r="AM68" i="22"/>
  <c r="AL68" i="22"/>
  <c r="AK68" i="22"/>
  <c r="AJ68" i="22"/>
  <c r="AI68" i="22"/>
  <c r="AH68" i="22"/>
  <c r="AG68" i="22"/>
  <c r="AF68" i="22"/>
  <c r="AE68" i="22"/>
  <c r="AA68" i="22"/>
  <c r="V68" i="22"/>
  <c r="U68" i="22"/>
  <c r="T68" i="22"/>
  <c r="S68" i="22"/>
  <c r="P68" i="22"/>
  <c r="O68" i="22"/>
  <c r="N68" i="22"/>
  <c r="H68" i="22"/>
  <c r="G68" i="22"/>
  <c r="F68" i="22"/>
  <c r="E68" i="22"/>
  <c r="D68" i="22"/>
  <c r="C68" i="22"/>
  <c r="B68" i="22"/>
  <c r="A68" i="22"/>
  <c r="AP67" i="22"/>
  <c r="AO67" i="22"/>
  <c r="AN67" i="22"/>
  <c r="AM67" i="22"/>
  <c r="AL67" i="22"/>
  <c r="AK67" i="22"/>
  <c r="AJ67" i="22"/>
  <c r="AI67" i="22"/>
  <c r="AH67" i="22"/>
  <c r="AG67" i="22"/>
  <c r="AF67" i="22"/>
  <c r="AE67" i="22"/>
  <c r="AA67" i="22"/>
  <c r="V67" i="22"/>
  <c r="U67" i="22"/>
  <c r="T67" i="22"/>
  <c r="S67" i="22"/>
  <c r="P67" i="22"/>
  <c r="O67" i="22"/>
  <c r="N67" i="22"/>
  <c r="H67" i="22"/>
  <c r="G67" i="22"/>
  <c r="F67" i="22"/>
  <c r="E67" i="22"/>
  <c r="D67" i="22"/>
  <c r="C67" i="22"/>
  <c r="B67" i="22"/>
  <c r="A67" i="22"/>
  <c r="AP66" i="22"/>
  <c r="AO66" i="22"/>
  <c r="AN66" i="22"/>
  <c r="AM66" i="22"/>
  <c r="AL66" i="22"/>
  <c r="AK66" i="22"/>
  <c r="AJ66" i="22"/>
  <c r="AI66" i="22"/>
  <c r="AH66" i="22"/>
  <c r="AG66" i="22"/>
  <c r="AF66" i="22"/>
  <c r="AE66" i="22"/>
  <c r="AA66" i="22"/>
  <c r="V66" i="22"/>
  <c r="U66" i="22"/>
  <c r="T66" i="22"/>
  <c r="S66" i="22"/>
  <c r="P66" i="22"/>
  <c r="O66" i="22"/>
  <c r="N66" i="22"/>
  <c r="H66" i="22"/>
  <c r="G66" i="22"/>
  <c r="F66" i="22"/>
  <c r="E66" i="22"/>
  <c r="D66" i="22"/>
  <c r="C66" i="22"/>
  <c r="B66" i="22"/>
  <c r="A66" i="22"/>
  <c r="AP65" i="22"/>
  <c r="AO65" i="22"/>
  <c r="AN65" i="22"/>
  <c r="AM65" i="22"/>
  <c r="AL65" i="22"/>
  <c r="AK65" i="22"/>
  <c r="AJ65" i="22"/>
  <c r="AI65" i="22"/>
  <c r="AH65" i="22"/>
  <c r="AG65" i="22"/>
  <c r="AF65" i="22"/>
  <c r="AE65" i="22"/>
  <c r="AA65" i="22"/>
  <c r="V65" i="22"/>
  <c r="U65" i="22"/>
  <c r="T65" i="22"/>
  <c r="S65" i="22"/>
  <c r="P65" i="22"/>
  <c r="O65" i="22"/>
  <c r="N65" i="22"/>
  <c r="H65" i="22"/>
  <c r="G65" i="22"/>
  <c r="F65" i="22"/>
  <c r="E65" i="22"/>
  <c r="D65" i="22"/>
  <c r="C65" i="22"/>
  <c r="B65" i="22"/>
  <c r="A65" i="22"/>
  <c r="AP64" i="22"/>
  <c r="AO64" i="22"/>
  <c r="AN64" i="22"/>
  <c r="AM64" i="22"/>
  <c r="AL64" i="22"/>
  <c r="AK64" i="22"/>
  <c r="AJ64" i="22"/>
  <c r="AI64" i="22"/>
  <c r="AH64" i="22"/>
  <c r="AG64" i="22"/>
  <c r="AF64" i="22"/>
  <c r="AE64" i="22"/>
  <c r="AA64" i="22"/>
  <c r="V64" i="22"/>
  <c r="U64" i="22"/>
  <c r="T64" i="22"/>
  <c r="S64" i="22"/>
  <c r="P64" i="22"/>
  <c r="O64" i="22"/>
  <c r="N64" i="22"/>
  <c r="H64" i="22"/>
  <c r="G64" i="22"/>
  <c r="F64" i="22"/>
  <c r="E64" i="22"/>
  <c r="D64" i="22"/>
  <c r="C64" i="22"/>
  <c r="B64" i="22"/>
  <c r="A64" i="22"/>
  <c r="AA16" i="22"/>
  <c r="AB15" i="22"/>
  <c r="S15" i="22"/>
  <c r="P15" i="22"/>
  <c r="O15" i="22"/>
  <c r="N15" i="22"/>
  <c r="S14" i="22"/>
  <c r="P14" i="22"/>
  <c r="O14" i="22"/>
  <c r="N14" i="22"/>
  <c r="AB13" i="22"/>
  <c r="S13" i="22"/>
  <c r="P13" i="22"/>
  <c r="O13" i="22"/>
  <c r="N13" i="22"/>
  <c r="AB12" i="22"/>
  <c r="S12" i="22"/>
  <c r="P12" i="22"/>
  <c r="O12" i="22"/>
  <c r="N12" i="22"/>
  <c r="S11" i="22"/>
  <c r="P11" i="22"/>
  <c r="O11" i="22"/>
  <c r="N11" i="22"/>
  <c r="S10" i="22"/>
  <c r="P10" i="22"/>
  <c r="O10" i="22"/>
  <c r="N10" i="22"/>
  <c r="S9" i="22"/>
  <c r="O9" i="22"/>
  <c r="N9" i="22"/>
  <c r="J9" i="21"/>
  <c r="AP31" i="20" l="1"/>
  <c r="AO31" i="20"/>
  <c r="AN31" i="20"/>
  <c r="AM31" i="20"/>
  <c r="AL31" i="20"/>
  <c r="AK31" i="20"/>
  <c r="AJ31" i="20"/>
  <c r="AI31" i="20"/>
  <c r="AH31" i="20"/>
  <c r="AG31" i="20"/>
  <c r="AF31" i="20"/>
  <c r="AE31" i="20"/>
  <c r="AD31" i="20"/>
  <c r="AC31" i="20"/>
  <c r="AB31" i="20"/>
  <c r="AA31" i="20"/>
  <c r="Z31" i="20"/>
  <c r="Y31" i="20"/>
  <c r="X31" i="20"/>
  <c r="W31" i="20"/>
  <c r="V31" i="20"/>
  <c r="U31" i="20"/>
  <c r="T31" i="20"/>
  <c r="R31" i="20"/>
  <c r="Q31" i="20"/>
  <c r="P31" i="20"/>
  <c r="M31" i="20"/>
  <c r="L31" i="20"/>
  <c r="K31" i="20"/>
  <c r="J31" i="20"/>
  <c r="I31" i="20"/>
  <c r="H31" i="20"/>
  <c r="S28" i="20"/>
  <c r="P28" i="20"/>
  <c r="O28" i="20"/>
  <c r="N28" i="20"/>
  <c r="S26" i="20"/>
  <c r="P26" i="20"/>
  <c r="O26" i="20"/>
  <c r="N26" i="20"/>
  <c r="S25" i="20"/>
  <c r="P25" i="20"/>
  <c r="O25" i="20"/>
  <c r="N25" i="20"/>
  <c r="S24" i="20"/>
  <c r="P24" i="20"/>
  <c r="O24" i="20"/>
  <c r="N24" i="20"/>
  <c r="S23" i="20"/>
  <c r="P23" i="20"/>
  <c r="O23" i="20"/>
  <c r="N23" i="20"/>
  <c r="S22" i="20"/>
  <c r="P22" i="20"/>
  <c r="O22" i="20"/>
  <c r="N22" i="20"/>
  <c r="S21" i="20"/>
  <c r="P21" i="20"/>
  <c r="O21" i="20"/>
  <c r="N21" i="20"/>
  <c r="S20" i="20"/>
  <c r="P20" i="20"/>
  <c r="O20" i="20"/>
  <c r="N20" i="20"/>
  <c r="S19" i="20"/>
  <c r="P19" i="20"/>
  <c r="O19" i="20"/>
  <c r="N19" i="20"/>
  <c r="S18" i="20"/>
  <c r="P18" i="20"/>
  <c r="O18" i="20"/>
  <c r="N18" i="20"/>
  <c r="S17" i="20"/>
  <c r="P17" i="20"/>
  <c r="O17" i="20"/>
  <c r="N17" i="20"/>
  <c r="S16" i="20"/>
  <c r="P16" i="20"/>
  <c r="O16" i="20"/>
  <c r="N16" i="20"/>
  <c r="S15" i="20"/>
  <c r="P15" i="20"/>
  <c r="O15" i="20"/>
  <c r="N15" i="20"/>
  <c r="S14" i="20"/>
  <c r="P14" i="20"/>
  <c r="O14" i="20"/>
  <c r="N14" i="20"/>
  <c r="S13" i="20"/>
  <c r="P13" i="20"/>
  <c r="O13" i="20"/>
  <c r="N13" i="20"/>
  <c r="S12" i="20"/>
  <c r="P12" i="20"/>
  <c r="O12" i="20"/>
  <c r="N12" i="20"/>
  <c r="S11" i="20"/>
  <c r="P11" i="20"/>
  <c r="O11" i="20"/>
  <c r="N11" i="20"/>
  <c r="S10" i="20"/>
  <c r="P10" i="20"/>
  <c r="O10" i="20"/>
  <c r="N10" i="20"/>
  <c r="S9" i="20"/>
  <c r="S31" i="20" s="1"/>
  <c r="P9" i="20"/>
  <c r="O9" i="20"/>
  <c r="O31" i="20" s="1"/>
  <c r="N9" i="20"/>
  <c r="N31" i="20" s="1"/>
  <c r="J15" i="19"/>
  <c r="J14" i="19"/>
  <c r="J13" i="19"/>
  <c r="J12" i="19"/>
  <c r="J11" i="19"/>
  <c r="J10" i="19"/>
  <c r="J9" i="19"/>
  <c r="S13" i="18" l="1"/>
  <c r="P13" i="18"/>
  <c r="O13" i="18"/>
  <c r="N13" i="18"/>
  <c r="S12" i="18"/>
  <c r="P12" i="18"/>
  <c r="O12" i="18"/>
  <c r="N12" i="18"/>
  <c r="S11" i="18"/>
  <c r="P11" i="18"/>
  <c r="O11" i="18"/>
  <c r="N11" i="18"/>
  <c r="S10" i="18"/>
  <c r="P10" i="18"/>
  <c r="O10" i="18"/>
  <c r="N10" i="18"/>
  <c r="S9" i="18"/>
  <c r="P9" i="18"/>
  <c r="O9" i="18"/>
  <c r="N9" i="18"/>
  <c r="J9" i="17"/>
  <c r="AP75" i="16" l="1"/>
  <c r="AO75" i="16"/>
  <c r="AI75" i="16"/>
  <c r="M75" i="16"/>
  <c r="R75" i="16" s="1"/>
  <c r="S75" i="16" s="1"/>
  <c r="L75" i="16"/>
  <c r="O75" i="16" s="1"/>
  <c r="S74" i="16"/>
  <c r="P74" i="16"/>
  <c r="O74" i="16"/>
  <c r="N74" i="16"/>
  <c r="S73" i="16"/>
  <c r="P73" i="16"/>
  <c r="O73" i="16"/>
  <c r="N73" i="16"/>
  <c r="S72" i="16"/>
  <c r="P72" i="16"/>
  <c r="O72" i="16"/>
  <c r="N72" i="16"/>
  <c r="S71" i="16"/>
  <c r="P71" i="16"/>
  <c r="O71" i="16"/>
  <c r="N71" i="16"/>
  <c r="S70" i="16"/>
  <c r="P70" i="16"/>
  <c r="O70" i="16"/>
  <c r="N70" i="16"/>
  <c r="S69" i="16"/>
  <c r="P69" i="16"/>
  <c r="O69" i="16"/>
  <c r="N69" i="16"/>
  <c r="S68" i="16"/>
  <c r="P68" i="16"/>
  <c r="O68" i="16"/>
  <c r="N68" i="16"/>
  <c r="S66" i="16"/>
  <c r="P66" i="16"/>
  <c r="O66" i="16"/>
  <c r="N66" i="16"/>
  <c r="S65" i="16"/>
  <c r="P65" i="16"/>
  <c r="O65" i="16"/>
  <c r="N65" i="16"/>
  <c r="S64" i="16"/>
  <c r="Q64" i="16"/>
  <c r="P64" i="16"/>
  <c r="O64" i="16"/>
  <c r="N64" i="16"/>
  <c r="S63" i="16"/>
  <c r="AN62" i="16"/>
  <c r="S62" i="16"/>
  <c r="P62" i="16"/>
  <c r="O62" i="16"/>
  <c r="N62" i="16"/>
  <c r="S61" i="16"/>
  <c r="P61" i="16"/>
  <c r="O61" i="16"/>
  <c r="N61" i="16"/>
  <c r="S60" i="16"/>
  <c r="P60" i="16"/>
  <c r="O60" i="16"/>
  <c r="N60" i="16"/>
  <c r="S59" i="16"/>
  <c r="P59" i="16"/>
  <c r="O59" i="16"/>
  <c r="N59" i="16"/>
  <c r="S58" i="16"/>
  <c r="P58" i="16"/>
  <c r="O58" i="16"/>
  <c r="N58" i="16"/>
  <c r="S57" i="16"/>
  <c r="P57" i="16"/>
  <c r="O57" i="16"/>
  <c r="N57" i="16"/>
  <c r="S56" i="16"/>
  <c r="P56" i="16"/>
  <c r="O56" i="16"/>
  <c r="N56" i="16"/>
  <c r="I56" i="16"/>
  <c r="S55" i="16"/>
  <c r="P55" i="16"/>
  <c r="O55" i="16"/>
  <c r="N55" i="16"/>
  <c r="I55" i="16"/>
  <c r="P49" i="16"/>
  <c r="M49" i="16"/>
  <c r="L49" i="16"/>
  <c r="K49" i="16"/>
  <c r="P48" i="16"/>
  <c r="M48" i="16"/>
  <c r="L48" i="16"/>
  <c r="K48" i="16"/>
  <c r="P47" i="16"/>
  <c r="M47" i="16"/>
  <c r="L47" i="16"/>
  <c r="K47" i="16"/>
  <c r="P46" i="16"/>
  <c r="M46" i="16"/>
  <c r="L46" i="16"/>
  <c r="K46" i="16"/>
  <c r="S45" i="16"/>
  <c r="P45" i="16"/>
  <c r="O45" i="16"/>
  <c r="N45" i="16"/>
  <c r="AN44" i="16"/>
  <c r="AM44" i="16"/>
  <c r="AL44" i="16"/>
  <c r="AK44" i="16"/>
  <c r="AJ44" i="16"/>
  <c r="AI44" i="16"/>
  <c r="AH44" i="16"/>
  <c r="AG44" i="16"/>
  <c r="AF44" i="16"/>
  <c r="AE44" i="16"/>
  <c r="AA44" i="16"/>
  <c r="Y44" i="16"/>
  <c r="W44" i="16"/>
  <c r="V44" i="16"/>
  <c r="S44" i="16"/>
  <c r="O44" i="16"/>
  <c r="N44" i="16"/>
  <c r="P43" i="16"/>
  <c r="Q43" i="16" s="1"/>
  <c r="S43" i="16" s="1"/>
  <c r="O43" i="16"/>
  <c r="N43" i="16"/>
  <c r="P42" i="16"/>
  <c r="S42" i="16" s="1"/>
  <c r="O42" i="16"/>
  <c r="N42" i="16"/>
  <c r="P41" i="16"/>
  <c r="S41" i="16" s="1"/>
  <c r="O41" i="16"/>
  <c r="N41" i="16"/>
  <c r="P40" i="16"/>
  <c r="S40" i="16" s="1"/>
  <c r="O40" i="16"/>
  <c r="N40" i="16"/>
  <c r="P39" i="16"/>
  <c r="S39" i="16" s="1"/>
  <c r="O39" i="16"/>
  <c r="N39" i="16"/>
  <c r="P38" i="16"/>
  <c r="S38" i="16" s="1"/>
  <c r="O38" i="16"/>
  <c r="N38" i="16"/>
  <c r="P37" i="16"/>
  <c r="S37" i="16" s="1"/>
  <c r="O37" i="16"/>
  <c r="N37" i="16"/>
  <c r="P36" i="16"/>
  <c r="S36" i="16" s="1"/>
  <c r="O36" i="16"/>
  <c r="N36" i="16"/>
  <c r="P35" i="16"/>
  <c r="S35" i="16" s="1"/>
  <c r="O35" i="16"/>
  <c r="N35" i="16"/>
  <c r="P34" i="16"/>
  <c r="S34" i="16" s="1"/>
  <c r="O34" i="16"/>
  <c r="N34" i="16"/>
  <c r="P33" i="16"/>
  <c r="S33" i="16" s="1"/>
  <c r="O33" i="16"/>
  <c r="N33" i="16"/>
  <c r="P32" i="16"/>
  <c r="S32" i="16" s="1"/>
  <c r="O32" i="16"/>
  <c r="N32" i="16"/>
  <c r="P31" i="16"/>
  <c r="S31" i="16" s="1"/>
  <c r="O31" i="16"/>
  <c r="N31" i="16"/>
  <c r="P30" i="16"/>
  <c r="S30" i="16" s="1"/>
  <c r="O30" i="16"/>
  <c r="N30" i="16"/>
  <c r="P29" i="16"/>
  <c r="S29" i="16" s="1"/>
  <c r="O29" i="16"/>
  <c r="N29" i="16"/>
  <c r="P28" i="16"/>
  <c r="S28" i="16" s="1"/>
  <c r="O28" i="16"/>
  <c r="N28" i="16"/>
  <c r="S27" i="16"/>
  <c r="P27" i="16"/>
  <c r="O27" i="16"/>
  <c r="N27" i="16"/>
  <c r="R26" i="16"/>
  <c r="S26" i="16" s="1"/>
  <c r="P26" i="16"/>
  <c r="O26" i="16"/>
  <c r="N26" i="16"/>
  <c r="P25" i="16"/>
  <c r="S25" i="16" s="1"/>
  <c r="O25" i="16"/>
  <c r="N25" i="16"/>
  <c r="P24" i="16"/>
  <c r="S24" i="16" s="1"/>
  <c r="O24" i="16"/>
  <c r="N24" i="16"/>
  <c r="P23" i="16"/>
  <c r="S23" i="16" s="1"/>
  <c r="O23" i="16"/>
  <c r="N23" i="16"/>
  <c r="P22" i="16"/>
  <c r="S22" i="16" s="1"/>
  <c r="O22" i="16"/>
  <c r="N22" i="16"/>
  <c r="P21" i="16"/>
  <c r="S21" i="16" s="1"/>
  <c r="O21" i="16"/>
  <c r="N21" i="16"/>
  <c r="P20" i="16"/>
  <c r="S20" i="16" s="1"/>
  <c r="O20" i="16"/>
  <c r="N20" i="16"/>
  <c r="Z19" i="16"/>
  <c r="S19" i="16"/>
  <c r="P19" i="16"/>
  <c r="O19" i="16"/>
  <c r="N19" i="16"/>
  <c r="S18" i="16"/>
  <c r="P18" i="16"/>
  <c r="O18" i="16"/>
  <c r="N18" i="16"/>
  <c r="S17" i="16"/>
  <c r="P17" i="16"/>
  <c r="O17" i="16"/>
  <c r="N17" i="16"/>
  <c r="S16" i="16"/>
  <c r="P16" i="16"/>
  <c r="O16" i="16"/>
  <c r="N16" i="16"/>
  <c r="S15" i="16"/>
  <c r="P15" i="16"/>
  <c r="O15" i="16"/>
  <c r="N15" i="16"/>
  <c r="S14" i="16"/>
  <c r="R14" i="16"/>
  <c r="P14" i="16"/>
  <c r="O14" i="16"/>
  <c r="N14" i="16"/>
  <c r="K14" i="16"/>
  <c r="P13" i="16"/>
  <c r="S13" i="16" s="1"/>
  <c r="N13" i="16"/>
  <c r="AB12" i="16"/>
  <c r="P12" i="16"/>
  <c r="S12" i="16" s="1"/>
  <c r="O12" i="16"/>
  <c r="N12" i="16"/>
  <c r="P11" i="16"/>
  <c r="S11" i="16" s="1"/>
  <c r="O11" i="16"/>
  <c r="N11" i="16"/>
  <c r="P10" i="16"/>
  <c r="S10" i="16" s="1"/>
  <c r="O10" i="16"/>
  <c r="N10" i="16"/>
  <c r="P9" i="16"/>
  <c r="S9" i="16" s="1"/>
  <c r="J39" i="15"/>
  <c r="I39" i="15"/>
  <c r="J38" i="15"/>
  <c r="J36" i="15"/>
  <c r="J35" i="15"/>
  <c r="J34" i="15"/>
  <c r="J33" i="15"/>
  <c r="J32" i="15"/>
  <c r="J29" i="15"/>
  <c r="J28" i="15"/>
  <c r="J24" i="15"/>
  <c r="J22" i="15"/>
  <c r="O20" i="15"/>
  <c r="J20" i="15"/>
  <c r="J19" i="15"/>
  <c r="J18" i="15"/>
  <c r="J17" i="15"/>
  <c r="P14" i="15"/>
  <c r="O14" i="15"/>
  <c r="J14" i="15"/>
  <c r="J12" i="15"/>
  <c r="I12" i="15"/>
  <c r="J11" i="15"/>
  <c r="J9" i="15"/>
  <c r="K75" i="16" l="1"/>
  <c r="N75" i="16" s="1"/>
  <c r="P75" i="16"/>
  <c r="H250" i="14"/>
  <c r="G250" i="14"/>
  <c r="F250" i="14"/>
  <c r="E250" i="14"/>
  <c r="D250" i="14"/>
  <c r="C250" i="14"/>
  <c r="B250" i="14"/>
  <c r="A250" i="14"/>
  <c r="AP249" i="14"/>
  <c r="AO249" i="14"/>
  <c r="AN249" i="14"/>
  <c r="AM249" i="14"/>
  <c r="AL249" i="14"/>
  <c r="AK249" i="14"/>
  <c r="AJ249" i="14"/>
  <c r="AI249" i="14"/>
  <c r="AH249" i="14"/>
  <c r="AG249" i="14"/>
  <c r="AF249" i="14"/>
  <c r="AE249" i="14"/>
  <c r="AA249" i="14"/>
  <c r="V249" i="14"/>
  <c r="U249" i="14"/>
  <c r="T249" i="14"/>
  <c r="S249" i="14"/>
  <c r="P249" i="14"/>
  <c r="O249" i="14"/>
  <c r="H249" i="14"/>
  <c r="N249" i="14" s="1"/>
  <c r="G249" i="14"/>
  <c r="F249" i="14"/>
  <c r="E249" i="14"/>
  <c r="D249" i="14"/>
  <c r="C249" i="14"/>
  <c r="B249" i="14"/>
  <c r="A249" i="14"/>
  <c r="AP248" i="14"/>
  <c r="AO248" i="14"/>
  <c r="AN248" i="14"/>
  <c r="AM248" i="14"/>
  <c r="AL248" i="14"/>
  <c r="AK248" i="14"/>
  <c r="AJ248" i="14"/>
  <c r="AI248" i="14"/>
  <c r="AH248" i="14"/>
  <c r="AG248" i="14"/>
  <c r="AF248" i="14"/>
  <c r="AE248" i="14"/>
  <c r="AA248" i="14"/>
  <c r="V248" i="14"/>
  <c r="U248" i="14"/>
  <c r="T248" i="14"/>
  <c r="S248" i="14"/>
  <c r="P248" i="14"/>
  <c r="O248" i="14"/>
  <c r="H248" i="14"/>
  <c r="N248" i="14" s="1"/>
  <c r="G248" i="14"/>
  <c r="F248" i="14"/>
  <c r="E248" i="14"/>
  <c r="D248" i="14"/>
  <c r="C248" i="14"/>
  <c r="B248" i="14"/>
  <c r="A248" i="14"/>
  <c r="AP247" i="14"/>
  <c r="AO247" i="14"/>
  <c r="AN247" i="14"/>
  <c r="AM247" i="14"/>
  <c r="AL247" i="14"/>
  <c r="AK247" i="14"/>
  <c r="AJ247" i="14"/>
  <c r="AI247" i="14"/>
  <c r="AH247" i="14"/>
  <c r="AG247" i="14"/>
  <c r="AF247" i="14"/>
  <c r="AE247" i="14"/>
  <c r="AA247" i="14"/>
  <c r="V247" i="14"/>
  <c r="U247" i="14"/>
  <c r="T247" i="14"/>
  <c r="S247" i="14"/>
  <c r="P247" i="14"/>
  <c r="O247" i="14"/>
  <c r="H247" i="14"/>
  <c r="N247" i="14" s="1"/>
  <c r="G247" i="14"/>
  <c r="F247" i="14"/>
  <c r="E247" i="14"/>
  <c r="D247" i="14"/>
  <c r="C247" i="14"/>
  <c r="B247" i="14"/>
  <c r="A247" i="14"/>
  <c r="AP246" i="14"/>
  <c r="AO246" i="14"/>
  <c r="AN246" i="14"/>
  <c r="AM246" i="14"/>
  <c r="AL246" i="14"/>
  <c r="AK246" i="14"/>
  <c r="AJ246" i="14"/>
  <c r="AI246" i="14"/>
  <c r="AH246" i="14"/>
  <c r="AG246" i="14"/>
  <c r="AF246" i="14"/>
  <c r="AE246" i="14"/>
  <c r="AA246" i="14"/>
  <c r="V246" i="14"/>
  <c r="U246" i="14"/>
  <c r="T246" i="14"/>
  <c r="S246" i="14"/>
  <c r="P246" i="14"/>
  <c r="O246" i="14"/>
  <c r="H246" i="14"/>
  <c r="N246" i="14" s="1"/>
  <c r="G246" i="14"/>
  <c r="F246" i="14"/>
  <c r="E246" i="14"/>
  <c r="D246" i="14"/>
  <c r="C246" i="14"/>
  <c r="B246" i="14"/>
  <c r="A246" i="14"/>
  <c r="AP245" i="14"/>
  <c r="AO245" i="14"/>
  <c r="AN245" i="14"/>
  <c r="AM245" i="14"/>
  <c r="AL245" i="14"/>
  <c r="AK245" i="14"/>
  <c r="AJ245" i="14"/>
  <c r="AI245" i="14"/>
  <c r="AH245" i="14"/>
  <c r="AG245" i="14"/>
  <c r="AF245" i="14"/>
  <c r="AE245" i="14"/>
  <c r="AA245" i="14"/>
  <c r="V245" i="14"/>
  <c r="U245" i="14"/>
  <c r="T245" i="14"/>
  <c r="S245" i="14"/>
  <c r="P245" i="14"/>
  <c r="O245" i="14"/>
  <c r="H245" i="14"/>
  <c r="N245" i="14" s="1"/>
  <c r="G245" i="14"/>
  <c r="F245" i="14"/>
  <c r="E245" i="14"/>
  <c r="D245" i="14"/>
  <c r="C245" i="14"/>
  <c r="B245" i="14"/>
  <c r="A245" i="14"/>
  <c r="S27" i="14"/>
  <c r="AB26" i="14"/>
  <c r="S26" i="14"/>
  <c r="P26" i="14"/>
  <c r="O26" i="14"/>
  <c r="N26" i="14"/>
  <c r="S25" i="14"/>
  <c r="R25" i="14"/>
  <c r="P25" i="14"/>
  <c r="O25" i="14"/>
  <c r="N25" i="14"/>
  <c r="R24" i="14"/>
  <c r="S24" i="14" s="1"/>
  <c r="P24" i="14"/>
  <c r="O24" i="14"/>
  <c r="N24" i="14"/>
  <c r="R23" i="14"/>
  <c r="S23" i="14" s="1"/>
  <c r="P23" i="14"/>
  <c r="O23" i="14"/>
  <c r="N23" i="14"/>
  <c r="AB22" i="14"/>
  <c r="S22" i="14"/>
  <c r="R22" i="14"/>
  <c r="P22" i="14"/>
  <c r="O22" i="14"/>
  <c r="N22" i="14"/>
  <c r="S21" i="14"/>
  <c r="P21" i="14"/>
  <c r="O21" i="14"/>
  <c r="N21" i="14"/>
  <c r="R20" i="14"/>
  <c r="S20" i="14" s="1"/>
  <c r="P20" i="14"/>
  <c r="O20" i="14"/>
  <c r="N20" i="14"/>
  <c r="S19" i="14"/>
  <c r="R19" i="14"/>
  <c r="P19" i="14"/>
  <c r="O19" i="14"/>
  <c r="N19" i="14"/>
  <c r="S18" i="14"/>
  <c r="P18" i="14"/>
  <c r="O18" i="14"/>
  <c r="N18" i="14"/>
  <c r="R17" i="14"/>
  <c r="S17" i="14" s="1"/>
  <c r="P17" i="14"/>
  <c r="O17" i="14"/>
  <c r="N17" i="14"/>
  <c r="S16" i="14"/>
  <c r="R16" i="14"/>
  <c r="P16" i="14"/>
  <c r="O16" i="14"/>
  <c r="N16" i="14"/>
  <c r="R15" i="14"/>
  <c r="S15" i="14" s="1"/>
  <c r="P15" i="14"/>
  <c r="O15" i="14"/>
  <c r="N15" i="14"/>
  <c r="R14" i="14"/>
  <c r="S14" i="14" s="1"/>
  <c r="P14" i="14"/>
  <c r="O14" i="14"/>
  <c r="N14" i="14"/>
  <c r="S13" i="14"/>
  <c r="P13" i="14"/>
  <c r="O13" i="14"/>
  <c r="N13" i="14"/>
  <c r="AB12" i="14"/>
  <c r="S12" i="14"/>
  <c r="R12" i="14"/>
  <c r="P12" i="14"/>
  <c r="O12" i="14"/>
  <c r="N12" i="14"/>
  <c r="AB11" i="14"/>
  <c r="R11" i="14"/>
  <c r="S11" i="14" s="1"/>
  <c r="P11" i="14"/>
  <c r="O11" i="14"/>
  <c r="N11" i="14"/>
  <c r="AB10" i="14"/>
  <c r="S10" i="14"/>
  <c r="P10" i="14"/>
  <c r="O10" i="14"/>
  <c r="N10" i="14"/>
  <c r="S9" i="14"/>
  <c r="P9" i="14"/>
  <c r="O9" i="14"/>
  <c r="N9" i="14"/>
  <c r="J22" i="13"/>
  <c r="J20" i="13"/>
  <c r="J19" i="13"/>
  <c r="J18" i="13"/>
  <c r="J16" i="13"/>
  <c r="J15" i="13"/>
  <c r="J13" i="13"/>
  <c r="J12" i="13"/>
  <c r="J11" i="13"/>
  <c r="J10" i="13"/>
  <c r="J9" i="13"/>
  <c r="L5" i="13"/>
  <c r="S96" i="12" l="1"/>
  <c r="P96" i="12"/>
  <c r="O96" i="12"/>
  <c r="N96" i="12"/>
  <c r="S95" i="12"/>
  <c r="P95" i="12"/>
  <c r="O95" i="12"/>
  <c r="N95" i="12"/>
  <c r="S94" i="12"/>
  <c r="P94" i="12"/>
  <c r="O94" i="12"/>
  <c r="N94" i="12"/>
  <c r="S93" i="12"/>
  <c r="P93" i="12"/>
  <c r="O93" i="12"/>
  <c r="N93" i="12"/>
  <c r="S92" i="12"/>
  <c r="P92" i="12"/>
  <c r="O92" i="12"/>
  <c r="N92" i="12"/>
  <c r="S91" i="12"/>
  <c r="P91" i="12"/>
  <c r="O91" i="12"/>
  <c r="N91" i="12"/>
  <c r="S90" i="12"/>
  <c r="P90" i="12"/>
  <c r="O90" i="12"/>
  <c r="N90" i="12"/>
  <c r="S89" i="12"/>
  <c r="P89" i="12"/>
  <c r="O89" i="12"/>
  <c r="N89" i="12"/>
  <c r="S88" i="12"/>
  <c r="P88" i="12"/>
  <c r="O88" i="12"/>
  <c r="N88" i="12"/>
  <c r="S87" i="12"/>
  <c r="P87" i="12"/>
  <c r="O87" i="12"/>
  <c r="N87" i="12"/>
  <c r="S86" i="12"/>
  <c r="P86" i="12"/>
  <c r="O86" i="12"/>
  <c r="N86" i="12"/>
  <c r="S85" i="12"/>
  <c r="P85" i="12"/>
  <c r="O85" i="12"/>
  <c r="N85" i="12"/>
  <c r="S84" i="12"/>
  <c r="P84" i="12"/>
  <c r="O84" i="12"/>
  <c r="N84" i="12"/>
  <c r="S83" i="12"/>
  <c r="P83" i="12"/>
  <c r="O83" i="12"/>
  <c r="N83" i="12"/>
  <c r="S82" i="12"/>
  <c r="P82" i="12"/>
  <c r="O82" i="12"/>
  <c r="N82" i="12"/>
  <c r="S81" i="12"/>
  <c r="P81" i="12"/>
  <c r="O81" i="12"/>
  <c r="N81" i="12"/>
  <c r="S80" i="12"/>
  <c r="P80" i="12"/>
  <c r="O80" i="12"/>
  <c r="N80" i="12"/>
  <c r="S79" i="12"/>
  <c r="P79" i="12"/>
  <c r="O79" i="12"/>
  <c r="N79" i="12"/>
  <c r="S78" i="12"/>
  <c r="P78" i="12"/>
  <c r="O78" i="12"/>
  <c r="N78" i="12"/>
  <c r="S77" i="12"/>
  <c r="P77" i="12"/>
  <c r="O77" i="12"/>
  <c r="N77" i="12"/>
  <c r="S76" i="12"/>
  <c r="P76" i="12"/>
  <c r="O76" i="12"/>
  <c r="N76" i="12"/>
  <c r="S75" i="12"/>
  <c r="P75" i="12"/>
  <c r="O75" i="12"/>
  <c r="N75" i="12"/>
  <c r="S74" i="12"/>
  <c r="P74" i="12"/>
  <c r="O74" i="12"/>
  <c r="N74" i="12"/>
  <c r="S73" i="12"/>
  <c r="P73" i="12"/>
  <c r="O73" i="12"/>
  <c r="N73" i="12"/>
  <c r="S72" i="12"/>
  <c r="P72" i="12"/>
  <c r="O72" i="12"/>
  <c r="N72" i="12"/>
  <c r="S71" i="12"/>
  <c r="P71" i="12"/>
  <c r="O71" i="12"/>
  <c r="N71" i="12"/>
  <c r="S70" i="12"/>
  <c r="P70" i="12"/>
  <c r="O70" i="12"/>
  <c r="N70" i="12"/>
  <c r="S69" i="12"/>
  <c r="P69" i="12"/>
  <c r="O69" i="12"/>
  <c r="N69" i="12"/>
  <c r="S68" i="12"/>
  <c r="R68" i="12"/>
  <c r="O68" i="12"/>
  <c r="N68" i="12"/>
  <c r="M68" i="12"/>
  <c r="S67" i="12"/>
  <c r="P67" i="12"/>
  <c r="O67" i="12"/>
  <c r="N67" i="12"/>
  <c r="S66" i="12"/>
  <c r="P66" i="12"/>
  <c r="O66" i="12"/>
  <c r="N66" i="12"/>
  <c r="S65" i="12"/>
  <c r="P65" i="12"/>
  <c r="O65" i="12"/>
  <c r="N65" i="12"/>
  <c r="S64" i="12"/>
  <c r="P64" i="12"/>
  <c r="O64" i="12"/>
  <c r="N64" i="12"/>
  <c r="S63" i="12"/>
  <c r="P63" i="12"/>
  <c r="O63" i="12"/>
  <c r="N63" i="12"/>
  <c r="S62" i="12"/>
  <c r="P62" i="12"/>
  <c r="O62" i="12"/>
  <c r="N62" i="12"/>
  <c r="S61" i="12"/>
  <c r="P61" i="12"/>
  <c r="O61" i="12"/>
  <c r="N61" i="12"/>
  <c r="S60" i="12"/>
  <c r="P60" i="12"/>
  <c r="O60" i="12"/>
  <c r="N60" i="12"/>
  <c r="S59" i="12"/>
  <c r="P59" i="12"/>
  <c r="O59" i="12"/>
  <c r="N59" i="12"/>
  <c r="S58" i="12"/>
  <c r="P58" i="12"/>
  <c r="O58" i="12"/>
  <c r="N58" i="12"/>
  <c r="S57" i="12"/>
  <c r="P57" i="12"/>
  <c r="O57" i="12"/>
  <c r="N57" i="12"/>
  <c r="S56" i="12"/>
  <c r="P56" i="12"/>
  <c r="O56" i="12"/>
  <c r="N56" i="12"/>
  <c r="S55" i="12"/>
  <c r="P55" i="12"/>
  <c r="O55" i="12"/>
  <c r="N55" i="12"/>
  <c r="S54" i="12"/>
  <c r="P54" i="12"/>
  <c r="O54" i="12"/>
  <c r="N54" i="12"/>
  <c r="S53" i="12"/>
  <c r="P53" i="12"/>
  <c r="O53" i="12"/>
  <c r="N53" i="12"/>
  <c r="S52" i="12"/>
  <c r="P52" i="12"/>
  <c r="O52" i="12"/>
  <c r="N52" i="12"/>
  <c r="S51" i="12"/>
  <c r="P51" i="12"/>
  <c r="O51" i="12"/>
  <c r="N51" i="12"/>
  <c r="S50" i="12"/>
  <c r="P50" i="12"/>
  <c r="O50" i="12"/>
  <c r="N50" i="12"/>
  <c r="S49" i="12"/>
  <c r="P49" i="12"/>
  <c r="O49" i="12"/>
  <c r="N49" i="12"/>
  <c r="S48" i="12"/>
  <c r="P48" i="12"/>
  <c r="O48" i="12"/>
  <c r="N48" i="12"/>
  <c r="AB47" i="12"/>
  <c r="S47" i="12"/>
  <c r="P47" i="12"/>
  <c r="O47" i="12"/>
  <c r="N47" i="12"/>
  <c r="S46" i="12"/>
  <c r="P46" i="12"/>
  <c r="O46" i="12"/>
  <c r="N46" i="12"/>
  <c r="S45" i="12"/>
  <c r="P45" i="12"/>
  <c r="O45" i="12"/>
  <c r="N45" i="12"/>
  <c r="S44" i="12"/>
  <c r="P44" i="12"/>
  <c r="O44" i="12"/>
  <c r="N44" i="12"/>
  <c r="S43" i="12"/>
  <c r="P43" i="12"/>
  <c r="O43" i="12"/>
  <c r="N43" i="12"/>
  <c r="S42" i="12"/>
  <c r="P42" i="12"/>
  <c r="O42" i="12"/>
  <c r="N42" i="12"/>
  <c r="S41" i="12"/>
  <c r="P41" i="12"/>
  <c r="N41" i="12"/>
  <c r="I41" i="12"/>
  <c r="O41" i="12" s="1"/>
  <c r="S40" i="12"/>
  <c r="P40" i="12"/>
  <c r="O40" i="12"/>
  <c r="N40" i="12"/>
  <c r="S39" i="12"/>
  <c r="P39" i="12"/>
  <c r="O39" i="12"/>
  <c r="N39" i="12"/>
  <c r="S38" i="12"/>
  <c r="P38" i="12"/>
  <c r="O38" i="12"/>
  <c r="N38" i="12"/>
  <c r="S37" i="12"/>
  <c r="P37" i="12"/>
  <c r="O37" i="12"/>
  <c r="N37" i="12"/>
  <c r="S36" i="12"/>
  <c r="P36" i="12"/>
  <c r="O36" i="12"/>
  <c r="N36" i="12"/>
  <c r="S35" i="12"/>
  <c r="P35" i="12"/>
  <c r="O35" i="12"/>
  <c r="N35" i="12"/>
  <c r="S34" i="12"/>
  <c r="O34" i="12"/>
  <c r="N34" i="12"/>
  <c r="S33" i="12"/>
  <c r="P33" i="12"/>
  <c r="O33" i="12"/>
  <c r="N33" i="12"/>
  <c r="S32" i="12"/>
  <c r="P32" i="12"/>
  <c r="O32" i="12"/>
  <c r="N32" i="12"/>
  <c r="S31" i="12"/>
  <c r="O31" i="12"/>
  <c r="N31" i="12"/>
  <c r="S30" i="12"/>
  <c r="P30" i="12"/>
  <c r="O30" i="12"/>
  <c r="N30" i="12"/>
  <c r="S29" i="12"/>
  <c r="P29" i="12"/>
  <c r="N29" i="12"/>
  <c r="I29" i="12"/>
  <c r="O29" i="12" s="1"/>
  <c r="S28" i="12"/>
  <c r="P28" i="12"/>
  <c r="O28" i="12"/>
  <c r="N28" i="12"/>
  <c r="S27" i="12"/>
  <c r="P27" i="12"/>
  <c r="O27" i="12"/>
  <c r="N27" i="12"/>
  <c r="S26" i="12"/>
  <c r="P26" i="12"/>
  <c r="O26" i="12"/>
  <c r="N26" i="12"/>
  <c r="S25" i="12"/>
  <c r="P25" i="12"/>
  <c r="O25" i="12"/>
  <c r="N25" i="12"/>
  <c r="S24" i="12"/>
  <c r="P24" i="12"/>
  <c r="O24" i="12"/>
  <c r="N24" i="12"/>
  <c r="S23" i="12"/>
  <c r="P23" i="12"/>
  <c r="O23" i="12"/>
  <c r="N23" i="12"/>
  <c r="S22" i="12"/>
  <c r="P22" i="12"/>
  <c r="O22" i="12"/>
  <c r="N22" i="12"/>
  <c r="S21" i="12"/>
  <c r="P21" i="12"/>
  <c r="O21" i="12"/>
  <c r="N21" i="12"/>
  <c r="S20" i="12"/>
  <c r="P20" i="12"/>
  <c r="O20" i="12"/>
  <c r="N20" i="12"/>
  <c r="S19" i="12"/>
  <c r="P19" i="12"/>
  <c r="O19" i="12"/>
  <c r="N19" i="12"/>
  <c r="S18" i="12"/>
  <c r="P18" i="12"/>
  <c r="O18" i="12"/>
  <c r="N18" i="12"/>
  <c r="S17" i="12"/>
  <c r="P17" i="12"/>
  <c r="O17" i="12"/>
  <c r="N17" i="12"/>
  <c r="S16" i="12"/>
  <c r="P16" i="12"/>
  <c r="O16" i="12"/>
  <c r="N16" i="12"/>
  <c r="S15" i="12"/>
  <c r="P15" i="12"/>
  <c r="O15" i="12"/>
  <c r="N15" i="12"/>
  <c r="S14" i="12"/>
  <c r="P14" i="12"/>
  <c r="O14" i="12"/>
  <c r="N14" i="12"/>
  <c r="S13" i="12"/>
  <c r="P13" i="12"/>
  <c r="O13" i="12"/>
  <c r="N13" i="12"/>
  <c r="S12" i="12"/>
  <c r="N12" i="12"/>
  <c r="S11" i="12"/>
  <c r="P11" i="12"/>
  <c r="O11" i="12"/>
  <c r="N11" i="12"/>
  <c r="S10" i="12"/>
  <c r="P10" i="12"/>
  <c r="O10" i="12"/>
  <c r="N10" i="12"/>
  <c r="S9" i="12"/>
  <c r="O9" i="12"/>
  <c r="N9" i="12"/>
  <c r="I33" i="11"/>
  <c r="I32" i="11"/>
  <c r="I31" i="11"/>
  <c r="I30" i="11"/>
  <c r="I28" i="11"/>
  <c r="I25" i="11"/>
  <c r="I24" i="11"/>
  <c r="I22" i="11"/>
  <c r="I20" i="11"/>
  <c r="I16" i="11"/>
  <c r="I15" i="11"/>
  <c r="I14" i="11"/>
  <c r="I12" i="11"/>
  <c r="I11" i="11"/>
  <c r="I10" i="11"/>
  <c r="S124" i="10" l="1"/>
  <c r="P124" i="10"/>
  <c r="O124" i="10"/>
  <c r="N124" i="10"/>
  <c r="S123" i="10"/>
  <c r="P123" i="10"/>
  <c r="O123" i="10"/>
  <c r="N123" i="10"/>
  <c r="S121" i="10"/>
  <c r="P121" i="10"/>
  <c r="O121" i="10"/>
  <c r="N121" i="10"/>
  <c r="S120" i="10"/>
  <c r="P120" i="10"/>
  <c r="O120" i="10"/>
  <c r="N120" i="10"/>
  <c r="S119" i="10"/>
  <c r="P119" i="10"/>
  <c r="O119" i="10"/>
  <c r="N119" i="10"/>
  <c r="S118" i="10"/>
  <c r="P118" i="10"/>
  <c r="O118" i="10"/>
  <c r="N118" i="10"/>
  <c r="S117" i="10"/>
  <c r="P117" i="10"/>
  <c r="O117" i="10"/>
  <c r="N117" i="10"/>
  <c r="S116" i="10"/>
  <c r="P116" i="10"/>
  <c r="O116" i="10"/>
  <c r="N116" i="10"/>
  <c r="P115" i="10"/>
  <c r="O115" i="10"/>
  <c r="N115" i="10"/>
  <c r="S114" i="10"/>
  <c r="P114" i="10"/>
  <c r="O114" i="10"/>
  <c r="N114" i="10"/>
  <c r="S113" i="10"/>
  <c r="P113" i="10"/>
  <c r="O113" i="10"/>
  <c r="N113" i="10"/>
  <c r="S112" i="10"/>
  <c r="P112" i="10"/>
  <c r="O112" i="10"/>
  <c r="N112" i="10"/>
  <c r="S111" i="10"/>
  <c r="P111" i="10"/>
  <c r="O111" i="10"/>
  <c r="N111" i="10"/>
  <c r="S110" i="10"/>
  <c r="P110" i="10"/>
  <c r="O110" i="10"/>
  <c r="N110" i="10"/>
  <c r="S109" i="10"/>
  <c r="P109" i="10"/>
  <c r="O109" i="10"/>
  <c r="N109" i="10"/>
  <c r="P108" i="10"/>
  <c r="O108" i="10"/>
  <c r="N108" i="10"/>
  <c r="P107" i="10"/>
  <c r="O107" i="10"/>
  <c r="N107" i="10"/>
  <c r="P106" i="10"/>
  <c r="O106" i="10"/>
  <c r="N106" i="10"/>
  <c r="S105" i="10"/>
  <c r="P105" i="10"/>
  <c r="O105" i="10"/>
  <c r="N105" i="10"/>
  <c r="S104" i="10"/>
  <c r="P104" i="10"/>
  <c r="O104" i="10"/>
  <c r="N104" i="10"/>
  <c r="S103" i="10"/>
  <c r="P103" i="10"/>
  <c r="O103" i="10"/>
  <c r="N103" i="10"/>
  <c r="S102" i="10"/>
  <c r="P102" i="10"/>
  <c r="O102" i="10"/>
  <c r="N102" i="10"/>
  <c r="S101" i="10"/>
  <c r="P101" i="10"/>
  <c r="O101" i="10"/>
  <c r="N101" i="10"/>
  <c r="S100" i="10"/>
  <c r="P100" i="10"/>
  <c r="O100" i="10"/>
  <c r="N100" i="10"/>
  <c r="S99" i="10"/>
  <c r="P99" i="10"/>
  <c r="O99" i="10"/>
  <c r="N99" i="10"/>
  <c r="S98" i="10"/>
  <c r="P98" i="10"/>
  <c r="O98" i="10"/>
  <c r="N98" i="10"/>
  <c r="S97" i="10"/>
  <c r="P97" i="10"/>
  <c r="O97" i="10"/>
  <c r="N97" i="10"/>
  <c r="S96" i="10"/>
  <c r="P96" i="10"/>
  <c r="O96" i="10"/>
  <c r="N96" i="10"/>
  <c r="S95" i="10"/>
  <c r="P95" i="10"/>
  <c r="O95" i="10"/>
  <c r="N95" i="10"/>
  <c r="S94" i="10"/>
  <c r="P94" i="10"/>
  <c r="O94" i="10"/>
  <c r="N94" i="10"/>
  <c r="S93" i="10"/>
  <c r="P93" i="10"/>
  <c r="O93" i="10"/>
  <c r="N93" i="10"/>
  <c r="P92" i="10"/>
  <c r="O92" i="10"/>
  <c r="N92" i="10"/>
  <c r="S91" i="10"/>
  <c r="P91" i="10"/>
  <c r="O91" i="10"/>
  <c r="N91" i="10"/>
  <c r="S90" i="10"/>
  <c r="P90" i="10"/>
  <c r="O90" i="10"/>
  <c r="N90" i="10"/>
  <c r="S89" i="10"/>
  <c r="P89" i="10"/>
  <c r="O89" i="10"/>
  <c r="N89" i="10"/>
  <c r="S88" i="10"/>
  <c r="P88" i="10"/>
  <c r="O88" i="10"/>
  <c r="N88" i="10"/>
  <c r="S87" i="10"/>
  <c r="P87" i="10"/>
  <c r="O87" i="10"/>
  <c r="N87" i="10"/>
  <c r="S86" i="10"/>
  <c r="P86" i="10"/>
  <c r="O86" i="10"/>
  <c r="N86" i="10"/>
  <c r="S85" i="10"/>
  <c r="P85" i="10"/>
  <c r="O85" i="10"/>
  <c r="N85" i="10"/>
  <c r="S84" i="10"/>
  <c r="P84" i="10"/>
  <c r="O84" i="10"/>
  <c r="N84" i="10"/>
  <c r="S83" i="10"/>
  <c r="P83" i="10"/>
  <c r="O83" i="10"/>
  <c r="N83" i="10"/>
  <c r="P82" i="10"/>
  <c r="O82" i="10"/>
  <c r="N82" i="10"/>
  <c r="S81" i="10"/>
  <c r="P81" i="10"/>
  <c r="O81" i="10"/>
  <c r="N81" i="10"/>
  <c r="S80" i="10"/>
  <c r="P80" i="10"/>
  <c r="O80" i="10"/>
  <c r="N80" i="10"/>
  <c r="S79" i="10"/>
  <c r="P79" i="10"/>
  <c r="O79" i="10"/>
  <c r="N79" i="10"/>
  <c r="S78" i="10"/>
  <c r="P78" i="10"/>
  <c r="O78" i="10"/>
  <c r="N78" i="10"/>
  <c r="S77" i="10"/>
  <c r="P77" i="10"/>
  <c r="O77" i="10"/>
  <c r="N77" i="10"/>
  <c r="S76" i="10"/>
  <c r="P76" i="10"/>
  <c r="O76" i="10"/>
  <c r="N76" i="10"/>
  <c r="S75" i="10"/>
  <c r="P75" i="10"/>
  <c r="O75" i="10"/>
  <c r="N75" i="10"/>
  <c r="S74" i="10"/>
  <c r="P74" i="10"/>
  <c r="O74" i="10"/>
  <c r="N74" i="10"/>
  <c r="S73" i="10"/>
  <c r="P73" i="10"/>
  <c r="O73" i="10"/>
  <c r="N73" i="10"/>
  <c r="S72" i="10"/>
  <c r="P72" i="10"/>
  <c r="O72" i="10"/>
  <c r="N72" i="10"/>
  <c r="S71" i="10"/>
  <c r="P71" i="10"/>
  <c r="O71" i="10"/>
  <c r="N71" i="10"/>
  <c r="S70" i="10"/>
  <c r="P70" i="10"/>
  <c r="O70" i="10"/>
  <c r="N70" i="10"/>
  <c r="S69" i="10"/>
  <c r="P69" i="10"/>
  <c r="O69" i="10"/>
  <c r="N69" i="10"/>
  <c r="S68" i="10"/>
  <c r="P68" i="10"/>
  <c r="O68" i="10"/>
  <c r="N68" i="10"/>
  <c r="S67" i="10"/>
  <c r="P67" i="10"/>
  <c r="O67" i="10"/>
  <c r="N67" i="10"/>
  <c r="S66" i="10"/>
  <c r="P66" i="10"/>
  <c r="O66" i="10"/>
  <c r="N66" i="10"/>
  <c r="S65" i="10"/>
  <c r="P65" i="10"/>
  <c r="O65" i="10"/>
  <c r="N65" i="10"/>
  <c r="S64" i="10"/>
  <c r="P64" i="10"/>
  <c r="O64" i="10"/>
  <c r="N64" i="10"/>
  <c r="S63" i="10"/>
  <c r="P63" i="10"/>
  <c r="O63" i="10"/>
  <c r="N63" i="10"/>
  <c r="S62" i="10"/>
  <c r="P62" i="10"/>
  <c r="O62" i="10"/>
  <c r="N62" i="10"/>
  <c r="S61" i="10"/>
  <c r="P61" i="10"/>
  <c r="O61" i="10"/>
  <c r="N61" i="10"/>
  <c r="S60" i="10"/>
  <c r="P60" i="10"/>
  <c r="O60" i="10"/>
  <c r="N60" i="10"/>
  <c r="P57" i="10"/>
  <c r="O57" i="10"/>
  <c r="N57" i="10"/>
  <c r="S56" i="10"/>
  <c r="P56" i="10"/>
  <c r="O56" i="10"/>
  <c r="N56" i="10"/>
  <c r="S55" i="10"/>
  <c r="P55" i="10"/>
  <c r="O55" i="10"/>
  <c r="N55" i="10"/>
  <c r="S54" i="10"/>
  <c r="P54" i="10"/>
  <c r="O54" i="10"/>
  <c r="N54" i="10"/>
  <c r="S53" i="10"/>
  <c r="P53" i="10"/>
  <c r="O53" i="10"/>
  <c r="N53" i="10"/>
  <c r="S52" i="10"/>
  <c r="P52" i="10"/>
  <c r="O52" i="10"/>
  <c r="N52" i="10"/>
  <c r="S51" i="10"/>
  <c r="P51" i="10"/>
  <c r="O51" i="10"/>
  <c r="N51" i="10"/>
  <c r="S50" i="10"/>
  <c r="P50" i="10"/>
  <c r="O50" i="10"/>
  <c r="N50" i="10"/>
  <c r="S49" i="10"/>
  <c r="P49" i="10"/>
  <c r="O49" i="10"/>
  <c r="N49" i="10"/>
  <c r="S48" i="10"/>
  <c r="P48" i="10"/>
  <c r="O48" i="10"/>
  <c r="N48" i="10"/>
  <c r="S47" i="10"/>
  <c r="P47" i="10"/>
  <c r="O47" i="10"/>
  <c r="N47" i="10"/>
  <c r="S46" i="10"/>
  <c r="P46" i="10"/>
  <c r="O46" i="10"/>
  <c r="N46" i="10"/>
  <c r="S45" i="10"/>
  <c r="P45" i="10"/>
  <c r="O45" i="10"/>
  <c r="N45" i="10"/>
  <c r="S44" i="10"/>
  <c r="P44" i="10"/>
  <c r="O44" i="10"/>
  <c r="N44" i="10"/>
  <c r="S43" i="10"/>
  <c r="P43" i="10"/>
  <c r="O43" i="10"/>
  <c r="N43" i="10"/>
  <c r="S42" i="10"/>
  <c r="P42" i="10"/>
  <c r="O42" i="10"/>
  <c r="N42" i="10"/>
  <c r="S41" i="10"/>
  <c r="P41" i="10"/>
  <c r="O41" i="10"/>
  <c r="N41" i="10"/>
  <c r="S40" i="10"/>
  <c r="P40" i="10"/>
  <c r="O40" i="10"/>
  <c r="N40" i="10"/>
  <c r="S39" i="10"/>
  <c r="P39" i="10"/>
  <c r="O39" i="10"/>
  <c r="N39" i="10"/>
  <c r="S38" i="10"/>
  <c r="P38" i="10"/>
  <c r="O38" i="10"/>
  <c r="N38" i="10"/>
  <c r="S37" i="10"/>
  <c r="P37" i="10"/>
  <c r="O37" i="10"/>
  <c r="N37" i="10"/>
  <c r="X36" i="10"/>
  <c r="S36" i="10"/>
  <c r="P36" i="10"/>
  <c r="O36" i="10"/>
  <c r="N36" i="10"/>
  <c r="S35" i="10"/>
  <c r="P35" i="10"/>
  <c r="O35" i="10"/>
  <c r="N35" i="10"/>
  <c r="S34" i="10"/>
  <c r="P34" i="10"/>
  <c r="O34" i="10"/>
  <c r="N34" i="10"/>
  <c r="S33" i="10"/>
  <c r="P33" i="10"/>
  <c r="O33" i="10"/>
  <c r="N33" i="10"/>
  <c r="S32" i="10"/>
  <c r="P32" i="10"/>
  <c r="O32" i="10"/>
  <c r="N32" i="10"/>
  <c r="S31" i="10"/>
  <c r="P31" i="10"/>
  <c r="O31" i="10"/>
  <c r="N31" i="10"/>
  <c r="S30" i="10"/>
  <c r="P30" i="10"/>
  <c r="O30" i="10"/>
  <c r="N30" i="10"/>
  <c r="S29" i="10"/>
  <c r="P29" i="10"/>
  <c r="O29" i="10"/>
  <c r="N29" i="10"/>
  <c r="S28" i="10"/>
  <c r="P28" i="10"/>
  <c r="O28" i="10"/>
  <c r="N28" i="10"/>
  <c r="S27" i="10"/>
  <c r="P27" i="10"/>
  <c r="O27" i="10"/>
  <c r="N27" i="10"/>
  <c r="S26" i="10"/>
  <c r="P26" i="10"/>
  <c r="O26" i="10"/>
  <c r="N26" i="10"/>
  <c r="S25" i="10"/>
  <c r="P25" i="10"/>
  <c r="O25" i="10"/>
  <c r="N25" i="10"/>
  <c r="S24" i="10"/>
  <c r="P24" i="10"/>
  <c r="O24" i="10"/>
  <c r="N24" i="10"/>
  <c r="S23" i="10"/>
  <c r="P23" i="10"/>
  <c r="O23" i="10"/>
  <c r="N23" i="10"/>
  <c r="S22" i="10"/>
  <c r="P22" i="10"/>
  <c r="O22" i="10"/>
  <c r="N22" i="10"/>
  <c r="S21" i="10"/>
  <c r="P21" i="10"/>
  <c r="O21" i="10"/>
  <c r="N21" i="10"/>
  <c r="S20" i="10"/>
  <c r="P20" i="10"/>
  <c r="O20" i="10"/>
  <c r="N20" i="10"/>
  <c r="S19" i="10"/>
  <c r="P19" i="10"/>
  <c r="O19" i="10"/>
  <c r="N19" i="10"/>
  <c r="S18" i="10"/>
  <c r="P18" i="10"/>
  <c r="O18" i="10"/>
  <c r="N18" i="10"/>
  <c r="S17" i="10"/>
  <c r="P17" i="10"/>
  <c r="O17" i="10"/>
  <c r="N17" i="10"/>
  <c r="S16" i="10"/>
  <c r="P16" i="10"/>
  <c r="O16" i="10"/>
  <c r="N16" i="10"/>
  <c r="S15" i="10"/>
  <c r="P15" i="10"/>
  <c r="O15" i="10"/>
  <c r="N15" i="10"/>
  <c r="S14" i="10"/>
  <c r="P14" i="10"/>
  <c r="O14" i="10"/>
  <c r="N14" i="10"/>
  <c r="S13" i="10"/>
  <c r="P13" i="10"/>
  <c r="O13" i="10"/>
  <c r="N13" i="10"/>
  <c r="S12" i="10"/>
  <c r="P12" i="10"/>
  <c r="O12" i="10"/>
  <c r="N12" i="10"/>
  <c r="S11" i="10"/>
  <c r="P11" i="10"/>
  <c r="O11" i="10"/>
  <c r="N11" i="10"/>
  <c r="S10" i="10"/>
  <c r="P10" i="10"/>
  <c r="O10" i="10"/>
  <c r="N10" i="10"/>
  <c r="S9" i="10"/>
  <c r="P9" i="10"/>
  <c r="O9" i="10"/>
  <c r="N9" i="10"/>
  <c r="J31" i="9"/>
  <c r="J30" i="9"/>
  <c r="J29" i="9"/>
  <c r="J28" i="9"/>
  <c r="J27" i="9"/>
  <c r="J26" i="9"/>
  <c r="J25" i="9"/>
  <c r="J24" i="9"/>
  <c r="J23" i="9"/>
  <c r="J22" i="9"/>
  <c r="J21" i="9"/>
  <c r="J20" i="9"/>
  <c r="J19" i="9"/>
  <c r="J18" i="9"/>
  <c r="J17" i="9"/>
  <c r="J16" i="9"/>
  <c r="J14" i="9"/>
  <c r="J13" i="9"/>
  <c r="J12" i="9"/>
  <c r="J11" i="9"/>
  <c r="J10" i="9"/>
  <c r="J9" i="9"/>
  <c r="O343" i="8" l="1"/>
  <c r="N343" i="8"/>
  <c r="O342" i="8"/>
  <c r="N342" i="8"/>
  <c r="O341" i="8"/>
  <c r="N341" i="8"/>
  <c r="O340" i="8"/>
  <c r="N340" i="8"/>
  <c r="O339" i="8"/>
  <c r="N339" i="8"/>
  <c r="S338" i="8"/>
  <c r="O338" i="8"/>
  <c r="N338" i="8"/>
  <c r="S337" i="8"/>
  <c r="O337" i="8"/>
  <c r="N337" i="8"/>
  <c r="S336" i="8"/>
  <c r="P336" i="8"/>
  <c r="O336" i="8"/>
  <c r="N336" i="8"/>
  <c r="S335" i="8"/>
  <c r="P335" i="8"/>
  <c r="O335" i="8"/>
  <c r="N335" i="8"/>
  <c r="O334" i="8"/>
  <c r="N334" i="8"/>
  <c r="O333" i="8"/>
  <c r="N333" i="8"/>
  <c r="O332" i="8"/>
  <c r="N332" i="8"/>
  <c r="S331" i="8"/>
  <c r="P331" i="8"/>
  <c r="O331" i="8"/>
  <c r="N331" i="8"/>
  <c r="S330" i="8"/>
  <c r="P330" i="8"/>
  <c r="O330" i="8"/>
  <c r="N330" i="8"/>
  <c r="O329" i="8"/>
  <c r="N329" i="8"/>
  <c r="O328" i="8"/>
  <c r="N328" i="8"/>
  <c r="O327" i="8"/>
  <c r="N327" i="8"/>
  <c r="S326" i="8"/>
  <c r="P326" i="8"/>
  <c r="O326" i="8"/>
  <c r="N326" i="8"/>
  <c r="S325" i="8"/>
  <c r="P325" i="8"/>
  <c r="O325" i="8"/>
  <c r="N325" i="8"/>
  <c r="S324" i="8"/>
  <c r="P324" i="8"/>
  <c r="O324" i="8"/>
  <c r="N324" i="8"/>
  <c r="S323" i="8"/>
  <c r="P323" i="8"/>
  <c r="O323" i="8"/>
  <c r="N323" i="8"/>
  <c r="S322" i="8"/>
  <c r="O322" i="8"/>
  <c r="N322" i="8"/>
  <c r="S321" i="8"/>
  <c r="O321" i="8"/>
  <c r="N321" i="8"/>
  <c r="S320" i="8"/>
  <c r="O320" i="8"/>
  <c r="N320" i="8"/>
  <c r="S319" i="8"/>
  <c r="O319" i="8"/>
  <c r="N319" i="8"/>
  <c r="S318" i="8"/>
  <c r="O318" i="8"/>
  <c r="N318" i="8"/>
  <c r="S317" i="8"/>
  <c r="O317" i="8"/>
  <c r="N317" i="8"/>
  <c r="S316" i="8"/>
  <c r="P316" i="8"/>
  <c r="O316" i="8"/>
  <c r="N316" i="8"/>
  <c r="S315" i="8"/>
  <c r="P315" i="8"/>
  <c r="O315" i="8"/>
  <c r="N315" i="8"/>
  <c r="S314" i="8"/>
  <c r="P314" i="8"/>
  <c r="O314" i="8"/>
  <c r="N314" i="8"/>
  <c r="P313" i="8"/>
  <c r="O313" i="8"/>
  <c r="N313" i="8"/>
  <c r="S312" i="8"/>
  <c r="P312" i="8"/>
  <c r="O312" i="8"/>
  <c r="N312" i="8"/>
  <c r="S311" i="8"/>
  <c r="P311" i="8"/>
  <c r="O311" i="8"/>
  <c r="N311" i="8"/>
  <c r="P310" i="8"/>
  <c r="O310" i="8"/>
  <c r="N310" i="8"/>
  <c r="P309" i="8"/>
  <c r="O309" i="8"/>
  <c r="N309" i="8"/>
  <c r="P308" i="8"/>
  <c r="O308" i="8"/>
  <c r="N308" i="8"/>
  <c r="P307" i="8"/>
  <c r="O307" i="8"/>
  <c r="N307" i="8"/>
  <c r="P306" i="8"/>
  <c r="O306" i="8"/>
  <c r="N306" i="8"/>
  <c r="P305" i="8"/>
  <c r="O305" i="8"/>
  <c r="N305" i="8"/>
  <c r="P304" i="8"/>
  <c r="O304" i="8"/>
  <c r="N304" i="8"/>
  <c r="S303" i="8"/>
  <c r="P303" i="8"/>
  <c r="O303" i="8"/>
  <c r="N303" i="8"/>
  <c r="S301" i="8"/>
  <c r="P301" i="8"/>
  <c r="O301" i="8"/>
  <c r="N301" i="8"/>
  <c r="S300" i="8"/>
  <c r="P300" i="8"/>
  <c r="O300" i="8"/>
  <c r="N300" i="8"/>
  <c r="S299" i="8"/>
  <c r="P299" i="8"/>
  <c r="O299" i="8"/>
  <c r="N299" i="8"/>
  <c r="S295" i="8"/>
  <c r="P295" i="8"/>
  <c r="O295" i="8"/>
  <c r="N295" i="8"/>
  <c r="S294" i="8"/>
  <c r="P294" i="8"/>
  <c r="O294" i="8"/>
  <c r="N294" i="8"/>
  <c r="S293" i="8"/>
  <c r="P293" i="8"/>
  <c r="O293" i="8"/>
  <c r="N293" i="8"/>
  <c r="S289" i="8"/>
  <c r="P289" i="8"/>
  <c r="O289" i="8"/>
  <c r="N289" i="8"/>
  <c r="S288" i="8"/>
  <c r="P288" i="8"/>
  <c r="O288" i="8"/>
  <c r="N288" i="8"/>
  <c r="S287" i="8"/>
  <c r="P287" i="8"/>
  <c r="O287" i="8"/>
  <c r="N287" i="8"/>
  <c r="P286" i="8"/>
  <c r="O286" i="8"/>
  <c r="N286" i="8"/>
  <c r="S285" i="8"/>
  <c r="P285" i="8"/>
  <c r="O285" i="8"/>
  <c r="N285" i="8"/>
  <c r="S284" i="8"/>
  <c r="P284" i="8"/>
  <c r="O284" i="8"/>
  <c r="N284" i="8"/>
  <c r="S283" i="8"/>
  <c r="P283" i="8"/>
  <c r="O283" i="8"/>
  <c r="N283" i="8"/>
  <c r="S282" i="8"/>
  <c r="P282" i="8"/>
  <c r="O282" i="8"/>
  <c r="N282" i="8"/>
  <c r="S281" i="8"/>
  <c r="P281" i="8"/>
  <c r="O281" i="8"/>
  <c r="N281" i="8"/>
  <c r="S280" i="8"/>
  <c r="P280" i="8"/>
  <c r="O280" i="8"/>
  <c r="N280" i="8"/>
  <c r="S279" i="8"/>
  <c r="P279" i="8"/>
  <c r="O279" i="8"/>
  <c r="N279" i="8"/>
  <c r="S278" i="8"/>
  <c r="P278" i="8"/>
  <c r="O278" i="8"/>
  <c r="N278" i="8"/>
  <c r="S277" i="8"/>
  <c r="P277" i="8"/>
  <c r="O277" i="8"/>
  <c r="N277" i="8"/>
  <c r="S276" i="8"/>
  <c r="P276" i="8"/>
  <c r="O276" i="8"/>
  <c r="N276" i="8"/>
  <c r="S275" i="8"/>
  <c r="P275" i="8"/>
  <c r="O275" i="8"/>
  <c r="N275" i="8"/>
  <c r="S273" i="8"/>
  <c r="P273" i="8"/>
  <c r="O273" i="8"/>
  <c r="N273" i="8"/>
  <c r="S272" i="8"/>
  <c r="P272" i="8"/>
  <c r="O272" i="8"/>
  <c r="N272" i="8"/>
  <c r="S270" i="8"/>
  <c r="P270" i="8"/>
  <c r="O270" i="8"/>
  <c r="N270" i="8"/>
  <c r="S269" i="8"/>
  <c r="P269" i="8"/>
  <c r="O269" i="8"/>
  <c r="N269" i="8"/>
  <c r="S268" i="8"/>
  <c r="P268" i="8"/>
  <c r="O268" i="8"/>
  <c r="N268" i="8"/>
  <c r="S267" i="8"/>
  <c r="P267" i="8"/>
  <c r="O267" i="8"/>
  <c r="N267" i="8"/>
  <c r="S264" i="8"/>
  <c r="P264" i="8"/>
  <c r="O264" i="8"/>
  <c r="N264" i="8"/>
  <c r="S263" i="8"/>
  <c r="P263" i="8"/>
  <c r="O263" i="8"/>
  <c r="N263" i="8"/>
  <c r="S262" i="8"/>
  <c r="P262" i="8"/>
  <c r="O262" i="8"/>
  <c r="N262" i="8"/>
  <c r="S259" i="8"/>
  <c r="P259" i="8"/>
  <c r="O259" i="8"/>
  <c r="N259" i="8"/>
  <c r="S258" i="8"/>
  <c r="P258" i="8"/>
  <c r="O258" i="8"/>
  <c r="N258" i="8"/>
  <c r="S257" i="8"/>
  <c r="P257" i="8"/>
  <c r="O257" i="8"/>
  <c r="N257" i="8"/>
  <c r="S256" i="8"/>
  <c r="P256" i="8"/>
  <c r="O256" i="8"/>
  <c r="N256" i="8"/>
  <c r="S255" i="8"/>
  <c r="P255" i="8"/>
  <c r="O255" i="8"/>
  <c r="N255" i="8"/>
  <c r="S254" i="8"/>
  <c r="P254" i="8"/>
  <c r="O254" i="8"/>
  <c r="N254" i="8"/>
  <c r="S253" i="8"/>
  <c r="P253" i="8"/>
  <c r="O253" i="8"/>
  <c r="N253" i="8"/>
  <c r="S251" i="8"/>
  <c r="P251" i="8"/>
  <c r="O251" i="8"/>
  <c r="N251" i="8"/>
  <c r="S250" i="8"/>
  <c r="P250" i="8"/>
  <c r="O250" i="8"/>
  <c r="N250" i="8"/>
  <c r="S249" i="8"/>
  <c r="P249" i="8"/>
  <c r="O249" i="8"/>
  <c r="N249" i="8"/>
  <c r="S248" i="8"/>
  <c r="P248" i="8"/>
  <c r="O248" i="8"/>
  <c r="N248" i="8"/>
  <c r="S247" i="8"/>
  <c r="P247" i="8"/>
  <c r="O247" i="8"/>
  <c r="N247" i="8"/>
  <c r="S240" i="8"/>
  <c r="P240" i="8"/>
  <c r="O240" i="8"/>
  <c r="N240" i="8"/>
  <c r="S239" i="8"/>
  <c r="P239" i="8"/>
  <c r="O239" i="8"/>
  <c r="N239" i="8"/>
  <c r="S238" i="8"/>
  <c r="P238" i="8"/>
  <c r="O238" i="8"/>
  <c r="N238" i="8"/>
  <c r="S232" i="8"/>
  <c r="P232" i="8"/>
  <c r="O232" i="8"/>
  <c r="N232" i="8"/>
  <c r="S231" i="8"/>
  <c r="P231" i="8"/>
  <c r="O231" i="8"/>
  <c r="N231" i="8"/>
  <c r="S230" i="8"/>
  <c r="P230" i="8"/>
  <c r="O230" i="8"/>
  <c r="N230" i="8"/>
  <c r="S228" i="8"/>
  <c r="P228" i="8"/>
  <c r="O228" i="8"/>
  <c r="N228" i="8"/>
  <c r="S227" i="8"/>
  <c r="P227" i="8"/>
  <c r="O227" i="8"/>
  <c r="N227" i="8"/>
  <c r="S226" i="8"/>
  <c r="P226" i="8"/>
  <c r="O226" i="8"/>
  <c r="N226" i="8"/>
  <c r="S225" i="8"/>
  <c r="P225" i="8"/>
  <c r="O225" i="8"/>
  <c r="N225" i="8"/>
  <c r="S224" i="8"/>
  <c r="P224" i="8"/>
  <c r="O224" i="8"/>
  <c r="N224" i="8"/>
  <c r="S222" i="8"/>
  <c r="P222" i="8"/>
  <c r="O222" i="8"/>
  <c r="N222" i="8"/>
  <c r="S221" i="8"/>
  <c r="P221" i="8"/>
  <c r="O221" i="8"/>
  <c r="N221" i="8"/>
  <c r="S220" i="8"/>
  <c r="P220" i="8"/>
  <c r="O220" i="8"/>
  <c r="N220" i="8"/>
  <c r="S219" i="8"/>
  <c r="P219" i="8"/>
  <c r="O219" i="8"/>
  <c r="N219" i="8"/>
  <c r="S218" i="8"/>
  <c r="P218" i="8"/>
  <c r="O218" i="8"/>
  <c r="N218" i="8"/>
  <c r="S217" i="8"/>
  <c r="P217" i="8"/>
  <c r="O217" i="8"/>
  <c r="N217" i="8"/>
  <c r="S216" i="8"/>
  <c r="P216" i="8"/>
  <c r="O216" i="8"/>
  <c r="N216" i="8"/>
  <c r="S215" i="8"/>
  <c r="P215" i="8"/>
  <c r="O215" i="8"/>
  <c r="N215" i="8"/>
  <c r="S214" i="8"/>
  <c r="P214" i="8"/>
  <c r="O214" i="8"/>
  <c r="N214" i="8"/>
  <c r="S213" i="8"/>
  <c r="P213" i="8"/>
  <c r="O213" i="8"/>
  <c r="N213" i="8"/>
  <c r="S212" i="8"/>
  <c r="P212" i="8"/>
  <c r="O212" i="8"/>
  <c r="N212" i="8"/>
  <c r="S202" i="8"/>
  <c r="P202" i="8"/>
  <c r="O202" i="8"/>
  <c r="N202" i="8"/>
  <c r="S201" i="8"/>
  <c r="P201" i="8"/>
  <c r="O201" i="8"/>
  <c r="N201" i="8"/>
  <c r="S199" i="8"/>
  <c r="P199" i="8"/>
  <c r="O199" i="8"/>
  <c r="N199" i="8"/>
  <c r="S198" i="8"/>
  <c r="P198" i="8"/>
  <c r="O198" i="8"/>
  <c r="N198" i="8"/>
  <c r="S197" i="8"/>
  <c r="P197" i="8"/>
  <c r="O197" i="8"/>
  <c r="N197" i="8"/>
  <c r="S196" i="8"/>
  <c r="P196" i="8"/>
  <c r="O196" i="8"/>
  <c r="N196" i="8"/>
  <c r="S195" i="8"/>
  <c r="P195" i="8"/>
  <c r="O195" i="8"/>
  <c r="N195" i="8"/>
  <c r="S194" i="8"/>
  <c r="P194" i="8"/>
  <c r="O194" i="8"/>
  <c r="N194" i="8"/>
  <c r="S193" i="8"/>
  <c r="P193" i="8"/>
  <c r="O193" i="8"/>
  <c r="N193" i="8"/>
  <c r="S192" i="8"/>
  <c r="P192" i="8"/>
  <c r="O192" i="8"/>
  <c r="N192" i="8"/>
  <c r="S191" i="8"/>
  <c r="P191" i="8"/>
  <c r="O191" i="8"/>
  <c r="N191" i="8"/>
  <c r="S190" i="8"/>
  <c r="P190" i="8"/>
  <c r="O190" i="8"/>
  <c r="N190" i="8"/>
  <c r="S189" i="8"/>
  <c r="P189" i="8"/>
  <c r="O189" i="8"/>
  <c r="N189" i="8"/>
  <c r="S188" i="8"/>
  <c r="P188" i="8"/>
  <c r="O188" i="8"/>
  <c r="N188" i="8"/>
  <c r="S179" i="8"/>
  <c r="P179" i="8"/>
  <c r="O179" i="8"/>
  <c r="N179" i="8"/>
  <c r="S178" i="8"/>
  <c r="P178" i="8"/>
  <c r="O178" i="8"/>
  <c r="N178" i="8"/>
  <c r="S177" i="8"/>
  <c r="P177" i="8"/>
  <c r="N177" i="8"/>
  <c r="S174" i="8"/>
  <c r="P174" i="8"/>
  <c r="O174" i="8"/>
  <c r="N174" i="8"/>
  <c r="S173" i="8"/>
  <c r="P173" i="8"/>
  <c r="O173" i="8"/>
  <c r="N173" i="8"/>
  <c r="S172" i="8"/>
  <c r="P172" i="8"/>
  <c r="O172" i="8"/>
  <c r="N172" i="8"/>
  <c r="S169" i="8"/>
  <c r="P169" i="8"/>
  <c r="O169" i="8"/>
  <c r="N169" i="8"/>
  <c r="S159" i="8"/>
  <c r="P159" i="8"/>
  <c r="O159" i="8"/>
  <c r="N159" i="8"/>
  <c r="S158" i="8"/>
  <c r="P158" i="8"/>
  <c r="O158" i="8"/>
  <c r="N158" i="8"/>
  <c r="S157" i="8"/>
  <c r="P157" i="8"/>
  <c r="O157" i="8"/>
  <c r="N157" i="8"/>
  <c r="S156" i="8"/>
  <c r="P156" i="8"/>
  <c r="O156" i="8"/>
  <c r="N156" i="8"/>
  <c r="S155" i="8"/>
  <c r="P155" i="8"/>
  <c r="O155" i="8"/>
  <c r="N155" i="8"/>
  <c r="S154" i="8"/>
  <c r="P154" i="8"/>
  <c r="O154" i="8"/>
  <c r="N154" i="8"/>
  <c r="S153" i="8"/>
  <c r="P153" i="8"/>
  <c r="O153" i="8"/>
  <c r="N153" i="8"/>
  <c r="S152" i="8"/>
  <c r="P152" i="8"/>
  <c r="O152" i="8"/>
  <c r="N152" i="8"/>
  <c r="S151" i="8"/>
  <c r="P151" i="8"/>
  <c r="O151" i="8"/>
  <c r="N151" i="8"/>
  <c r="S150" i="8"/>
  <c r="P150" i="8"/>
  <c r="O150" i="8"/>
  <c r="N150" i="8"/>
  <c r="S149" i="8"/>
  <c r="P149" i="8"/>
  <c r="O149" i="8"/>
  <c r="N149" i="8"/>
  <c r="S148" i="8"/>
  <c r="P148" i="8"/>
  <c r="O148" i="8"/>
  <c r="N148" i="8"/>
  <c r="S147" i="8"/>
  <c r="P147" i="8"/>
  <c r="O147" i="8"/>
  <c r="N147" i="8"/>
  <c r="S146" i="8"/>
  <c r="P146" i="8"/>
  <c r="O146" i="8"/>
  <c r="N146" i="8"/>
  <c r="S145" i="8"/>
  <c r="P145" i="8"/>
  <c r="O145" i="8"/>
  <c r="N145" i="8"/>
  <c r="S144" i="8"/>
  <c r="P144" i="8"/>
  <c r="O144" i="8"/>
  <c r="N144" i="8"/>
  <c r="S142" i="8"/>
  <c r="P142" i="8"/>
  <c r="O142" i="8"/>
  <c r="N142" i="8"/>
  <c r="S141" i="8"/>
  <c r="P141" i="8"/>
  <c r="O141" i="8"/>
  <c r="N141" i="8"/>
  <c r="S139" i="8"/>
  <c r="P139" i="8"/>
  <c r="O139" i="8"/>
  <c r="N139" i="8"/>
  <c r="S138" i="8"/>
  <c r="P138" i="8"/>
  <c r="O138" i="8"/>
  <c r="N138" i="8"/>
  <c r="S137" i="8"/>
  <c r="P137" i="8"/>
  <c r="O137" i="8"/>
  <c r="N137" i="8"/>
  <c r="S136" i="8"/>
  <c r="P136" i="8"/>
  <c r="O136" i="8"/>
  <c r="N136" i="8"/>
  <c r="S132" i="8"/>
  <c r="P132" i="8"/>
  <c r="O132" i="8"/>
  <c r="N132" i="8"/>
  <c r="S128" i="8"/>
  <c r="P128" i="8"/>
  <c r="O128" i="8"/>
  <c r="N128" i="8"/>
  <c r="S127" i="8"/>
  <c r="P127" i="8"/>
  <c r="O127" i="8"/>
  <c r="N127" i="8"/>
  <c r="S126" i="8"/>
  <c r="P126" i="8"/>
  <c r="O126" i="8"/>
  <c r="N126" i="8"/>
  <c r="S125" i="8"/>
  <c r="P125" i="8"/>
  <c r="O125" i="8"/>
  <c r="N125" i="8"/>
  <c r="S124" i="8"/>
  <c r="P124" i="8"/>
  <c r="O124" i="8"/>
  <c r="N124" i="8"/>
  <c r="S123" i="8"/>
  <c r="P123" i="8"/>
  <c r="O123" i="8"/>
  <c r="N123" i="8"/>
  <c r="S122" i="8"/>
  <c r="P122" i="8"/>
  <c r="O122" i="8"/>
  <c r="N122" i="8"/>
  <c r="S121" i="8"/>
  <c r="P121" i="8"/>
  <c r="O121" i="8"/>
  <c r="N121" i="8"/>
  <c r="S120" i="8"/>
  <c r="P120" i="8"/>
  <c r="O120" i="8"/>
  <c r="N120" i="8"/>
  <c r="S119" i="8"/>
  <c r="P119" i="8"/>
  <c r="O119" i="8"/>
  <c r="N119" i="8"/>
  <c r="S118" i="8"/>
  <c r="P118" i="8"/>
  <c r="O118" i="8"/>
  <c r="N118" i="8"/>
  <c r="S117" i="8"/>
  <c r="P117" i="8"/>
  <c r="O117" i="8"/>
  <c r="N117" i="8"/>
  <c r="S116" i="8"/>
  <c r="P116" i="8"/>
  <c r="O116" i="8"/>
  <c r="N116" i="8"/>
  <c r="S115" i="8"/>
  <c r="P115" i="8"/>
  <c r="O115" i="8"/>
  <c r="N115" i="8"/>
  <c r="S114" i="8"/>
  <c r="P114" i="8"/>
  <c r="O114" i="8"/>
  <c r="N114" i="8"/>
  <c r="S113" i="8"/>
  <c r="P113" i="8"/>
  <c r="S112" i="8"/>
  <c r="P112" i="8"/>
  <c r="O112" i="8"/>
  <c r="N112" i="8"/>
  <c r="S110" i="8"/>
  <c r="P110" i="8"/>
  <c r="O110" i="8"/>
  <c r="N110" i="8"/>
  <c r="S109" i="8"/>
  <c r="P109" i="8"/>
  <c r="O109" i="8"/>
  <c r="N109" i="8"/>
  <c r="S108" i="8"/>
  <c r="P108" i="8"/>
  <c r="O108" i="8"/>
  <c r="N108" i="8"/>
  <c r="S107" i="8"/>
  <c r="P107" i="8"/>
  <c r="O107" i="8"/>
  <c r="N107" i="8"/>
  <c r="S106" i="8"/>
  <c r="P106" i="8"/>
  <c r="O106" i="8"/>
  <c r="N106" i="8"/>
  <c r="S105" i="8"/>
  <c r="P105" i="8"/>
  <c r="O105" i="8"/>
  <c r="N105" i="8"/>
  <c r="S104" i="8"/>
  <c r="P104" i="8"/>
  <c r="O104" i="8"/>
  <c r="N104" i="8"/>
  <c r="S103" i="8"/>
  <c r="P103" i="8"/>
  <c r="O103" i="8"/>
  <c r="N103" i="8"/>
  <c r="S102" i="8"/>
  <c r="P102" i="8"/>
  <c r="O102" i="8"/>
  <c r="N102" i="8"/>
  <c r="S101" i="8"/>
  <c r="P101" i="8"/>
  <c r="O101" i="8"/>
  <c r="N101" i="8"/>
  <c r="S100" i="8"/>
  <c r="P100" i="8"/>
  <c r="O100" i="8"/>
  <c r="N100" i="8"/>
  <c r="S99" i="8"/>
  <c r="P99" i="8"/>
  <c r="O99" i="8"/>
  <c r="N99" i="8"/>
  <c r="S97" i="8"/>
  <c r="P97" i="8"/>
  <c r="O97" i="8"/>
  <c r="N97" i="8"/>
  <c r="Z96" i="8"/>
  <c r="S96" i="8"/>
  <c r="P96" i="8"/>
  <c r="O96" i="8"/>
  <c r="N96" i="8"/>
  <c r="Z95" i="8"/>
  <c r="S95" i="8"/>
  <c r="P95" i="8"/>
  <c r="O95" i="8"/>
  <c r="N95" i="8"/>
  <c r="S94" i="8"/>
  <c r="P94" i="8"/>
  <c r="O94" i="8"/>
  <c r="N94" i="8"/>
  <c r="S93" i="8"/>
  <c r="P93" i="8"/>
  <c r="O93" i="8"/>
  <c r="N93" i="8"/>
  <c r="S92" i="8"/>
  <c r="P92" i="8"/>
  <c r="O92" i="8"/>
  <c r="N92" i="8"/>
  <c r="S91" i="8"/>
  <c r="P91" i="8"/>
  <c r="O91" i="8"/>
  <c r="N91" i="8"/>
  <c r="S90" i="8"/>
  <c r="P90" i="8"/>
  <c r="O90" i="8"/>
  <c r="N90" i="8"/>
  <c r="S89" i="8"/>
  <c r="P89" i="8"/>
  <c r="O89" i="8"/>
  <c r="N89" i="8"/>
  <c r="S88" i="8"/>
  <c r="P88" i="8"/>
  <c r="O88" i="8"/>
  <c r="N88" i="8"/>
  <c r="S87" i="8"/>
  <c r="P87" i="8"/>
  <c r="O87" i="8"/>
  <c r="N87" i="8"/>
  <c r="S86" i="8"/>
  <c r="P86" i="8"/>
  <c r="O86" i="8"/>
  <c r="N86" i="8"/>
  <c r="S84" i="8"/>
  <c r="P84" i="8"/>
  <c r="O84" i="8"/>
  <c r="N84" i="8"/>
  <c r="S82" i="8"/>
  <c r="P82" i="8"/>
  <c r="O82" i="8"/>
  <c r="N82" i="8"/>
  <c r="S81" i="8"/>
  <c r="P81" i="8"/>
  <c r="O81" i="8"/>
  <c r="N81" i="8"/>
  <c r="S67" i="8"/>
  <c r="O67" i="8"/>
  <c r="S66" i="8"/>
  <c r="P66" i="8"/>
  <c r="O66" i="8"/>
  <c r="S65" i="8"/>
  <c r="P65" i="8"/>
  <c r="O65" i="8"/>
  <c r="S64" i="8"/>
  <c r="P64" i="8"/>
  <c r="O64" i="8"/>
  <c r="N64" i="8"/>
  <c r="S63" i="8"/>
  <c r="P63" i="8"/>
  <c r="O63" i="8"/>
  <c r="N63" i="8"/>
  <c r="S62" i="8"/>
  <c r="P62" i="8"/>
  <c r="O62" i="8"/>
  <c r="N62" i="8"/>
  <c r="S61" i="8"/>
  <c r="P61" i="8"/>
  <c r="O61" i="8"/>
  <c r="N61" i="8"/>
  <c r="S60" i="8"/>
  <c r="P60" i="8"/>
  <c r="O60" i="8"/>
  <c r="N60" i="8"/>
  <c r="S59" i="8"/>
  <c r="P59" i="8"/>
  <c r="O59" i="8"/>
  <c r="N59" i="8"/>
  <c r="S58" i="8"/>
  <c r="P58" i="8"/>
  <c r="O58" i="8"/>
  <c r="N58" i="8"/>
  <c r="S57" i="8"/>
  <c r="P57" i="8"/>
  <c r="O57" i="8"/>
  <c r="N57" i="8"/>
  <c r="S56" i="8"/>
  <c r="P56" i="8"/>
  <c r="O56" i="8"/>
  <c r="N56" i="8"/>
  <c r="S55" i="8"/>
  <c r="P55" i="8"/>
  <c r="O55" i="8"/>
  <c r="N55" i="8"/>
  <c r="S54" i="8"/>
  <c r="P54" i="8"/>
  <c r="N54" i="8"/>
  <c r="S53" i="8"/>
  <c r="P53" i="8"/>
  <c r="O53" i="8"/>
  <c r="N53" i="8"/>
  <c r="O52" i="8"/>
  <c r="S51" i="8"/>
  <c r="O51" i="8"/>
  <c r="S50" i="8"/>
  <c r="P50" i="8"/>
  <c r="O50" i="8"/>
  <c r="N50" i="8"/>
  <c r="S49" i="8"/>
  <c r="P49" i="8"/>
  <c r="O49" i="8"/>
  <c r="N49" i="8"/>
  <c r="S48" i="8"/>
  <c r="P48" i="8"/>
  <c r="O48" i="8"/>
  <c r="N48" i="8"/>
  <c r="S47" i="8"/>
  <c r="P47" i="8"/>
  <c r="O47" i="8"/>
  <c r="N47" i="8"/>
  <c r="S46" i="8"/>
  <c r="P46" i="8"/>
  <c r="O46" i="8"/>
  <c r="N46" i="8"/>
  <c r="S45" i="8"/>
  <c r="P45" i="8"/>
  <c r="O45" i="8"/>
  <c r="N45" i="8"/>
  <c r="S44" i="8"/>
  <c r="P44" i="8"/>
  <c r="O44" i="8"/>
  <c r="N44" i="8"/>
  <c r="S43" i="8"/>
  <c r="P43" i="8"/>
  <c r="O43" i="8"/>
  <c r="N43" i="8"/>
  <c r="S42" i="8"/>
  <c r="P42" i="8"/>
  <c r="O42" i="8"/>
  <c r="N42" i="8"/>
  <c r="S41" i="8"/>
  <c r="P41" i="8"/>
  <c r="O41" i="8"/>
  <c r="N41" i="8"/>
  <c r="S40" i="8"/>
  <c r="P40" i="8"/>
  <c r="O40" i="8"/>
  <c r="N40" i="8"/>
  <c r="S39" i="8"/>
  <c r="P39" i="8"/>
  <c r="O39" i="8"/>
  <c r="N39" i="8"/>
  <c r="S38" i="8"/>
  <c r="P38" i="8"/>
  <c r="O38" i="8"/>
  <c r="N38" i="8"/>
  <c r="S37" i="8"/>
  <c r="P37" i="8"/>
  <c r="O37" i="8"/>
  <c r="N37" i="8"/>
  <c r="S36" i="8"/>
  <c r="P36" i="8"/>
  <c r="O36" i="8"/>
  <c r="N36" i="8"/>
  <c r="S35" i="8"/>
  <c r="P35" i="8"/>
  <c r="O35" i="8"/>
  <c r="N35" i="8"/>
  <c r="S34" i="8"/>
  <c r="P34" i="8"/>
  <c r="O34" i="8"/>
  <c r="N34" i="8"/>
  <c r="S33" i="8"/>
  <c r="P33" i="8"/>
  <c r="O33" i="8"/>
  <c r="N33" i="8"/>
  <c r="S32" i="8"/>
  <c r="P32" i="8"/>
  <c r="O32" i="8"/>
  <c r="N32" i="8"/>
  <c r="S31" i="8"/>
  <c r="P31" i="8"/>
  <c r="O31" i="8"/>
  <c r="N31" i="8"/>
  <c r="S30" i="8"/>
  <c r="P30" i="8"/>
  <c r="O30" i="8"/>
  <c r="N30" i="8"/>
  <c r="S29" i="8"/>
  <c r="P29" i="8"/>
  <c r="O29" i="8"/>
  <c r="N29" i="8"/>
  <c r="S22" i="8"/>
  <c r="P22" i="8"/>
  <c r="O22" i="8"/>
  <c r="N22" i="8"/>
  <c r="S21" i="8"/>
  <c r="P21" i="8"/>
  <c r="O21" i="8"/>
  <c r="N21" i="8"/>
  <c r="S20" i="8"/>
  <c r="P20" i="8"/>
  <c r="O20" i="8"/>
  <c r="N20" i="8"/>
  <c r="S19" i="8"/>
  <c r="P19" i="8"/>
  <c r="O19" i="8"/>
  <c r="N19" i="8"/>
  <c r="S18" i="8"/>
  <c r="P18" i="8"/>
  <c r="O18" i="8"/>
  <c r="N18" i="8"/>
  <c r="S17" i="8"/>
  <c r="P17" i="8"/>
  <c r="O17" i="8"/>
  <c r="N17" i="8"/>
  <c r="S15" i="8"/>
  <c r="P15" i="8"/>
  <c r="O15" i="8"/>
  <c r="N15" i="8"/>
  <c r="S14" i="8"/>
  <c r="P14" i="8"/>
  <c r="O14" i="8"/>
  <c r="N14" i="8"/>
  <c r="S13" i="8"/>
  <c r="P13" i="8"/>
  <c r="O13" i="8"/>
  <c r="N13" i="8"/>
  <c r="S12" i="8"/>
  <c r="P12" i="8"/>
  <c r="O12" i="8"/>
  <c r="N12" i="8"/>
  <c r="S9" i="8"/>
  <c r="P9" i="8"/>
  <c r="O9" i="8"/>
  <c r="N9" i="8"/>
  <c r="S24" i="6" l="1"/>
  <c r="P24" i="6"/>
  <c r="O24" i="6"/>
  <c r="N24" i="6"/>
  <c r="Z23" i="6"/>
  <c r="P23" i="6"/>
  <c r="O23" i="6"/>
  <c r="N23" i="6"/>
  <c r="P22" i="6"/>
  <c r="O22" i="6"/>
  <c r="N22" i="6"/>
  <c r="P21" i="6"/>
  <c r="O21" i="6"/>
  <c r="N21" i="6"/>
  <c r="P20" i="6"/>
  <c r="O20" i="6"/>
  <c r="N20" i="6"/>
  <c r="P19" i="6"/>
  <c r="O19" i="6"/>
  <c r="N19" i="6"/>
  <c r="S18" i="6"/>
  <c r="P18" i="6"/>
  <c r="O18" i="6"/>
  <c r="N18" i="6"/>
  <c r="S17" i="6"/>
  <c r="P17" i="6"/>
  <c r="O17" i="6"/>
  <c r="N17" i="6"/>
  <c r="P16" i="6"/>
  <c r="O16" i="6"/>
  <c r="N16" i="6"/>
  <c r="Z15" i="6"/>
  <c r="S15" i="6"/>
  <c r="P15" i="6"/>
  <c r="O15" i="6"/>
  <c r="N15" i="6"/>
  <c r="Z14" i="6"/>
  <c r="S14" i="6"/>
  <c r="P14" i="6"/>
  <c r="O14" i="6"/>
  <c r="N14" i="6"/>
  <c r="Z13" i="6"/>
  <c r="S13" i="6"/>
  <c r="P13" i="6"/>
  <c r="O13" i="6"/>
  <c r="N13" i="6"/>
  <c r="Z12" i="6"/>
  <c r="S12" i="6"/>
  <c r="P12" i="6"/>
  <c r="O12" i="6"/>
  <c r="N12" i="6"/>
  <c r="Z11" i="6"/>
  <c r="S11" i="6"/>
  <c r="P11" i="6"/>
  <c r="O11" i="6"/>
  <c r="N11" i="6"/>
  <c r="Z10" i="6"/>
  <c r="S10" i="6"/>
  <c r="P10" i="6"/>
  <c r="O10" i="6"/>
  <c r="N10" i="6"/>
  <c r="P9" i="6"/>
  <c r="O9" i="6"/>
  <c r="N9" i="6"/>
  <c r="P18" i="5"/>
  <c r="P17" i="5"/>
  <c r="P16" i="5"/>
  <c r="P15" i="5"/>
  <c r="P13" i="5"/>
  <c r="P11" i="5"/>
  <c r="P10" i="5"/>
  <c r="P9" i="5"/>
  <c r="S32" i="4"/>
  <c r="P32" i="4"/>
  <c r="O32" i="4"/>
  <c r="N32" i="4"/>
  <c r="S31" i="4"/>
  <c r="P31" i="4"/>
  <c r="O31" i="4"/>
  <c r="N31" i="4"/>
  <c r="S30" i="4"/>
  <c r="P30" i="4"/>
  <c r="O30" i="4"/>
  <c r="N30" i="4"/>
  <c r="S29" i="4"/>
  <c r="P29" i="4"/>
  <c r="O29" i="4"/>
  <c r="N29" i="4"/>
  <c r="S28" i="4"/>
  <c r="P28" i="4"/>
  <c r="O28" i="4"/>
  <c r="N28" i="4"/>
  <c r="S27" i="4"/>
  <c r="P27" i="4"/>
  <c r="O27" i="4"/>
  <c r="N27" i="4"/>
  <c r="S26" i="4"/>
  <c r="P26" i="4"/>
  <c r="O26" i="4"/>
  <c r="N26" i="4"/>
  <c r="S25" i="4"/>
  <c r="P25" i="4"/>
  <c r="O25" i="4"/>
  <c r="N25" i="4"/>
  <c r="S24" i="4"/>
  <c r="P24" i="4"/>
  <c r="O24" i="4"/>
  <c r="N24" i="4"/>
  <c r="S23" i="4"/>
  <c r="P23" i="4"/>
  <c r="O23" i="4"/>
  <c r="N23" i="4"/>
  <c r="Q22" i="4"/>
  <c r="S22" i="4" s="1"/>
  <c r="P22" i="4"/>
  <c r="O22" i="4"/>
  <c r="N22" i="4"/>
  <c r="S21" i="4"/>
  <c r="P21" i="4"/>
  <c r="O21" i="4"/>
  <c r="N21" i="4"/>
  <c r="S20" i="4"/>
  <c r="P20" i="4"/>
  <c r="O20" i="4"/>
  <c r="N20" i="4"/>
  <c r="S19" i="4"/>
  <c r="P19" i="4"/>
  <c r="O19" i="4"/>
  <c r="N19" i="4"/>
  <c r="S18" i="4"/>
  <c r="P18" i="4"/>
  <c r="O18" i="4"/>
  <c r="N18" i="4"/>
  <c r="S17" i="4"/>
  <c r="P17" i="4"/>
  <c r="O17" i="4"/>
  <c r="N17" i="4"/>
  <c r="S16" i="4"/>
  <c r="P16" i="4"/>
  <c r="O16" i="4"/>
  <c r="N16" i="4"/>
  <c r="S15" i="4"/>
  <c r="P15" i="4"/>
  <c r="O15" i="4"/>
  <c r="N15" i="4"/>
  <c r="S14" i="4"/>
  <c r="P14" i="4"/>
  <c r="O14" i="4"/>
  <c r="N14" i="4"/>
  <c r="S13" i="4"/>
  <c r="P13" i="4"/>
  <c r="O13" i="4"/>
  <c r="N13" i="4"/>
  <c r="S12" i="4"/>
  <c r="P12" i="4"/>
  <c r="O12" i="4"/>
  <c r="N12" i="4"/>
  <c r="S11" i="4"/>
  <c r="P11" i="4"/>
  <c r="O11" i="4"/>
  <c r="N11" i="4"/>
  <c r="S10" i="4"/>
  <c r="P10" i="4"/>
  <c r="O10" i="4"/>
  <c r="N10" i="4"/>
  <c r="S9" i="4"/>
  <c r="P9" i="4"/>
  <c r="O9" i="4"/>
  <c r="N9" i="4"/>
  <c r="J22" i="3"/>
  <c r="J21" i="3"/>
  <c r="J20" i="3"/>
  <c r="J19" i="3"/>
  <c r="J18" i="3"/>
  <c r="J17" i="3"/>
  <c r="J16" i="3"/>
  <c r="J15" i="3"/>
  <c r="J14" i="3"/>
  <c r="J13" i="3"/>
  <c r="J12" i="3"/>
  <c r="J11" i="3"/>
  <c r="J9" i="3"/>
  <c r="S20" i="2" l="1"/>
  <c r="P20" i="2"/>
  <c r="O20" i="2"/>
  <c r="N20" i="2"/>
  <c r="S19" i="2"/>
  <c r="P19" i="2"/>
  <c r="O19" i="2"/>
  <c r="N19" i="2"/>
  <c r="S18" i="2"/>
  <c r="P18" i="2"/>
  <c r="O18" i="2"/>
  <c r="N18" i="2"/>
  <c r="S17" i="2"/>
  <c r="P17" i="2"/>
  <c r="O17" i="2"/>
  <c r="N17" i="2"/>
  <c r="S16" i="2"/>
  <c r="P16" i="2"/>
  <c r="O16" i="2"/>
  <c r="N16" i="2"/>
  <c r="S15" i="2"/>
  <c r="P15" i="2"/>
  <c r="O15" i="2"/>
  <c r="N15" i="2"/>
  <c r="S14" i="2"/>
  <c r="P14" i="2"/>
  <c r="O14" i="2"/>
  <c r="N14" i="2"/>
  <c r="S13" i="2"/>
  <c r="P13" i="2"/>
  <c r="O13" i="2"/>
  <c r="N13" i="2"/>
  <c r="S12" i="2"/>
  <c r="P12" i="2"/>
  <c r="O12" i="2"/>
  <c r="N12" i="2"/>
  <c r="S11" i="2"/>
  <c r="P11" i="2"/>
  <c r="O11" i="2"/>
  <c r="N11" i="2"/>
  <c r="S10" i="2"/>
  <c r="P10" i="2"/>
  <c r="O10" i="2"/>
  <c r="N10" i="2"/>
  <c r="S9" i="2"/>
  <c r="P9" i="2"/>
  <c r="O9" i="2"/>
  <c r="N9" i="2"/>
  <c r="J14" i="1"/>
  <c r="J13" i="1"/>
  <c r="J11" i="1"/>
</calcChain>
</file>

<file path=xl/comments1.xml><?xml version="1.0" encoding="utf-8"?>
<comments xmlns="http://schemas.openxmlformats.org/spreadsheetml/2006/main">
  <authors>
    <author>CLAUDIA CRISTINA RAVE HERRERA</author>
  </authors>
  <commentList>
    <comment ref="L20" authorId="0" shapeId="0">
      <text>
        <r>
          <rPr>
            <b/>
            <sz val="9"/>
            <color indexed="81"/>
            <rFont val="Tahoma"/>
            <family val="2"/>
          </rPr>
          <t>Aportes Universidades socias del proyecto $314.225.999, como aportes en especie
Recursos de financiación, SGR-Ctel $5.000.000.000</t>
        </r>
      </text>
    </comment>
    <comment ref="M25" authorId="0" shapeId="0">
      <text>
        <r>
          <rPr>
            <b/>
            <sz val="9"/>
            <color indexed="81"/>
            <rFont val="Tahoma"/>
            <family val="2"/>
          </rPr>
          <t>Aportes Universidades socias del proyecto $742.903.200, como aportes en especie
Recursos de financiación, SGR-Ctel $1.556.625.455</t>
        </r>
      </text>
    </comment>
    <comment ref="K38" authorId="0" shapeId="0">
      <text>
        <r>
          <rPr>
            <sz val="9"/>
            <color indexed="81"/>
            <rFont val="Tahoma"/>
            <family val="2"/>
          </rPr>
          <t>Recursos de aporte de la Universidad Nacional de Colombia, sede Medellín para proyecto de investigación por $430.000.000</t>
        </r>
      </text>
    </comment>
    <comment ref="K54" authorId="0" shapeId="0">
      <text>
        <r>
          <rPr>
            <sz val="9"/>
            <color indexed="81"/>
            <rFont val="Tahoma"/>
            <family val="2"/>
          </rPr>
          <t>Recursos de gestión aportes AMVA:
$10.000 millones para obras en fallo de ancon (recursos 2012 en ejecución en 2013). 
$6.800 millones para obras del Plan de Desarrollo: Intercambio vial de Girardota, puentes peatonales Candó y Bodegas del Norte</t>
        </r>
      </text>
    </comment>
    <comment ref="K64" authorId="0" shapeId="0">
      <text>
        <r>
          <rPr>
            <b/>
            <sz val="9"/>
            <color indexed="81"/>
            <rFont val="Tahoma"/>
            <family val="2"/>
          </rPr>
          <t xml:space="preserve">Aportes Gestión:
Mun.Medellín: $3.150.000.000
INVIAS: $13.684.339.680
</t>
        </r>
      </text>
    </comment>
    <comment ref="L89" authorId="0" shapeId="0">
      <text>
        <r>
          <rPr>
            <sz val="9"/>
            <color indexed="81"/>
            <rFont val="Tahoma"/>
            <family val="2"/>
          </rPr>
          <t>Aporte de $500 millones de los asfaltadores para el reparcheo de la vía Jerico-Canaan- Jamaica. Aporte EEPM proyecto Hidroelectrica Ituango: pavimentación vía Pescadero- Ituango $11.000 millones; Aporte Argos para estabilización con cemento vía La Elvira - El CAiro - SAnta Barbara $200 millones</t>
        </r>
      </text>
    </comment>
    <comment ref="K96" authorId="0" shapeId="0">
      <text>
        <r>
          <rPr>
            <sz val="9"/>
            <color indexed="81"/>
            <rFont val="Tahoma"/>
            <family val="2"/>
          </rPr>
          <t>Aportes en especie de 37 municipios para el mantenimiento de vías terciarias, valorados en $2.280.000.000</t>
        </r>
      </text>
    </comment>
    <comment ref="K98" authorId="0" shapeId="0">
      <text>
        <r>
          <rPr>
            <sz val="9"/>
            <color indexed="81"/>
            <rFont val="Tahoma"/>
            <family val="2"/>
          </rPr>
          <t>Recursos de contrapartidas de municipios para proyectos de vías urbanas</t>
        </r>
      </text>
    </comment>
    <comment ref="L98" authorId="0" shapeId="0">
      <text>
        <r>
          <rPr>
            <sz val="9"/>
            <color indexed="81"/>
            <rFont val="Tahoma"/>
            <family val="2"/>
          </rPr>
          <t>Recursos de contrapartidas de municipios para proyectos de vías urbanas</t>
        </r>
      </text>
    </comment>
    <comment ref="M98" authorId="0" shapeId="0">
      <text>
        <r>
          <rPr>
            <b/>
            <sz val="9"/>
            <color indexed="81"/>
            <rFont val="Tahoma"/>
            <family val="2"/>
          </rPr>
          <t>Aportes convenios suscritos y ejecutados</t>
        </r>
      </text>
    </comment>
    <comment ref="K103" authorId="0" shapeId="0">
      <text>
        <r>
          <rPr>
            <sz val="9"/>
            <color indexed="81"/>
            <rFont val="Tahoma"/>
            <family val="2"/>
          </rPr>
          <t>Recursos en especie municipio de Peque para el convenio de mantenimiento de coaminos de herradura, valorado en $30.446.676
Recursos comunidad (mano de obra) valorados en $45.810.798 para Convenio de mantenimiento de caminos de Herradura en Urrao</t>
        </r>
      </text>
    </comment>
  </commentList>
</comments>
</file>

<file path=xl/comments10.xml><?xml version="1.0" encoding="utf-8"?>
<comments xmlns="http://schemas.openxmlformats.org/spreadsheetml/2006/main">
  <authors>
    <author>JOHN JAIRO LOPEZ ARANGO</author>
  </authors>
  <commentList>
    <comment ref="Z11" authorId="0" shapeId="0">
      <text>
        <r>
          <rPr>
            <b/>
            <sz val="9"/>
            <color indexed="81"/>
            <rFont val="Tahoma"/>
            <family val="2"/>
          </rPr>
          <t>JOHN JAIRO LOPEZ ARANGO:</t>
        </r>
        <r>
          <rPr>
            <sz val="9"/>
            <color indexed="81"/>
            <rFont val="Tahoma"/>
            <family val="2"/>
          </rPr>
          <t xml:space="preserve">
Según la nota serían 62 en el 2013</t>
        </r>
      </text>
    </comment>
    <comment ref="Z13" authorId="0" shapeId="0">
      <text>
        <r>
          <rPr>
            <b/>
            <sz val="9"/>
            <color indexed="81"/>
            <rFont val="Tahoma"/>
            <family val="2"/>
          </rPr>
          <t>JOHN JAIRO LOPEZ ARANGO:</t>
        </r>
        <r>
          <rPr>
            <sz val="9"/>
            <color indexed="81"/>
            <rFont val="Tahoma"/>
            <family val="2"/>
          </rPr>
          <t xml:space="preserve">
Serían 6</t>
        </r>
      </text>
    </comment>
    <comment ref="Z15" authorId="0" shapeId="0">
      <text>
        <r>
          <rPr>
            <b/>
            <sz val="9"/>
            <color indexed="81"/>
            <rFont val="Tahoma"/>
            <family val="2"/>
          </rPr>
          <t>JOHN JAIRO LOPEZ ARANGO:</t>
        </r>
        <r>
          <rPr>
            <sz val="9"/>
            <color indexed="81"/>
            <rFont val="Tahoma"/>
            <family val="2"/>
          </rPr>
          <t xml:space="preserve">
Es la misma del primer semestre?</t>
        </r>
      </text>
    </comment>
    <comment ref="Z21" authorId="0" shapeId="0">
      <text>
        <r>
          <rPr>
            <b/>
            <sz val="9"/>
            <color indexed="81"/>
            <rFont val="Tahoma"/>
            <family val="2"/>
          </rPr>
          <t>JOHN JAIRO LOPEZ ARANGO:</t>
        </r>
        <r>
          <rPr>
            <sz val="9"/>
            <color indexed="81"/>
            <rFont val="Tahoma"/>
            <family val="2"/>
          </rPr>
          <t xml:space="preserve">
Bien 22</t>
        </r>
      </text>
    </comment>
    <comment ref="Z27" authorId="0" shapeId="0">
      <text>
        <r>
          <rPr>
            <b/>
            <sz val="9"/>
            <color indexed="81"/>
            <rFont val="Tahoma"/>
            <family val="2"/>
          </rPr>
          <t>JOHN JAIRO LOPEZ ARANGO:</t>
        </r>
        <r>
          <rPr>
            <sz val="9"/>
            <color indexed="81"/>
            <rFont val="Tahoma"/>
            <family val="2"/>
          </rPr>
          <t xml:space="preserve">
Si tiene un semestre de retraso este campo no debería estar vacío</t>
        </r>
      </text>
    </comment>
    <comment ref="AC35" authorId="0" shapeId="0">
      <text>
        <r>
          <rPr>
            <b/>
            <sz val="9"/>
            <color indexed="81"/>
            <rFont val="Tahoma"/>
            <family val="2"/>
          </rPr>
          <t>JOHN JAIRO LOPEZ ARANGO:</t>
        </r>
        <r>
          <rPr>
            <sz val="9"/>
            <color indexed="81"/>
            <rFont val="Tahoma"/>
            <family val="2"/>
          </rPr>
          <t xml:space="preserve">
No cuadra con el resultado</t>
        </r>
      </text>
    </comment>
    <comment ref="Z36" authorId="0" shapeId="0">
      <text>
        <r>
          <rPr>
            <b/>
            <sz val="9"/>
            <color indexed="81"/>
            <rFont val="Tahoma"/>
            <family val="2"/>
          </rPr>
          <t>JOHN JAIRO LOPEZ ARANGO:</t>
        </r>
        <r>
          <rPr>
            <sz val="9"/>
            <color indexed="81"/>
            <rFont val="Tahoma"/>
            <family val="2"/>
          </rPr>
          <t xml:space="preserve">
Excluir esta actividad para el plan de acción del 2014</t>
        </r>
      </text>
    </comment>
    <comment ref="Z63" authorId="0" shapeId="0">
      <text>
        <r>
          <rPr>
            <b/>
            <sz val="9"/>
            <color indexed="81"/>
            <rFont val="Tahoma"/>
            <family val="2"/>
          </rPr>
          <t>JOHN JAIRO LOPEZ ARANGO:</t>
        </r>
        <r>
          <rPr>
            <sz val="9"/>
            <color indexed="81"/>
            <rFont val="Tahoma"/>
            <family val="2"/>
          </rPr>
          <t xml:space="preserve">
Fueron 32 según la nota</t>
        </r>
      </text>
    </comment>
    <comment ref="Z72" authorId="0" shapeId="0">
      <text>
        <r>
          <rPr>
            <b/>
            <sz val="9"/>
            <color indexed="81"/>
            <rFont val="Tahoma"/>
            <family val="2"/>
          </rPr>
          <t>JOHN JAIRO LOPEZ ARANGO:</t>
        </r>
        <r>
          <rPr>
            <sz val="9"/>
            <color indexed="81"/>
            <rFont val="Tahoma"/>
            <family val="2"/>
          </rPr>
          <t xml:space="preserve">
Según parece son las mismas</t>
        </r>
      </text>
    </comment>
  </commentList>
</comments>
</file>

<file path=xl/comments11.xml><?xml version="1.0" encoding="utf-8"?>
<comments xmlns="http://schemas.openxmlformats.org/spreadsheetml/2006/main">
  <authors>
    <author>JOHN JAIRO LOPEZ ARANGO</author>
  </authors>
  <commentList>
    <comment ref="H25" authorId="0" shapeId="0">
      <text>
        <r>
          <rPr>
            <b/>
            <sz val="9"/>
            <color indexed="81"/>
            <rFont val="Tahoma"/>
            <family val="2"/>
          </rPr>
          <t>JOHN JAIRO LOPEZ ARANGO:</t>
        </r>
        <r>
          <rPr>
            <sz val="9"/>
            <color indexed="81"/>
            <rFont val="Tahoma"/>
            <family val="2"/>
          </rPr>
          <t xml:space="preserve">
Proyecto presentado al Banco por Gobierno</t>
        </r>
      </text>
    </comment>
    <comment ref="H27" authorId="0" shapeId="0">
      <text>
        <r>
          <rPr>
            <b/>
            <sz val="9"/>
            <color indexed="81"/>
            <rFont val="Tahoma"/>
            <family val="2"/>
          </rPr>
          <t>JOHN JAIRO LOPEZ ARANGO:</t>
        </r>
        <r>
          <rPr>
            <sz val="9"/>
            <color indexed="81"/>
            <rFont val="Tahoma"/>
            <family val="2"/>
          </rPr>
          <t xml:space="preserve">
Proyecto presentado al Banco por Gobierno</t>
        </r>
      </text>
    </comment>
  </commentList>
</comments>
</file>

<file path=xl/comments12.xml><?xml version="1.0" encoding="utf-8"?>
<comments xmlns="http://schemas.openxmlformats.org/spreadsheetml/2006/main">
  <authors>
    <author>JOHN JAIRO LOPEZ ARANGO</author>
  </authors>
  <commentList>
    <comment ref="P12" authorId="0" shapeId="0">
      <text>
        <r>
          <rPr>
            <b/>
            <sz val="9"/>
            <color indexed="81"/>
            <rFont val="Tahoma"/>
            <family val="2"/>
          </rPr>
          <t>JOHN JAIRO LOPEZ ARANGO:</t>
        </r>
        <r>
          <rPr>
            <sz val="9"/>
            <color indexed="81"/>
            <rFont val="Tahoma"/>
            <family val="2"/>
          </rPr>
          <t xml:space="preserve">
1585 según indicadores de producto</t>
        </r>
      </text>
    </comment>
    <comment ref="H18" authorId="0" shapeId="0">
      <text>
        <r>
          <rPr>
            <b/>
            <sz val="9"/>
            <color indexed="81"/>
            <rFont val="Tahoma"/>
            <family val="2"/>
          </rPr>
          <t>JOHN JAIRO LOPEZ ARANGO:</t>
        </r>
        <r>
          <rPr>
            <sz val="9"/>
            <color indexed="81"/>
            <rFont val="Tahoma"/>
            <family val="2"/>
          </rPr>
          <t xml:space="preserve">
Este proyecto lo ejecuta la Secretaría de Gobierno, informele su contribución para que ellos  lo reporten</t>
        </r>
      </text>
    </comment>
    <comment ref="L18" authorId="0" shapeId="0">
      <text>
        <r>
          <rPr>
            <b/>
            <sz val="9"/>
            <color indexed="81"/>
            <rFont val="Tahoma"/>
            <family val="2"/>
          </rPr>
          <t>JOHN JAIRO LOPEZ ARANGO:</t>
        </r>
        <r>
          <rPr>
            <sz val="9"/>
            <color indexed="81"/>
            <rFont val="Tahoma"/>
            <family val="2"/>
          </rPr>
          <t xml:space="preserve">
Lo maneja Gobierno</t>
        </r>
      </text>
    </comment>
  </commentList>
</comments>
</file>

<file path=xl/comments13.xml><?xml version="1.0" encoding="utf-8"?>
<comments xmlns="http://schemas.openxmlformats.org/spreadsheetml/2006/main">
  <authors>
    <author>BGONZALEZJA</author>
  </authors>
  <commentList>
    <comment ref="M9" authorId="0" shapeId="0">
      <text>
        <r>
          <rPr>
            <b/>
            <sz val="9"/>
            <color indexed="81"/>
            <rFont val="Tahoma"/>
            <family val="2"/>
          </rPr>
          <t>BGONZALEZJA:</t>
        </r>
        <r>
          <rPr>
            <sz val="9"/>
            <color indexed="81"/>
            <rFont val="Tahoma"/>
            <family val="2"/>
          </rPr>
          <t xml:space="preserve">
se está recibiendo un diplomado en Gobierno Electrónico, brindado por el Ministerio de TIC, para 22 funcionarios, por un valor aproximado de ($50.000.000) cincuenta  millones, 
</t>
        </r>
      </text>
    </comment>
    <comment ref="Z37" authorId="0" shapeId="0">
      <text>
        <r>
          <rPr>
            <b/>
            <sz val="9"/>
            <color indexed="81"/>
            <rFont val="Tahoma"/>
            <family val="2"/>
          </rPr>
          <t>BGONZALEZJA:</t>
        </r>
        <r>
          <rPr>
            <sz val="9"/>
            <color indexed="81"/>
            <rFont val="Tahoma"/>
            <family val="2"/>
          </rPr>
          <t xml:space="preserve">
3 ACTIVIDADES DEL PRIMER SEMESTRE SE REPITEN EN EL SEGUNDO SEMESTRE</t>
        </r>
      </text>
    </comment>
    <comment ref="Z39" authorId="0" shapeId="0">
      <text>
        <r>
          <rPr>
            <b/>
            <sz val="9"/>
            <color indexed="81"/>
            <rFont val="Tahoma"/>
            <family val="2"/>
          </rPr>
          <t>BGONZALEZJA:</t>
        </r>
        <r>
          <rPr>
            <sz val="9"/>
            <color indexed="81"/>
            <rFont val="Tahoma"/>
            <family val="2"/>
          </rPr>
          <t xml:space="preserve">
LAS 9 ACTIVIDADES DEL PRIMER SEMESTRE TAMBIEN SE REALIZAN EN EL SEGUNDO SEMESTRE
</t>
        </r>
      </text>
    </comment>
  </commentList>
</comments>
</file>

<file path=xl/comments14.xml><?xml version="1.0" encoding="utf-8"?>
<comments xmlns="http://schemas.openxmlformats.org/spreadsheetml/2006/main">
  <authors>
    <author>JOHN JAIRO LOPEZ ARANGO</author>
  </authors>
  <commentList>
    <comment ref="V9" authorId="0" shapeId="0">
      <text>
        <r>
          <rPr>
            <b/>
            <sz val="9"/>
            <color indexed="81"/>
            <rFont val="Tahoma"/>
            <family val="2"/>
          </rPr>
          <t>JOHN JAIRO LOPEZ ARANGO:</t>
        </r>
        <r>
          <rPr>
            <sz val="9"/>
            <color indexed="81"/>
            <rFont val="Tahoma"/>
            <family val="2"/>
          </rPr>
          <t xml:space="preserve">
Este dato sobra, no corresponde a ninguna actividad</t>
        </r>
      </text>
    </comment>
  </commentList>
</comments>
</file>

<file path=xl/comments2.xml><?xml version="1.0" encoding="utf-8"?>
<comments xmlns="http://schemas.openxmlformats.org/spreadsheetml/2006/main">
  <authors>
    <author>CLAUDIA CRISTINA RAVE HERRERA</author>
  </authors>
  <commentList>
    <comment ref="P31" authorId="0" shapeId="0">
      <text>
        <r>
          <rPr>
            <b/>
            <sz val="9"/>
            <color indexed="81"/>
            <rFont val="Tahoma"/>
            <family val="2"/>
          </rPr>
          <t>Indicador 2013 = 90</t>
        </r>
      </text>
    </comment>
  </commentList>
</comments>
</file>

<file path=xl/comments3.xml><?xml version="1.0" encoding="utf-8"?>
<comments xmlns="http://schemas.openxmlformats.org/spreadsheetml/2006/main">
  <authors>
    <author>JvillegasQ</author>
  </authors>
  <commentList>
    <comment ref="L21" authorId="0" shapeId="0">
      <text>
        <r>
          <rPr>
            <b/>
            <sz val="8"/>
            <color indexed="81"/>
            <rFont val="Tahoma"/>
            <family val="2"/>
          </rPr>
          <t>JvillegasQ:</t>
        </r>
        <r>
          <rPr>
            <sz val="8"/>
            <color indexed="81"/>
            <rFont val="Tahoma"/>
            <family val="2"/>
          </rPr>
          <t xml:space="preserve">
La Meta 2013 es 15, pero la meta para 2012 - 2015 es 56</t>
        </r>
      </text>
    </comment>
  </commentList>
</comments>
</file>

<file path=xl/comments4.xml><?xml version="1.0" encoding="utf-8"?>
<comments xmlns="http://schemas.openxmlformats.org/spreadsheetml/2006/main">
  <authors>
    <author>JOHN JAIRO LOPEZ ARANGO</author>
  </authors>
  <commentList>
    <comment ref="Y17" authorId="0" shapeId="0">
      <text>
        <r>
          <rPr>
            <b/>
            <sz val="9"/>
            <color indexed="81"/>
            <rFont val="Tahoma"/>
            <family val="2"/>
          </rPr>
          <t>JOHN JAIRO LOPEZ ARANGO:</t>
        </r>
        <r>
          <rPr>
            <sz val="9"/>
            <color indexed="81"/>
            <rFont val="Tahoma"/>
            <family val="2"/>
          </rPr>
          <t xml:space="preserve">
No es lógico que no realicen actividades y tengan 500 contralores certificados, en qué ejecutaron los 150 millones.
ESTAS ACTIVIDADES LAS REALIZÓ LA CONTRALORÍA Y NO EDUCACIÓN.</t>
        </r>
      </text>
    </comment>
  </commentList>
</comments>
</file>

<file path=xl/comments5.xml><?xml version="1.0" encoding="utf-8"?>
<comments xmlns="http://schemas.openxmlformats.org/spreadsheetml/2006/main">
  <authors>
    <author>JOHN JAIRO LOPEZ ARANGO</author>
  </authors>
  <commentList>
    <comment ref="P10" authorId="0" shapeId="0">
      <text>
        <r>
          <rPr>
            <b/>
            <sz val="9"/>
            <color indexed="81"/>
            <rFont val="Tahoma"/>
            <family val="2"/>
          </rPr>
          <t>JOHN JAIRO LOPEZ ARANGO:</t>
        </r>
        <r>
          <rPr>
            <sz val="9"/>
            <color indexed="81"/>
            <rFont val="Tahoma"/>
            <family val="2"/>
          </rPr>
          <t xml:space="preserve">
450</t>
        </r>
      </text>
    </comment>
    <comment ref="Q10" authorId="0" shapeId="0">
      <text>
        <r>
          <rPr>
            <b/>
            <sz val="9"/>
            <color indexed="81"/>
            <rFont val="Tahoma"/>
            <family val="2"/>
          </rPr>
          <t>JOHN JAIRO LOPEZ ARANGO:</t>
        </r>
        <r>
          <rPr>
            <sz val="9"/>
            <color indexed="81"/>
            <rFont val="Tahoma"/>
            <family val="2"/>
          </rPr>
          <t xml:space="preserve">
Si le aumentaron recursos financieros y ejecutaron 294 millones por qué no hay producto? Cómo que se incluyó en otro proyecto?</t>
        </r>
      </text>
    </comment>
    <comment ref="Q27" authorId="0" shapeId="0">
      <text>
        <r>
          <rPr>
            <b/>
            <sz val="9"/>
            <color indexed="81"/>
            <rFont val="Tahoma"/>
            <family val="2"/>
          </rPr>
          <t>JOHN JAIRO LOPEZ ARANGO:</t>
        </r>
        <r>
          <rPr>
            <sz val="9"/>
            <color indexed="81"/>
            <rFont val="Tahoma"/>
            <family val="2"/>
          </rPr>
          <t xml:space="preserve">
Esta nota no debería ser válida ya</t>
        </r>
      </text>
    </comment>
    <comment ref="P28" authorId="0" shapeId="0">
      <text>
        <r>
          <rPr>
            <b/>
            <sz val="9"/>
            <color indexed="81"/>
            <rFont val="Tahoma"/>
            <family val="2"/>
          </rPr>
          <t>JOHN JAIRO LOPEZ ARANGO:</t>
        </r>
        <r>
          <rPr>
            <sz val="9"/>
            <color indexed="81"/>
            <rFont val="Tahoma"/>
            <family val="2"/>
          </rPr>
          <t xml:space="preserve">
204</t>
        </r>
      </text>
    </comment>
  </commentList>
</comments>
</file>

<file path=xl/comments6.xml><?xml version="1.0" encoding="utf-8"?>
<comments xmlns="http://schemas.openxmlformats.org/spreadsheetml/2006/main">
  <authors>
    <author>JOHN JAIRO LOPEZ ARANGO</author>
  </authors>
  <commentList>
    <comment ref="G19" authorId="0" shapeId="0">
      <text>
        <r>
          <rPr>
            <b/>
            <sz val="9"/>
            <color indexed="81"/>
            <rFont val="Tahoma"/>
            <family val="2"/>
          </rPr>
          <t>JOHN JAIRO LOPEZ ARANGO:</t>
        </r>
        <r>
          <rPr>
            <sz val="9"/>
            <color indexed="81"/>
            <rFont val="Tahoma"/>
            <family val="2"/>
          </rPr>
          <t xml:space="preserve">
Falta el elemento PEP</t>
        </r>
      </text>
    </comment>
  </commentList>
</comments>
</file>

<file path=xl/comments7.xml><?xml version="1.0" encoding="utf-8"?>
<comments xmlns="http://schemas.openxmlformats.org/spreadsheetml/2006/main">
  <authors>
    <author>ACORREAM</author>
  </authors>
  <commentList>
    <comment ref="U19" authorId="0" shapeId="0">
      <text>
        <r>
          <rPr>
            <b/>
            <sz val="8"/>
            <color indexed="81"/>
            <rFont val="Tahoma"/>
            <family val="2"/>
          </rPr>
          <t>ACORREAM:</t>
        </r>
        <r>
          <rPr>
            <sz val="8"/>
            <color indexed="81"/>
            <rFont val="Tahoma"/>
            <family val="2"/>
          </rPr>
          <t xml:space="preserve">
# DE PERSONAS CAPACITADAS EN INICIATIVAS DE CONSERVACIÓN</t>
        </r>
      </text>
    </comment>
  </commentList>
</comments>
</file>

<file path=xl/comments8.xml><?xml version="1.0" encoding="utf-8"?>
<comments xmlns="http://schemas.openxmlformats.org/spreadsheetml/2006/main">
  <authors>
    <author>JOHN JAIRO LOPEZ ARANGO</author>
  </authors>
  <commentList>
    <comment ref="K9" authorId="0" shapeId="0">
      <text>
        <r>
          <rPr>
            <sz val="9"/>
            <color indexed="81"/>
            <rFont val="Tahoma"/>
            <family val="2"/>
          </rPr>
          <t xml:space="preserve">Informar a "Planeación", Jaime Vargas, que es quien reporta este indicador.
</t>
        </r>
      </text>
    </comment>
  </commentList>
</comments>
</file>

<file path=xl/comments9.xml><?xml version="1.0" encoding="utf-8"?>
<comments xmlns="http://schemas.openxmlformats.org/spreadsheetml/2006/main">
  <authors>
    <author>JOHN JAIRO LOPEZ ARANGO</author>
  </authors>
  <commentList>
    <comment ref="Z9" authorId="0" shapeId="0">
      <text>
        <r>
          <rPr>
            <b/>
            <sz val="9"/>
            <color indexed="81"/>
            <rFont val="Tahoma"/>
            <family val="2"/>
          </rPr>
          <t>JOHN JAIRO LOPEZ ARANGO:</t>
        </r>
        <r>
          <rPr>
            <sz val="9"/>
            <color indexed="81"/>
            <rFont val="Tahoma"/>
            <family val="2"/>
          </rPr>
          <t xml:space="preserve">
?????</t>
        </r>
      </text>
    </comment>
  </commentList>
</comments>
</file>

<file path=xl/sharedStrings.xml><?xml version="1.0" encoding="utf-8"?>
<sst xmlns="http://schemas.openxmlformats.org/spreadsheetml/2006/main" count="21417" uniqueCount="4601">
  <si>
    <t>DEPARTAMENTO ADMINISTRATIVO DE PLANEACION</t>
  </si>
  <si>
    <t>FORMATO PLAN DE ACCION</t>
  </si>
  <si>
    <t>INFORMACIÓN DE PRODUCTOS</t>
  </si>
  <si>
    <t>INFORMACION DE PRODUCTOS</t>
  </si>
  <si>
    <t>ENTIDAD</t>
  </si>
  <si>
    <t>Comunicaciones</t>
  </si>
  <si>
    <t>Línea</t>
  </si>
  <si>
    <t>Componente</t>
  </si>
  <si>
    <t>Programa</t>
  </si>
  <si>
    <t>Area Funcional</t>
  </si>
  <si>
    <t>Proyecto Plan</t>
  </si>
  <si>
    <t>Código BPID</t>
  </si>
  <si>
    <t>PEP</t>
  </si>
  <si>
    <t>Proyecto Banco</t>
  </si>
  <si>
    <t xml:space="preserve">VARIACIÓN DE RECURSOS  FINANCIEROS SEMESTRE 1 </t>
  </si>
  <si>
    <t>VARIACIÓN TOTAL DE RECURSOS  FINANCIEROS</t>
  </si>
  <si>
    <t>Indicador de producto</t>
  </si>
  <si>
    <t>Meta vigencia Plan de desarrollo</t>
  </si>
  <si>
    <t>Meta vigencia Plan de acción semestre 1</t>
  </si>
  <si>
    <t>Meta vigencia Plan de acción semestre 2</t>
  </si>
  <si>
    <t>Resultado semestre 1</t>
  </si>
  <si>
    <t>Resultado total año</t>
  </si>
  <si>
    <t xml:space="preserve">OBSERVACIONES </t>
  </si>
  <si>
    <t>1 Antioquia legal</t>
  </si>
  <si>
    <t>1.5 Antioquia entiende la legalidad</t>
  </si>
  <si>
    <t>1.5.1 Antioquia conoce y debate</t>
  </si>
  <si>
    <t>Antioquia es noticia</t>
  </si>
  <si>
    <t>222321-001</t>
  </si>
  <si>
    <t>Divulgación de las acciones del Gobierno Departamental de Antioquia</t>
  </si>
  <si>
    <t>Menciones en medios de comunicación masiva en asuntos de legalidad</t>
  </si>
  <si>
    <t xml:space="preserve">A diciembre 31 de 2013 hemos tenido 212 menciones en medios de comunicación masiva en asuntos de legalidad. </t>
  </si>
  <si>
    <t>Reportes realizados</t>
  </si>
  <si>
    <t>A diciembre 31 de 2013 llevamos 80.076 interacciones con la ciudadanía a través de los medios de comunicación digitales de la Gobernación de Antioquia (Página web, blog, redes sociales, entre otros), discriminados así: 
- Interacciones en Twitter: 13.149
- Interacciones en Facebook: 11.114
- Intracciones en Youtube: 2.006 
- Interacciones en página: 53.807
Esto se mide a través de tres herramientas: Mentions, Google Analytics y Twoolr.</t>
  </si>
  <si>
    <t>Legalidad entre nos y a un clic</t>
  </si>
  <si>
    <t>162324-001</t>
  </si>
  <si>
    <t>Construcción de canales digitales y audiovisuales de interacción en el Departamento de Antioquia</t>
  </si>
  <si>
    <t>Visitas a los diferentes soportes web</t>
  </si>
  <si>
    <t>A diciembre 31 de 2013 llevamos 22.798.252 visitas a los diferentes soportes web discriminados así: 
- Visitas página web: 17.896.630
- Seguidores en Twitter: 58.520
- Audiencia en Facebook: 4.185.331 
- Reproducciones de los videos en el canal YouTube: 657.771 reproducciones.
Esto se mide a través de tres herramientas: Mentions, Google Analytics y Twoolr.</t>
  </si>
  <si>
    <t xml:space="preserve">1.5.2 Antioquia Construye </t>
  </si>
  <si>
    <t>Tu opinión cuenta</t>
  </si>
  <si>
    <t>Registros procesados</t>
  </si>
  <si>
    <t>Adiciembre 31 de 2013 se han procesado 8.410 registros.</t>
  </si>
  <si>
    <t>Todos por la legalidad</t>
  </si>
  <si>
    <t>162293-001</t>
  </si>
  <si>
    <t>Divulgación del concepto de legalidad en el Departamento de Antioquia</t>
  </si>
  <si>
    <t>Campañas realizadas anualmente</t>
  </si>
  <si>
    <t>A diciembre 31 de 2013 se han realizado 20 campañas.</t>
  </si>
  <si>
    <t xml:space="preserve">         </t>
  </si>
  <si>
    <t>4.2 Participación para el desarrollo</t>
  </si>
  <si>
    <t>4.2.3 Antioquia comunica democracia</t>
  </si>
  <si>
    <t xml:space="preserve"> Todos por Antioquia - Fortalecimiento de las relaciones del Gobierno Departamental con la comunidad antioqueña y otros niveles territoriales</t>
  </si>
  <si>
    <t>222328-001</t>
  </si>
  <si>
    <t>Fortalecimiento de las dinámicas articuladoras con grupos de interés en Antioquia</t>
  </si>
  <si>
    <t>Actores globales, nacionales, regionales y locales involucrados con la administración anualmente</t>
  </si>
  <si>
    <t>A la fecha se ha logrado involucrar a 38 actores con la administración departamental así:
- Entidades públicas: 3
- Instituciones educativas: 12
- Instituciones culturales: 1
- Centros comerciales: 5
- Empresa privada: 17
En actividades como:
Difusión de balance del primer año, espacios para la reflexión sobre la paz, apoyo al programa cafés especiales y olimpiadas del conocimiento.</t>
  </si>
  <si>
    <t>4 Inclusión social</t>
  </si>
  <si>
    <t xml:space="preserve"> Red Antioquia - Promoción de procesos incluyentes de participación ciudadana basados en estrategias de comunicación y movilización</t>
  </si>
  <si>
    <t>162307-001</t>
  </si>
  <si>
    <t>Fortalecimiento de los medios de comunicación social y sus realiadores en el departamento de Antioquia</t>
  </si>
  <si>
    <t>Municipios con presencia de actores comprometidos con la participación</t>
  </si>
  <si>
    <t>A diciembre 31 de 2013 se ha logrado presencia de actores comprometidos en 28 municipios del departamento, incluyendo medios y actores ciudadanos comprometidos con la comunicación.</t>
  </si>
  <si>
    <t>INFORMACION DE ACTIVIDADES</t>
  </si>
  <si>
    <t>Presupuesto inicial aprobado 2013</t>
  </si>
  <si>
    <t>Presupuesto real semestre 1 2013</t>
  </si>
  <si>
    <t>Presupuesto real semestre 2 2013</t>
  </si>
  <si>
    <t>Presupuesto gestión inicial 2013</t>
  </si>
  <si>
    <t>Presupuesto gestión real semestre 1  2013</t>
  </si>
  <si>
    <t>Presupuesto gestión real semestre 2  2013</t>
  </si>
  <si>
    <t>Presupuesto inicial total proyecto 2013</t>
  </si>
  <si>
    <t>Total presupuesto real semestre 1  2013</t>
  </si>
  <si>
    <t>Total presupuesto real semestre 2  2013</t>
  </si>
  <si>
    <t>Total Ejecutado Recursos Departamento</t>
  </si>
  <si>
    <t>Total Ejecutado Recursos Gestión</t>
  </si>
  <si>
    <t>Total General Ejecutado</t>
  </si>
  <si>
    <t>Descripción actividades</t>
  </si>
  <si>
    <t>PROGRAMACION DE ACTIVIDADES</t>
  </si>
  <si>
    <t>Nombre de la actividad</t>
  </si>
  <si>
    <t>Unidad</t>
  </si>
  <si>
    <t>Cantidad programada</t>
  </si>
  <si>
    <t xml:space="preserve">Cantidad reprogramada semestre 1 </t>
  </si>
  <si>
    <t>Cantidad reprogramada semestre 2</t>
  </si>
  <si>
    <t xml:space="preserve">Cantidad realizada semestre 1 </t>
  </si>
  <si>
    <t xml:space="preserve">Cantidad total realizada </t>
  </si>
  <si>
    <t>Tiempo programado (Días)</t>
  </si>
  <si>
    <t>Tiempo real semestre 1  (Días)</t>
  </si>
  <si>
    <t>Tiempo total real  (Dias)</t>
  </si>
  <si>
    <t>Enero</t>
  </si>
  <si>
    <t>Febrero</t>
  </si>
  <si>
    <t>Marzo</t>
  </si>
  <si>
    <t>Abril</t>
  </si>
  <si>
    <t>Mayo</t>
  </si>
  <si>
    <t>Junio</t>
  </si>
  <si>
    <t>Julio</t>
  </si>
  <si>
    <t>Agosto</t>
  </si>
  <si>
    <t>Septiembre</t>
  </si>
  <si>
    <t>Octubre</t>
  </si>
  <si>
    <t>Noviembre</t>
  </si>
  <si>
    <t>Diciembre</t>
  </si>
  <si>
    <t>Puesta en marcha del portal Antioquia es notician creación de la red social que congregue a todos los periodistas</t>
  </si>
  <si>
    <t>Talleres</t>
  </si>
  <si>
    <t xml:space="preserve">330 dias </t>
  </si>
  <si>
    <t>1. Para la creación de la agencia de noticias y la puesta en marcha del portal Antioquia es noticia es necesario realizar 3 talleres durante el año 2013, con enfoque  en la escritura, producción e interacción digital en el ejercicio perdiodístico. A diciembre 31 de 2013  se realizaron los 3 talleres requeridos, desde el 19 de julio hasta el 19 de diciembre de 2013. Respecto al portal Antioquia es noticia se creo el micrositio requerido, está listo para lanzarlo en enero de 2014.
2. Teniendo en cuenta que tanto el proyecto Antioquia es noticia como Red Antioquia tienen relación directa con los periodistas del departamento y ambos incluyen la creación de una red social que congregue al mismo públio, se decidió que esta actividad se va a realizar desde el segundo proyecto mencionado. La cantidad programada es 1  portal y a diciembre 31 de 2013 se cuenta con una red social en funcionamiento con más de 600 visitas y usuarios.</t>
  </si>
  <si>
    <t>x</t>
  </si>
  <si>
    <t>Formación periodística,
 Realización de premiación periodística, Encuentros de comunicadores subregionales.</t>
  </si>
  <si>
    <t xml:space="preserve">Premiacion </t>
  </si>
  <si>
    <t xml:space="preserve">1. Formación periodística: Ver observación #1 de la actividad "Puesta en marcha del portal Antioquia es noticia, creación de la red social que congregue a todos los periodistas" (Celda AD9).
2. Para realizar la actividad de premiación periodística se van a trasladar recursos para hacerlo a través de la convocatoria a estímulos al talento creativo. </t>
  </si>
  <si>
    <t>Creación   y capacitación  
uso de las diferentes herramientas digitales y audiovisuales</t>
  </si>
  <si>
    <t xml:space="preserve">Programas </t>
  </si>
  <si>
    <t>1. Inicialmente se programó tener 8 programas pero a diciembre 31 de 2013 se producen y dirigen 11 programas de TV en 4 franjas horarias, 3,5 horas diarias en Teleantioquia (Con el Gobernador, Estudiar vale la pena, Territorio verde, 125 Ideas, Mucho por hacer, Escuela de campo, Generación 9, El Crimen no paga, Enlace, Especiales La más educada, Aprendí a quererme y Olimpiadas del conocimiento*). El rating oscila entre 1,8 y 2,0  puntos IBOPE.</t>
  </si>
  <si>
    <t>Retroalimentación por
 parte de la ciudadanía  en el uso y beneficio de las herramientas de interacción digitales y audiovisuales</t>
  </si>
  <si>
    <t>14.842.478 visitas a los diferentes soportes web y 53.292 interacciones con la ciudadanía.</t>
  </si>
  <si>
    <t>22.798.252 visitas a los diferentes soportes web y 80.076 interacciones con la ciudadanía.</t>
  </si>
  <si>
    <r>
      <t xml:space="preserve">Nota: Unidad: Interacciones con la ciudadanía. Cantidad I semestre: 6.000. A diciembre 31 de 2013 se tienen 5 canales de comunicación para contar la más educada en el mundo digital (Facebook, Twitter, Sitio web, YouTube y SoundCloud), </t>
    </r>
    <r>
      <rPr>
        <u/>
        <sz val="9"/>
        <color theme="1"/>
        <rFont val="Calibri"/>
        <family val="2"/>
        <scheme val="minor"/>
      </rPr>
      <t>llevamos 22.798.252  visitas a los diferentes soportes web</t>
    </r>
    <r>
      <rPr>
        <sz val="9"/>
        <color theme="1"/>
        <rFont val="Calibri"/>
        <family val="2"/>
        <scheme val="minor"/>
      </rPr>
      <t xml:space="preserve">, discriminados así:  Visitas página web: 17.896.630 / Seguidores en Twitter: 58.520 / Audiencia en Facebook: 4.185.331 / Reproducciones de los videos en el canal YouTube: 657.771; y </t>
    </r>
    <r>
      <rPr>
        <u/>
        <sz val="9"/>
        <color theme="1"/>
        <rFont val="Calibri"/>
        <family val="2"/>
        <scheme val="minor"/>
      </rPr>
      <t>80.076 interacciones con la ciudadanía a través de los medios de comunicación digitales de la Gobernación de Antioquia</t>
    </r>
    <r>
      <rPr>
        <sz val="9"/>
        <color theme="1"/>
        <rFont val="Calibri"/>
        <family val="2"/>
        <scheme val="minor"/>
      </rPr>
      <t xml:space="preserve"> (Página web, blog, redes sociales, entre otros), discriminados así: Interacciones en Twitter: 13.149 / Interacciones en Facebook: 11.114 / Interacciones en YouTube: 2.006 / Interacciones en página 53.807. Nota: Esto se mide a través de tres herramientas: Mentions, Google Analytics y Twoolr.</t>
    </r>
  </si>
  <si>
    <t xml:space="preserve">Campañas en torno al tema de la legalidad, Realización de contenidos audiovisuales </t>
  </si>
  <si>
    <t>Campañas</t>
  </si>
  <si>
    <r>
      <t xml:space="preserve">A diciembre 31 de </t>
    </r>
    <r>
      <rPr>
        <sz val="9"/>
        <rFont val="Calibri"/>
        <family val="2"/>
        <scheme val="minor"/>
      </rPr>
      <t xml:space="preserve">2013 </t>
    </r>
    <r>
      <rPr>
        <sz val="9"/>
        <color theme="1"/>
        <rFont val="Calibri"/>
        <family val="2"/>
        <scheme val="minor"/>
      </rPr>
      <t>se han realizado 5 campañas referentes al tema de legalidad.</t>
    </r>
  </si>
  <si>
    <t xml:space="preserve"> Campañas en torno a la legalidad para: escuelas, administración pública y ciudadanía</t>
  </si>
  <si>
    <t>A diciembre 31 de 2013 se han realizado 15 campañas en torno a la legalidad para escuelas, administración pública y ciudadanía (Parques educativos, Urabá Educada, Estamos haciendo la tarea en las regiones, ¿Quién se le mide?, Ruta Oriente/Suroeste/Norte, Actualización de datos y Todo lo que hacemos aquí adentro se siente en toda Antioquia)</t>
  </si>
  <si>
    <t>Actualización de las bases
de datos existentes mediante software, creación del manual para el tratamiento de las bases de datos, Creación de un manual para identificar grupos de interés</t>
  </si>
  <si>
    <t>Manual</t>
  </si>
  <si>
    <t>60 dias</t>
  </si>
  <si>
    <t>1. Se identificó, clasificó organizó y fijaron las actividades que se van a realizar con los cinco grupos de interés de Antioquia la más educada. 
2. A diciembre 31 de 2014 se construyó un manual para el tratamiento de las bases de datos de los cinco grupos de interés. 
3. Se actualizan contínuamente en excel las bases de datos de los cinco grupos de interés de Antioquia la más educada.</t>
  </si>
  <si>
    <t>Creación de software, 
agenda, actividades de capacitación e información para los públicos involucrados. Realización de actividades con la administración departamental</t>
  </si>
  <si>
    <t>Eventos</t>
  </si>
  <si>
    <t xml:space="preserve">340 dias </t>
  </si>
  <si>
    <t xml:space="preserve">1. Se descartó invertir recursos en un software para administrar las bases de datos y los eventos de Antioquia la más educada porque cambian contínuamente, además se suben a la plataforma Lotus Notes (al que tienen acceso todos los servidores públicos) y al sitio web de la Gobernación.
2. Desde el comienzo de la administración se comenzó a construir una agenda con todos los eventos que realiza el gobierno de Antioquia la más educada con los grupos de interés. Durante el año 2013 se han realizado aproximadamente 500 eventos a diciembre 31 de 2013 para informar, capacitar, integrar, relacionar, movilizar y relacionarnos con los públicos de interés. </t>
  </si>
  <si>
    <t xml:space="preserve">Primera etapa Talleres en 
aspectos humanísticos, teóricos, legales, y de responsabilidad de los contenidos informativos y comunicativos </t>
  </si>
  <si>
    <t>120 dias</t>
  </si>
  <si>
    <t>1. A diciembre 31 de 2013 el proyecto Red Antioquia ha realizado 30 talleres en 28 municipios a los medios y actores regionales de comunicación. Los ejes de estos son: radio, televisión, prensa, responsabilidad, ética y legalidad. Van a ser talleres teórico - prácticos que van a permitir renovar liderazgos en comunicaciones locales y regionales, facilitando el libre acceso a la información. Para el año 2014 se va continuar con los talleres en los 96 municipios.
Nota: Esta observación resume las tres actividades que aparecen hacia abajo del mismo proyecto.</t>
  </si>
  <si>
    <t>Capacitación en planes
 de mercadeo, difusión de contenidos y programación focalizada, según interés de comunidad receptora y público local</t>
  </si>
  <si>
    <t xml:space="preserve">Capacitaciones </t>
  </si>
  <si>
    <t>Nota: Ver observación correspondiente a la actividad "Primera etapa talleres en aspectos humanísticos, teóricos, legales y de responsabilida de los contenidos informativos y comunicativos. (Celda AD17).</t>
  </si>
  <si>
    <t>Talleres en aspectos 
humanísticos, teóricos, legales y de responsabilidad de los contenidos informativos y comunicativos</t>
  </si>
  <si>
    <t xml:space="preserve">Talleres </t>
  </si>
  <si>
    <t>Talleres prácticos según 
los soportes de interés en camarografita , fotografía, diseño de impresos, diseño web y edición de audio y video con énfasis en las herramientas digitales</t>
  </si>
  <si>
    <t>Instituto de Cultura</t>
  </si>
  <si>
    <t>1.1 "En Antioquia no se pierde un peso"</t>
  </si>
  <si>
    <t xml:space="preserve">1.1.1 Gobernación transparente </t>
  </si>
  <si>
    <t xml:space="preserve"> Sistemas de información del departamento</t>
  </si>
  <si>
    <t>062217-001</t>
  </si>
  <si>
    <t xml:space="preserve">Diseño e implementación del sistema de información cultural en el Instituto de Cultura y Patrimonio de Antioquia </t>
  </si>
  <si>
    <t>Sistemas de Información creados para la gestión de la información del Departamento</t>
  </si>
  <si>
    <t>1.2 Gobernación de Antioquia eficiente y eficaz</t>
  </si>
  <si>
    <t>1.2.2 Antioquia modelo de eficiencia y servicio a través de las Tecnologías de la Información y las Comunicaciones  (TIC)</t>
  </si>
  <si>
    <t>Fortalecimiento, renovación y crecimiento de las TIC y la plataforma de SAP</t>
  </si>
  <si>
    <t>2012050000230</t>
  </si>
  <si>
    <t>062230-001</t>
  </si>
  <si>
    <t>Fortalecimiento renovación y crecimiento de las TICs Instituto de Cultura y Patrimonio de Antioquia</t>
  </si>
  <si>
    <t>Estrategia tecnológica del Instituto de Cultura y Patrimonio implementada</t>
  </si>
  <si>
    <t xml:space="preserve">Esta en fase precontractual contrato para ejecutar obras de mantenimiento para actualización de redes, sistema eléctrico y otras intervenciones que permitan una actualiazación tecnológica del Instituto </t>
  </si>
  <si>
    <t xml:space="preserve">1.2.3 Desarrollo y Fortalecimiento Institucional y del capital humano </t>
  </si>
  <si>
    <t>Fortalecimiento del sistema integrado de gestión</t>
  </si>
  <si>
    <t>2012050000228</t>
  </si>
  <si>
    <t>062228-001</t>
  </si>
  <si>
    <t>Diseño, implementación, mantenimiento y mejoramiento del sistema integrado de gestión Instituto de Cultura y Patrimonio de Antioquia</t>
  </si>
  <si>
    <t>Auditorías de seguimiento aprobadas</t>
  </si>
  <si>
    <t>2 La educación como motor de transformación de Antioquia</t>
  </si>
  <si>
    <t>2.3 Cultura Antioquia</t>
  </si>
  <si>
    <t>2.3.1 Fortalecimiento de la riqueza cultural</t>
  </si>
  <si>
    <t>Formación Artística</t>
  </si>
  <si>
    <t>2012050000284</t>
  </si>
  <si>
    <t>062284-001</t>
  </si>
  <si>
    <t>Fortalecimiento de procesos de formación artistica para actores sociales de los 124 municpios del Departemento de Antioquia</t>
  </si>
  <si>
    <t>Actores sociales formados en artes y otras manifestaciones</t>
  </si>
  <si>
    <t>Circulación, acceso y consumo</t>
  </si>
  <si>
    <t>2012050000285</t>
  </si>
  <si>
    <t>062285-001</t>
  </si>
  <si>
    <t xml:space="preserve">Desarrollo de eventos artísticos y culturales en los 124 Municipios del Departamento </t>
  </si>
  <si>
    <t>Eventos realizados</t>
  </si>
  <si>
    <t>Estímulos</t>
  </si>
  <si>
    <t>2012050000174</t>
  </si>
  <si>
    <t>062174-001</t>
  </si>
  <si>
    <t xml:space="preserve">Implementación de estímulos para el fomento y el desarrollo cultural 124 municipios del Departamento de Antioquia </t>
  </si>
  <si>
    <t>Convocatorias y propuestas de estímulos para el arte y la cultura realizadas</t>
  </si>
  <si>
    <t>2.3.2 Gestión cultural para la transformación</t>
  </si>
  <si>
    <t>Planificación cultural y gestión cultural y del conocimiento</t>
  </si>
  <si>
    <t>2012050000194</t>
  </si>
  <si>
    <t>062194-001</t>
  </si>
  <si>
    <t xml:space="preserve">Implementación estrategía de planificación y gestión cultural y del conocimiento 125 municipios del Departamento de Antioquia </t>
  </si>
  <si>
    <t>Estrategias de gestión implementadas</t>
  </si>
  <si>
    <t>Equipamientos y servicios culturales</t>
  </si>
  <si>
    <t>2012050000195</t>
  </si>
  <si>
    <t>062195-001</t>
  </si>
  <si>
    <t xml:space="preserve">Adecuación equipamientos culturales 8 municipios del departamento de Antioquia </t>
  </si>
  <si>
    <t>Acondicionamientos de bienes y servicios culturales realizados</t>
  </si>
  <si>
    <t>2012050000256</t>
  </si>
  <si>
    <t>062256-001</t>
  </si>
  <si>
    <t>Fortalecimiento del Palacio de la Cultura como centro cultural de Antioquia Municipio de Medellin</t>
  </si>
  <si>
    <t>-</t>
  </si>
  <si>
    <t>El resultado de ejecución de este proyecto hace parte del indicador "Acondicionamiento de bienes y servicios culturales realizados</t>
  </si>
  <si>
    <t>2012050000283</t>
  </si>
  <si>
    <t>242283-001</t>
  </si>
  <si>
    <t>Dotación de equipamientos culturales en los municipios del Departamento de Antioquia</t>
  </si>
  <si>
    <t>2.3.3 Antioquia Lee y Escribe</t>
  </si>
  <si>
    <t>Plan Departamental de Lectura y Bibliotecas</t>
  </si>
  <si>
    <t>2012050000243</t>
  </si>
  <si>
    <t>062243-001</t>
  </si>
  <si>
    <t xml:space="preserve">Implementación del plan departamental de lectura y bibliotecas Departamento de Antioquia </t>
  </si>
  <si>
    <t>Bibliotecas públicas municipales y escolares que participan en procesos de lectura y escritura</t>
  </si>
  <si>
    <t>2.3.4 Memoria y Patrimonio</t>
  </si>
  <si>
    <t>Salvaguardia del Patrimonio</t>
  </si>
  <si>
    <t>2012050000227</t>
  </si>
  <si>
    <t>062227-001</t>
  </si>
  <si>
    <t xml:space="preserve">Mantenimiento y conservación del palacio de la Cultura Rafael Uribe Uribe  de Medellín Antioquia </t>
  </si>
  <si>
    <t>Municipios que se benefician de los procesos de salvaguardia del patrimonio cultural</t>
  </si>
  <si>
    <t xml:space="preserve">Error en el registro del primer semestre.  Sólo hay 1 intervención al Palacio de la Cultura y se hizo en el segundo semestre. </t>
  </si>
  <si>
    <t>2012050000237</t>
  </si>
  <si>
    <t>062237-001</t>
  </si>
  <si>
    <t>Implementación de estrategias para la salvaguardia del patrimonio cultural en el Departamento de Antioquia</t>
  </si>
  <si>
    <t>2   La educación como motor de transformación de Antioquia</t>
  </si>
  <si>
    <t>2.3  Cultura Antioquia</t>
  </si>
  <si>
    <t>63001 -001</t>
  </si>
  <si>
    <t>Fortalecimiento a la Gestión del Instituto de Cultura y Patrimonio de Antioquia.</t>
  </si>
  <si>
    <t>2012050000217</t>
  </si>
  <si>
    <t>Diseño, desarrollo, socializacion y entrega del sistema de informacion</t>
  </si>
  <si>
    <t>numero</t>
  </si>
  <si>
    <t>Diseño e implementación de del Observatorio cultural  para la movilización ciudadana Etapa 1</t>
  </si>
  <si>
    <t>Se avanzó significativa mente en la etapa 2 de Diversas Voces</t>
  </si>
  <si>
    <t>X</t>
  </si>
  <si>
    <t xml:space="preserve">Servicio de Catalogación y digitaliación del material sonoro de la  Fonoteca en el sistema de información </t>
  </si>
  <si>
    <t>Se continuó la catalogación de la fonoteca en el segundo semestre.</t>
  </si>
  <si>
    <t>Mantenimiento y actualización de las TIC en el Instituto de Cultura y patrimonio de Antioquia</t>
  </si>
  <si>
    <t>%</t>
  </si>
  <si>
    <t>En el segundo semestre se inició contrato de obra para modernización de redes elèctricas y de datos.  Actualmente está en ejecución</t>
  </si>
  <si>
    <t>Adquisición y adecuación de equipos, redes y ayudas audiovisuales</t>
  </si>
  <si>
    <t>Numero</t>
  </si>
  <si>
    <t xml:space="preserve">Obras para adecuación de redes se realizarán en el segundo semestre.  En primer semestre se adquirieron equipos audiovisuales y de cómputo </t>
  </si>
  <si>
    <t>Implementación, mantenimiento y mejoramiento del sistema integrado de gestión</t>
  </si>
  <si>
    <t>La implementación del SIG se ha realizado permanentemente 1ª y 2ª semestre</t>
  </si>
  <si>
    <t>Formacion artistica</t>
  </si>
  <si>
    <t>Profesionalización de monitores de música</t>
  </si>
  <si>
    <t>Cofinanciarte</t>
  </si>
  <si>
    <t>Altavoz Antioquia</t>
  </si>
  <si>
    <t>Ejecución programada para el segundo semestre</t>
  </si>
  <si>
    <t>Antioquia Vive</t>
  </si>
  <si>
    <t>El Festival Antioquia Vive se desarrolla en el segundo semestre</t>
  </si>
  <si>
    <t>Fomento actividades artisticas</t>
  </si>
  <si>
    <t>De 18 actividades de fomento a actividades artísticas se han ejectuado 9</t>
  </si>
  <si>
    <t>Convoctoria de estimulos al talento creativo</t>
  </si>
  <si>
    <t xml:space="preserve">Segundo semestre se realizó la convocatoria de proyección arrtística </t>
  </si>
  <si>
    <t>Acompañamiento técnico a los Municipios de Antioqua en planeación y gestión cultural</t>
  </si>
  <si>
    <t>La programacion de asesorías a municipios fue menor en el 1° semestre por la implementacion de la  estrategia Diversas Voces</t>
  </si>
  <si>
    <t>Antioquia diversas voces</t>
  </si>
  <si>
    <t>Se cumplió la primera etapa de Diversas Voces</t>
  </si>
  <si>
    <t>Adecuación de equipamientos culturales</t>
  </si>
  <si>
    <t>Durante el primer semestre se hicieron diagnósticos, estudios técnicos y trámites precontractual.</t>
  </si>
  <si>
    <t>Revisión, ajuste e implementación del Plan de Mercadeo del Palacio de la Cultura "Rafael Uribe Uribe" como centro cultural de Antioquia</t>
  </si>
  <si>
    <t>Se desarrolló segunda etapa de la fonoteca .</t>
  </si>
  <si>
    <t>Dotaciones a equipamientos culturales</t>
  </si>
  <si>
    <t xml:space="preserve">Se hicieron dotaciones a las bandas de mùsica, instalaciones del Palacio de la Cultura y Casa de la Cultura municipio San Jose </t>
  </si>
  <si>
    <t>Fomento bibliotecario</t>
  </si>
  <si>
    <t>Desarrollo programas del Plan Departaental de Lectura y Bibliotecas</t>
  </si>
  <si>
    <t>Fomento a la lectura y a la escritura</t>
  </si>
  <si>
    <t>23 municipios han participado en actividades de fomento a la lectura</t>
  </si>
  <si>
    <t xml:space="preserve">Catalogación Colección Bicentenario Insumo para la Red Departamental de Bibliotecas Públicas de Antioquia (Inclye contratación profesional). </t>
  </si>
  <si>
    <t>Mantenimiento y recuperación  del Palacio de la Cultura "Rafael Uribe Uribe"</t>
  </si>
  <si>
    <t xml:space="preserve">Actividad programada para el 2° semestre </t>
  </si>
  <si>
    <t>Gestión del patrimonio material e inmaterial</t>
  </si>
  <si>
    <t xml:space="preserve">Diseño de programacion para celebración de 200 años en articulación de distantas secretarías de la Gobernación de Antioquia </t>
  </si>
  <si>
    <t>Bolsa IVA Celular</t>
  </si>
  <si>
    <t xml:space="preserve">Realizada la convocatoria de IVA a la telefonía celular y trámite de los proyectos que se ejecutarán en el presente año </t>
  </si>
  <si>
    <t>63001 -
001</t>
  </si>
  <si>
    <t>2013050000
001</t>
  </si>
  <si>
    <t xml:space="preserve">Implementación sitio web del Instituto de Cultura y Patrimonio </t>
  </si>
  <si>
    <t>Acompañamiento técnico permanente</t>
  </si>
  <si>
    <t xml:space="preserve">Apoyo, acompañamento y asesoría a procesos misionales del Instituto de Cultura y Patrimonio </t>
  </si>
  <si>
    <t xml:space="preserve">Número </t>
  </si>
  <si>
    <t xml:space="preserve">Contratos de prestación de servicios para fortalecimiento a la gestión </t>
  </si>
  <si>
    <t xml:space="preserve">Adquisición parque automotor del Instituto de Cultura y Patrimonio </t>
  </si>
  <si>
    <t xml:space="preserve">Adquisición de 2 vehículos </t>
  </si>
  <si>
    <t xml:space="preserve">Adquisición de bienes e insumos para el funcionamiento del Insituto de Cultura y Patrimonio </t>
  </si>
  <si>
    <t xml:space="preserve">Adquisición de muebles y enseres y material publicitario </t>
  </si>
  <si>
    <t>Aquisición, instalación, implementación y soporte infraestructura tecnológica para el Instituto de Cultura y Patrimonio</t>
  </si>
  <si>
    <t xml:space="preserve">El convenio está en ejecución </t>
  </si>
  <si>
    <t>DAPARD</t>
  </si>
  <si>
    <t>5 Antioquia es verde y sostenible</t>
  </si>
  <si>
    <t>5.1 Gestión Ambiental del Territorio</t>
  </si>
  <si>
    <t>5.1.5 Gestión del Riesgo y adaptación al cambio climático</t>
  </si>
  <si>
    <t xml:space="preserve"> Fortalecimiento institucional al CREPAD y los CLOPAD</t>
  </si>
  <si>
    <t>2012050000065</t>
  </si>
  <si>
    <t>232065-001</t>
  </si>
  <si>
    <t>Fortalecimiento institucional al CREPAD y los CLOPAD</t>
  </si>
  <si>
    <t>Asesorías y asistencias técnicas en gestión del riesgo a municipios</t>
  </si>
  <si>
    <t>Municipios apoyados en investigaciones para la reducción de su vulnerabilidad</t>
  </si>
  <si>
    <t>Municipios apoyados en la formulación de los Planes municipales para la gestión del riesgo</t>
  </si>
  <si>
    <t xml:space="preserve"> Sistematización integrada de información para la prevención y atención de desastres</t>
  </si>
  <si>
    <t>2012050000086</t>
  </si>
  <si>
    <t>232086-001</t>
  </si>
  <si>
    <t>Sistematización integrada de información  para la prevención y atención de desastres para el Departamento de Antioquia</t>
  </si>
  <si>
    <t>Cobertura del sistema de información para la prevención y atención de desastres</t>
  </si>
  <si>
    <t>Mapas de amenazas elaborados</t>
  </si>
  <si>
    <t xml:space="preserve"> Creación de los sistemas integrales para la atención de emergencias</t>
  </si>
  <si>
    <t>2012050000087</t>
  </si>
  <si>
    <t>232087-001</t>
  </si>
  <si>
    <t>Construcción de los Sistemas Integrales para la atención de emergencias en el Departamento de Antioquia</t>
  </si>
  <si>
    <t>Sistema integral de atención de emergencias creado</t>
  </si>
  <si>
    <t>Se encuentran en ejecución las obras de 7 infraestructuras S.O.S, los cuales se estiman serán entregadas a mediados de febrero de 2014</t>
  </si>
  <si>
    <t xml:space="preserve"> Creación de los sistemas de atención logística humanitaria</t>
  </si>
  <si>
    <t>2012050000079</t>
  </si>
  <si>
    <t>232079-001</t>
  </si>
  <si>
    <t>Implantación del Sistema de Atención Logística Humanitaria Deparatamento de Antioquia</t>
  </si>
  <si>
    <t>Sistemas de atención humanitaria funcionando</t>
  </si>
  <si>
    <t xml:space="preserve"> Creación de la unidad elite de atención y recuperación de emergencias</t>
  </si>
  <si>
    <t>2012050000104</t>
  </si>
  <si>
    <t>232104-001</t>
  </si>
  <si>
    <t xml:space="preserve">Implantación de la unidad élite de atención y recuperación de desastres en el  Departamento de Antioquia </t>
  </si>
  <si>
    <t>Eventos atendidos por la Unidad élite de emergencias</t>
  </si>
  <si>
    <t xml:space="preserve"> Plan de obras para la adaptación bajo las variables de riesgos recurrentes</t>
  </si>
  <si>
    <t>2012050000085</t>
  </si>
  <si>
    <t>232085-001</t>
  </si>
  <si>
    <t>Construcción de obras para la adaptación bajo variables de riesgos recurrentes en el Departamento de Antioquia</t>
  </si>
  <si>
    <t>Proyectos integrales de obras</t>
  </si>
  <si>
    <t>Unidades</t>
  </si>
  <si>
    <t>2012050000231</t>
  </si>
  <si>
    <t>232231-001</t>
  </si>
  <si>
    <t>Construcción de las obras para mitigación de los daños generados en la oleada invernal 2010 - 2011 en los dierentes puntos críticos del Departamento de Antioquia</t>
  </si>
  <si>
    <t>Número</t>
  </si>
  <si>
    <t>Las asesorías y asistencias técnicas y el apoyo a los municipios se hace con el personal del Dapard y temporales, por lo tanto son gastos de funcionamiento</t>
  </si>
  <si>
    <t>Asesoría y/o Asistencia Técnica en Gestión del Riesgo a Municipios-Resto del Departamento.</t>
  </si>
  <si>
    <t>Asesoría y/o Asistencia Técnica en Gestión del Riesgo a Municipios-Uraba.</t>
  </si>
  <si>
    <t>Municipios Apoyados en Investigación para la Reducción de su Vulnerabilidad-rersto del Departamento.</t>
  </si>
  <si>
    <t>Municipios Apoyados en Investigación para la Reducción de su Vulnerabilidad-Urabá.</t>
  </si>
  <si>
    <t>Municipios Apoyados en la Formulación de los Planes Municipales para la Gestión del Riesgo - Resto del Departamento.</t>
  </si>
  <si>
    <t>Municipios Apoyados en la Formulación de los Planes Municipales para la Gestión del Riesgo - Urabá.</t>
  </si>
  <si>
    <t>Cobertura del Sistema de Información.</t>
  </si>
  <si>
    <t>Porcentaje</t>
  </si>
  <si>
    <t>Mapas de Amenaza Elaborados.</t>
  </si>
  <si>
    <t>Creación de los sistemas de atención logística humanitaria</t>
  </si>
  <si>
    <t>Creación de la unidad élite de atención y recuperación de emergencias</t>
  </si>
  <si>
    <t>Proyectos integrales: eliman radicalmente la amenaza de ocurrencia de un evento.</t>
  </si>
  <si>
    <t>Actividades administratativas</t>
  </si>
  <si>
    <t>Salud</t>
  </si>
  <si>
    <t>4.3 Generación con garantía de derechos</t>
  </si>
  <si>
    <t>4.3.5 Antioquia mayor</t>
  </si>
  <si>
    <t xml:space="preserve"> Protección Social Integral a las personas mayores.</t>
  </si>
  <si>
    <t>2012050000262</t>
  </si>
  <si>
    <t>Protección social integral al adulto mayor en los municipios del departamento de Antioquia - Centros de Bienestar del anciano</t>
  </si>
  <si>
    <t>Adultos Mayores Atendidos en el programa Antioquia Mayor</t>
  </si>
  <si>
    <t xml:space="preserve">Informacion preliminar a la fecha.
Abril
Los municipios estan ejecutando y liquidando los proyectos del año 2012 hasta el 31 de mayo de 2013. Algunos municpios tambien están presentando los proyectos a desarrollar en 2013.
Junio
Los municipios estan ejecutando y liquidando los proyectos del año 2012 hasta el 31 de mayo de 2013. Algunos municpios tambien están presentando los proyectos a desarrollar en 2013.
</t>
  </si>
  <si>
    <t>Adultos mayores víctimas de desplazamiento forzado (VDF) atendidos en los programas de Antioquia mayor</t>
  </si>
  <si>
    <t>Informacion preliminar a la fecha, los datos definitivos se obtienen en el mes de marzo, dado que los proyectos de cofinanaciacion están en ejecución hasta el 31 de Marzo según resolucion de cada Mpio.
Las metas programadas fueron sobre estimadas por haber sido calculadas sobre el total de adultos mayores Victimas de desplazamiento informados por los Municipios sin previa validacion de los datos del SIPOD. 
Junio
Los municipios estan ejecutando y liquidando los proyectos del año 2012 hasta el 31 de mayo de 2013. Algunos municpios tambien están presentando los proyectos a desarrollar en 2013.
Abril
Los municipios estan ejecutando y liquidando los proyectos del año 2012 hasta el 31 de mayo de 2013. Algunos municpios tambien están presentando los proyectos a desarrollar en 2013.</t>
  </si>
  <si>
    <t>Protección social integral al adulto mayor en los municipios del departamento de Antioquia - Talento Humano - Atención Adulto Mayor</t>
  </si>
  <si>
    <t/>
  </si>
  <si>
    <t>4.5 Población incluida</t>
  </si>
  <si>
    <t>4.5.4 Antioquia capaz</t>
  </si>
  <si>
    <t xml:space="preserve"> Inclusión social de personas con discapacidad con garantías de derecho</t>
  </si>
  <si>
    <t>2008050000677</t>
  </si>
  <si>
    <t>Promoción de la salud prevención de la discapacidad Departamento de Antioquia - Talento Humano - Discapacidad</t>
  </si>
  <si>
    <t>Comités Municipales de Discapacidad operando por municipio</t>
  </si>
  <si>
    <t>Municipios que cuentan con el Registro de identificación y caracterización de la población con discapacidad actualizado</t>
  </si>
  <si>
    <t>IPS públicas de segundo nivel, con servicios de rehabilitación implementados</t>
  </si>
  <si>
    <t>Municipios que implementan la estrategia de rehabilitación basada en la comunidad</t>
  </si>
  <si>
    <t>Promoción de la salud prevención de la discapacidad Departamento de Antioquia - Discapacidad Rehabilitación y Habilitación</t>
  </si>
  <si>
    <t>Promoción de la salud prevención de la discapacidad Departamento de Antioquia - Programa Discapacitados</t>
  </si>
  <si>
    <t>4.1 Condiciones básicas de bienestar</t>
  </si>
  <si>
    <t>4.1.1 Antioquia SANA</t>
  </si>
  <si>
    <t xml:space="preserve"> Garantía del Goce de Derechos en Salud</t>
  </si>
  <si>
    <t>2012050000271</t>
  </si>
  <si>
    <t>Fortalecimiento del aseguramiento de la población antioqueña Departamento de Antioquia - Unificación de Planes de Salud - Rentas Cedidas</t>
  </si>
  <si>
    <t>EPS mixta Implementada y en funcionamiento (AMA)</t>
  </si>
  <si>
    <t xml:space="preserve">Se tiene:
Acuerdo.
Ordenanza.
Estatutos. 
Pendiente escritura y puesta en marcha.
Abril 2013
En funcionamiento desde abril.
</t>
  </si>
  <si>
    <t>Fortalecimiento del aseguramiento de la población antioqueña Departamento de Antioquia - Fortalecimiento del Régimen Subsidiado en Salud</t>
  </si>
  <si>
    <t>Fortalecimiento del aseguramiento de la población antioqueña Departamento de Antioquia - Atención Pacientes Régimen Subsidiado</t>
  </si>
  <si>
    <t>Fortalecimiento del aseguramiento de la población antioqueña Departamento de Antioquia - Unificación de Planes de Salud Premios No Reclamados</t>
  </si>
  <si>
    <t>Fortalecimiento del aseguramiento de la población antioqueña Departamento de Antioquia - Asesoría y Asistencia Técnica  a Municipios del Régimen Subsidiado</t>
  </si>
  <si>
    <t>Fortalecimiento del aseguramiento de la población antioqueña Departamento de Antioquia - Talento Humano - Aseguramiento</t>
  </si>
  <si>
    <t>2012050000275</t>
  </si>
  <si>
    <t>Servicios de atención en salud a la población pobre y vulnerable Departamento de Antioquia - Prestación de Servicios POS Red Pública</t>
  </si>
  <si>
    <t>Población atendida en salud con cargo a recursos del Departamento</t>
  </si>
  <si>
    <t xml:space="preserve">Con corte a 30 de  Noviemmbre .
La meta es tener una disminución progresiva del número de vinculados y afiliados al régimen subsidiado  que requieren servicios no POS.Si bien la meta es disminuir la atención con cargo a los recursos del Dpto, la actual crisis del sector no facilita el logro de esta.Adicionalmente las condiciones de desplazamiento , la no afiliacion al regimen Subsidiado y las tutelas implican la prestacion de servicios con cargo a los recursos del departamento.     
ABRRL  
La  meta esperada en el primer trimestre era de 33,469 usuarios. La reducción del número de usuarios tiene su explicación por efecto de la homologación del plan de beneficos del Régimen Subsidiado con el del Contributivo, lo cual ha reducido sustancialmente la demanda de servicios de salud con cargo al Departamento-SSSA.
DICIEMBRE
Si bien la meta es disminuir la atención con cargo a los recursos del Dpto, la actual crisis del sector no facilita el logro de ésta. 
Adicionalmente las condiciones de desplazamiento, la no afiliación al regimen Subsidiado y las tutelas implican la prestación de servicios con cargo a estos recursos.     
En este segundo trimestre se cumplio con la meta
</t>
  </si>
  <si>
    <t>Servicios de atención en salud a la población pobre y vulnerable Departamento de Antioquia - Urgencias POS Red Publica</t>
  </si>
  <si>
    <t>Servicios de atención en salud a la población pobre y vulnerable Departamento de Antioquia - Prestación de Servicios Red Privada</t>
  </si>
  <si>
    <t>Servicios de atención en salud a la población pobre y vulnerable Departamento de Antioquia - Urgencias POS Red Privada</t>
  </si>
  <si>
    <t>Servicios de atención en salud a la población pobre y vulnerable Departamento de Antioquia - Prestación de Servicios No POSS Red Pública</t>
  </si>
  <si>
    <t>Servicios de atención en salud a la población pobre y vulnerable Departamento de Antioquia - Urgencias No POSS Red Pública</t>
  </si>
  <si>
    <t>Servicios de atención en salud a la población pobre y vulnerable Departamento de Antioquia - Prestación de Servicios No POS Red Privada</t>
  </si>
  <si>
    <t>Servicios de atención en salud a la población pobre y vulnerable Departamento de Antioquia - Tutelas No Poss Red Privada</t>
  </si>
  <si>
    <t>Servicios de atención en salud a la población pobre y vulnerable Departamento de Antioquia - Urgencias No POSS Red Privada</t>
  </si>
  <si>
    <t>Servicios de atención en salud a la población pobre y vulnerable Departamento de Antioquia - SGP Aportes Patronales Mediana, Alta Complejidad Red Pública</t>
  </si>
  <si>
    <t>Servicios de atención en salud a la población pobre y vulnerable Departamento de Antioquia - SGP Aportes Patronales Baja Complejidad</t>
  </si>
  <si>
    <t>Servicios de atención en salud a la población pobre y vulnerable Departamento de Antioquia - Apoyo Reclamaciones Victimas Población Desplazadas</t>
  </si>
  <si>
    <t>Servicios de atención en salud a la población pobre y vulnerable Departamento de Antioquia - Déficit Vigencias Anteriores</t>
  </si>
  <si>
    <t>Servicios de atención en salud a la población pobre y vulnerable Departamento de Antioquia - Segundo Nivel</t>
  </si>
  <si>
    <t>Servicios de atención en salud a la población pobre y vulnerable Departamento de Antioquia - Tercer Nivel</t>
  </si>
  <si>
    <t>Servicios de atención en salud a la población pobre y vulnerable Departamento de Antioquia - apoyo a otros eventos de trauma mayor</t>
  </si>
  <si>
    <t>Servicios de atención en salud a la población pobre y vulnerable Departamento de Antioquia - Programa Inimputables</t>
  </si>
  <si>
    <t>Servicios de atención en salud a la población pobre y vulnerable Departamento de Antioquia - Talento Humano Tutelas</t>
  </si>
  <si>
    <t>Servicios de atención en salud a la población pobre y vulnerable Departamento de Antioquia - Talento Humano - Prestación de Servicios</t>
  </si>
  <si>
    <t>Servicios de atención en salud a la población pobre y vulnerable Departamento de Antioquia - Talento Humano Red Transplantes</t>
  </si>
  <si>
    <t>2012050000279</t>
  </si>
  <si>
    <t>Diseño de una EPS mixta o publica para el aseguramiento del regimen Subsidiado Medellin y Antioquia - EPS Mixta</t>
  </si>
  <si>
    <t>2012050000300</t>
  </si>
  <si>
    <t>Fortalecimiento de equipamiento biomedico y hospitalario de las E.S.E Departamento de Antioquia. - Dotación Hospitalaria</t>
  </si>
  <si>
    <t>Redes integradas y especializadas de servicios de salud habilitada y en funcionamiento</t>
  </si>
  <si>
    <t>La meta son 14 al 2015, no se tenía contemplada meta específica para el primer año (2012) .
En funcionamiento 5: Transplantes, Materno Perinatal, Cáncer, Laboratorios de Salud Pública y Banco de sangre.
Se  ha avanzado en :
Estudio de factibilidad de Caucasia.
Inicio del estudio de Urabá y Bajo Cauca.
DICIEMBRE
Aprobadas por el Ministerio de Salud y Protección Social y por ende habilitadas 2 de las 9 regiones del departamento: Urabá y Bajo Cauca. Además  se tiene en operación las redes especializadas: transplantes materno perinatal, la red de bancos de sangre y servicios transfusionales.
Se concluyo el estudio de  Urabá y Bajo Cauca.
jUNIO 30
Con los recursos asignados solo se alcanza a  realizar  el dx de dos regiones y dejarlas  enfuncionamiento.</t>
  </si>
  <si>
    <t>2012050000301</t>
  </si>
  <si>
    <t>Fortalecimiento de la red prestadora de  de servicios de Salud publica del Departamento de Antioquia - Fortalecimiento de la Red Departamental de Sangre en Antioquia</t>
  </si>
  <si>
    <t>Fortalecimiento de la red prestadora de  de servicios de Salud publica del Departamento de Antioquia - Talento Humano Bancos de Sangre</t>
  </si>
  <si>
    <t xml:space="preserve">Fortalecimiento de la red prestadora de  de servicios de Salud publica del Departamento de Antioquia - Ajuste Institucional E.S.E del Departamento </t>
  </si>
  <si>
    <t>Fortalecimiento de la red prestadora de  de servicios de Salud publica del Departamento de Antioquia - Modernizacion Red Prestadora de Servicios de Salud</t>
  </si>
  <si>
    <t>Fortalecimiento de la red prestadora de  de servicios de Salud publica del Departamento de Antioquia - Contruccion ESE Hospital La Maria</t>
  </si>
  <si>
    <t>Fortalecimiento de la red prestadora de  de servicios de Salud publica del Departamento de Antioquia -ambulancias</t>
  </si>
  <si>
    <t>Fortalecimiento de la red prestadora de  de servicios de Salud publica del Departamento de Antioquia - vulnerabilidad sismica</t>
  </si>
  <si>
    <t>Fortalecimiento de la red prestadora de  de servicios de Salud publica del Departamento de Antioquia - mejoramiento en la prestación de servicios de salud-calidad de vida</t>
  </si>
  <si>
    <t>Fortalecimiento de la red prestadora de  de servicios de Salud publica del Departamento de Antioquia - Talento Humano Fortalecimiento y Desarrollo Servicios Salud</t>
  </si>
  <si>
    <t>2012050000302</t>
  </si>
  <si>
    <t>Fortalecimiento de la infraestructura fisica de las ESE Hopitales de mediana y baja  complejidad  Departamento de Antioquia - Infraestructura Hospitalaria</t>
  </si>
  <si>
    <t>Fortalecimiento de la infraestructura fisica de las ESE Hopitales de mediana y baja  complejidad  Departamento de Antioquia - Talento Humano Infraestructura y Dotacion Hospitalaria</t>
  </si>
  <si>
    <t>2012050000303</t>
  </si>
  <si>
    <t>Implementar la modalidad de telemedicina para el fortalecimiento de la red publica Hospitalaria Departamento de Antioquia. - Telemedicina</t>
  </si>
  <si>
    <t>Implementar la modalidad de telemedicina para el fortalecimiento de la red publica Hospitalaria Departamento de Antioquia. - Talento Humano - Telemedicina</t>
  </si>
  <si>
    <t>2012050000304</t>
  </si>
  <si>
    <t>Fortalecimiento de la red prestadora de  de servicios de Salud estampillas pro hospitales del Departamento de Antioquia - Primer Nivel 20% Planes de Gastos</t>
  </si>
  <si>
    <t>Fortalecimiento de la red prestadora de  de servicios de Salud estampillas pro hospitales del Departamento de Antioquia - Primer Nivel  80 % Inversión</t>
  </si>
  <si>
    <t>Fortalecimiento de la red prestadora de  de servicios de Salud estampillas pro hospitales del Departamento de Antioquia - Segundo Nivel 50%  Inversión</t>
  </si>
  <si>
    <t>Fortalecimiento de la red prestadora de  de servicios de Salud estampillas pro hospitales del Departamento de Antioquia - Tercer Nivel 30 % Inversión</t>
  </si>
  <si>
    <t>Fortalecimiento de la red prestadora de  de servicios de Salud estampillas pro hospitales del Departamento de Antioquia - Talento Humano Estampilla Red Hospitalaria</t>
  </si>
  <si>
    <t>2008050000471</t>
  </si>
  <si>
    <t>Prestación de servicios de salud de baja complejidad a la población de difícil acceso Departamento de Antioquia (PAS) - Talento Humano Programa Aéreo de Salud</t>
  </si>
  <si>
    <t>Población de difícil acceso atendida por brigadas</t>
  </si>
  <si>
    <t>El helicoptero ha estado en trabajos de mantenimiento overhaul cumplimiento de 2.500 horas de vuelo. Por lo tanto no hemos tenido la disponibilidad para hacer todas las brigadas.</t>
  </si>
  <si>
    <t xml:space="preserve">Prestación de servicios de salud de baja complejidad a la población de difícil acceso Departamento de Antioquia (PAS) - Prestación de servicios de salud de baja complejidad a población dispersa del </t>
  </si>
  <si>
    <t>2010050000270</t>
  </si>
  <si>
    <t>Implementación y fortalecimiento del SOGC a los prestadores de servicios de salud, Departamento de Antioquia - Tribunal de Etica Médica y Odontológica</t>
  </si>
  <si>
    <t>Instituciones Prestadoras de Servicios de Salud y Direcciones Locales de Salud certificadas en el cumplimiento del Sistema Obligatorio Garantía de la calidad</t>
  </si>
  <si>
    <t xml:space="preserve">La meta no se cumplió. Tenemos un gran deficiencia de recurso humano para cumplir con esta meta, para resolver esto se planteó un proceso de contratación que fue declarado desierto.
Abril
El proceso se encuentra en marcha.
Junio 30 
La meta no se cumplió. Tenemos una gran deficiencia de recurso humano para cumplir con esta meta, para resolver esto se planteó un proceso de contratación el cual se encuentra en etapa de estudios previos , ademas se contrataron por prestacion de servicios tres profesionales.
DICIEMBRE
Continúa la deficiencia de recurso humano. 
Sólo a partir del segundo semestre se realizó la contratación por selección abreviada de menor cuantía para visitar 92 instituciones públicas adicionales, lo cual se logró a partir del mes de octubre (último Trimestre).      
</t>
  </si>
  <si>
    <t>Implementación y fortalecimiento del SOGC a los prestadores de servicios de salud, Departamento de Antioquia - Fortalecimiento de la Inspección Vigillancia y Control de Prestadores y Sistem</t>
  </si>
  <si>
    <t>Implementación y fortalecimiento del SOGC a los prestadores de servicios de salud, Departamento de Antioquia - Talento Humano - Sistema Obligatorio Garantía de la Calidad</t>
  </si>
  <si>
    <t>2008050000464</t>
  </si>
  <si>
    <t>Referencia y contrareferencia en el Departamento de Antioquia (CRUE) - Talento Humano Referencia y Contrarreferencia</t>
  </si>
  <si>
    <t>Centro Regulador de Urgencias, Emergencias y Desastres fortalecido, y articulado con el de Medellín y otros (AMA)</t>
  </si>
  <si>
    <t xml:space="preserve">El avance en el fortalecimiento del Centro Regulador en el primer trimestre es disponer de 5 puestos de trabajo (antes eran 4) y la llegada de un nuevo médico regulador que mejora la oportunidad en la respuesta y el trámite de la regulación del paciente dentro de la red de prestadores.  
JUNIO 30 g
No Hubo avance en el indicador de fortalecimiento del Centro Regulador en el segundo trimestre, ya que se dió la salida de   personal auxiliar administrativo (radio operador), con experiencia y conocimiento en el procedimiento y se da la llegada de nuevos auxiliares administrativos sin la experiencia ni el conocimiento necesario, que obliga a montar una contingencia en el CRUE para garantizar su normal funcionamiento las 24 horas (con 3 de los auxiliares antigüos que aún quedaban) y a iniciar todo un proceso de inducción y entrenamiento a los nuevos. Todo esto retarda la oportunidad en las respuestas a las solicitudes, ocasiona represa de la información y sobrecarga laboral en los funcionarios.                     
DICIEMBRE
En busca de alcanzar el 100% de la meta del cuatrienio se ha logrado el cumplimiento del 50% asi:
1. Se fortaleció el componente de recursos humanos (de los 15 funcionarios requeridos se asignaron 11), lo que representa un logro del 30% (del 40% del total).     
2. Desarrollo tecnológico: se viene adelantando acciones administrativas tendientes a conocer el alcance de los diferentes software existentes: SISMASTER CRUE, SSSA, SAFIX  Alcaldía Medellín, INTEGR@ARS  Comfama, con el fin de unificar el sistema de información, Se avanzó en un 10%  (del 30% del total).
3. Articulación con otros Centros Reguladores: Se logró la coordinación en la regulación oportuna de los pacientes, contando con la  ubicación de algunos centros reguladores, tales como: CRUE, 123 Y EL DE LA EPS SAVIASALUD  con su operador COMFAMA Se avanzó en un 10%  (del 30% del total).   
</t>
  </si>
  <si>
    <t>2012050000176</t>
  </si>
  <si>
    <t>Construcción  etapa dos y dotación del nuevo hospital caucasia del bajo  cauca caucasia antioquia.    - Hospital Regional de Caucasia</t>
  </si>
  <si>
    <t xml:space="preserve"> Salud Pública como Bien Común</t>
  </si>
  <si>
    <t>2012050000010</t>
  </si>
  <si>
    <t>Asesoría y asistencia técnica en las diferentes acciones en salud de la población víctima del desplazamiento forzado con enfoque diferencial en los minicipios del departamento de Antioquia - Talento Humano Promocion de la Salud Desplazados</t>
  </si>
  <si>
    <t>Población desplazada atendida en las diferentes acciones de Salud en los proyectos de la Secretaría Seccional de salud con enfoque diferencial</t>
  </si>
  <si>
    <t xml:space="preserve">Junio
Preliminar, corte a 10 de mayo , ultimo dato disponible, según el proceso de consolidacion de la informacion.
</t>
  </si>
  <si>
    <t>2012050000260</t>
  </si>
  <si>
    <t>Desarrollo vigilancia y control de la gestion interna de residuos hospitalarios y similares en establecimientos generadores existentes en municipios categoria 4,5 y 6 del Departamento. - Fortalecimiento de la Inspección Vigilancia y Control Gestión Interna Residuos</t>
  </si>
  <si>
    <t>Municipios con Políticas públicas de salud implementadas</t>
  </si>
  <si>
    <t xml:space="preserve">La meta no se cumplió. Tenemos un gran deficiencia de recurso humano para cumplir con esta meta, para resolver esto se planteó un proceso de contratación que fue declarado desierto.
Abril
El proceso se encuentra en marcha.
Junio 30 
La meta no se cumplió. Tenemos una gran deficiencia de recurso humano para cumplir con esta meta, para resolver esto se planteó un proceso de contratación el cual se encuentra en etapa de estudios previos , ademas se contrataron por prestacion de servicios tres profesionales.
DICIEMBRE
Se ha dado asistencia técnica a los 125 municipios para la implementación de estas políticas, sin embargo sólo el municipio de Angostura ha terminado el proceso, los demás se encuentran en diferentes etapas de este proceso.
</t>
  </si>
  <si>
    <t>Desarrollo vigilancia y control de la gestion interna de residuos hospitalarios y similares en establecimientos generadores existentes en municipios categoria 4,5 y 6 del Departamento. - Talento Humano - Residuos Hospitalarios</t>
  </si>
  <si>
    <t>2012050000261</t>
  </si>
  <si>
    <t>Implementación gestion y control de las principales zoonosis en el Departamento, con enfasis en rabia canina y felina todo el Departamento de Antioquia. - Control Sanitario Zoonosis</t>
  </si>
  <si>
    <t>Perros y gatos vacunados</t>
  </si>
  <si>
    <t>DICIEMBRE
Se presentó un aumento en el número de animales vacunados con respecto al año 2012,  dado que fue necesario incrementar las jornadas de vacunación a nivel rural, en especial en la zona de Urabá y se incrementó la respuesta  por parte de la comunidad al desarrollo de las  jornadas de vacunación antirrábica desarrolladas en los diferentes municipios. Si bien no se cumplió la meta es importante anotar que ésta es una actividad que se oferta a la comunidad y depende de la respuesta de ella a las diferentes convocatorias; además que en los municipios del Área Metropolitana no se cumplió con la cobertura mínima.</t>
  </si>
  <si>
    <t>Implementación gestion y control de las principales zoonosis en el Departamento, con enfasis en rabia canina y felina todo el Departamento de Antioquia. - Talento Humano - Zoonosis</t>
  </si>
  <si>
    <t>2012050000263</t>
  </si>
  <si>
    <t>Proyecto prevención y control de las enfermedades transmitidas por vectores (EGI) Departamento de Antioquia - Programa Malaria</t>
  </si>
  <si>
    <t>Viviendas intervenidas con fumigación</t>
  </si>
  <si>
    <t>Este dato corresponde al acumulado del primer semestre de 2013. El número de viviendas intervenidas es mayor al programado debido al brote de dengue que afecta al país y también a nuesro departamento, lo que ha exigido una mayor cantidad de intervenciones.
DICIEMBRE
Durante el año 2013 se incrementaron los casos de malaria y dengue en el departamento de Antioquia, para contrarrestar este incremento y dando cumplimiento a los protocolos  de  atención  e intervención para estos casos fue necesario incrementar las acciones de control dentro de la que se destaca la fumigación de las viviendas</t>
  </si>
  <si>
    <t>Proyecto prevención y control de las enfermedades transmitidas por vectores (EGI) Departamento de Antioquia - Talento Humano - Vectores</t>
  </si>
  <si>
    <t>2012050000264</t>
  </si>
  <si>
    <t>Fortalecimiento de los actores del sistema de seguridad social en salud mental en el Departamento de Antioquia - Prevención Salud Mental</t>
  </si>
  <si>
    <t>Fortalecimiento de los actores del sistema de seguridad social en salud mental en el Departamento de Antioquia - Talento Humano Prevencion Enfermedad Mental</t>
  </si>
  <si>
    <t>2012050000265</t>
  </si>
  <si>
    <t>Fortalecimiento de la Estrategia  Escuela saludable  Departamento de Antioquia - Promoción Salud Bienestar Escuelas</t>
  </si>
  <si>
    <t>Familias atendidas en servicios de salud a través de la estrategia de atención primaria en salud -APSR-</t>
  </si>
  <si>
    <t>Se cumplió la meta. 
Abril
Se han visitado 24687 familias del Departamento.
Junio 
Se han visitado 39891 familias del Departamento.</t>
  </si>
  <si>
    <t>Fortalecimiento de la Estrategia  Escuela saludable  Departamento de Antioquia - Talento Humano Escuela Saludable</t>
  </si>
  <si>
    <t>2012050000267</t>
  </si>
  <si>
    <t>Fortalecimiento estilos de vida saludables  y atención integral para las condiciones cronicas en el Departamento de Antioquia. - Implementación de Estrategias para la Atención Integral de Enfermedades Crónic</t>
  </si>
  <si>
    <t>Personas participantes en los programas de actividad física para la salud en el Departamento</t>
  </si>
  <si>
    <t>INDEPORTES</t>
  </si>
  <si>
    <t>Fortalecimiento estilos de vida saludables  y atención integral para las condiciones cronicas en el Departamento de Antioquia. - Talento Humano Enfermedades Crónicas</t>
  </si>
  <si>
    <t>2012050000268</t>
  </si>
  <si>
    <t>Mejoramiento de la salud bucal de la población menor de 18 años escolarizada en los municipios priorizados en el Departamento de Antioquia - Fortalecimiento de la Salud Bucal</t>
  </si>
  <si>
    <t>Mejoramiento de la salud bucal de la población menor de 18 años escolarizada en los municipios priorizados en el Departamento de Antioquia - Talento Humano - Salud Bucal</t>
  </si>
  <si>
    <t>2012050000269</t>
  </si>
  <si>
    <t>Implementación vigilancia sanitaria y de salud pública en puntos de entrada y medios de transporte en el departamento de Antioquia - Emergencias de Importancia Internacional (ESPII)</t>
  </si>
  <si>
    <t>Implementación vigilancia sanitaria y de salud pública en puntos de entrada y medios de transporte en el departamento de Antioquia - Talento Humano Seguridad Portuaria</t>
  </si>
  <si>
    <t>2012050000270</t>
  </si>
  <si>
    <t>Fortalecimiento del proceso de vigilancia en salud y gestión del conocimiento Departamento de Antioquia - Fortaleciminento del sistema de Vigilancia en Salud del Departamento</t>
  </si>
  <si>
    <t xml:space="preserve">La meta no se cumplió. Tenemos un gran deficiencia de recurso humano para cumplir con esta meta, para resolver esto se planteó un proceso de contratación que fue declarado desierto.
Abril
El proceso se encuentra en marcha.
Junio 30 
La meta no se cumplió. Tenemos una gran deficiencia de recurso humano para cumplir con esta meta, para resolver esto se planteó un proceso de contratación el cual se encuentra en etapa de estudios previos , ademas se contrataron por prestacion de servicios tres profesionales.
DICIEMBRE
Se ha dado asistencia técnica a los 125 municipios para la implementación de estas políticas, sin embargo sólo el municipio de Angostura ha terminado el proceso, los demás se encuentran en diferentes etapas de este proceso.
</t>
  </si>
  <si>
    <t>Fortalecimiento del proceso de vigilancia en salud y gestión del conocimiento Departamento de Antioquia - Talento Humano - SIVIGILA</t>
  </si>
  <si>
    <t xml:space="preserve">La meta no se cumplió. Tenemos un gran deficiencia de recurso humano para cumplir con esta meta, para resolver esto se planteó un proceso de contratación que fue declarado desierto.
Abril
El proceso se encuentra en marcha.
Junio 30 
La meta no se cumplió. Tenemos una gran deficiencia de recurso humano para cumplir con esta meta, para resolver esto se planteó un proceso de contratación el cual se encuentra en etapa de estudios previos , ademas se contrataron por prestacion de servicios tres profesionales.
DICIEMBRE 
Se ha dado asistencia técnica a los 125 municipios para la implementación de estas políticas, sin embargo sólo el municipio de Angostura ha terminado el proceso, los demás se encuentran en diferentes etapas de este proceso.
</t>
  </si>
  <si>
    <t>2012050000272</t>
  </si>
  <si>
    <t>Proyecto de la Vigilancia sanitaria de la calidad de los medicamentos y afines Departamento de Antioquia - Talento Humano - Vigilancia Medicamentos</t>
  </si>
  <si>
    <t>2012050000273</t>
  </si>
  <si>
    <t>Fortalecimiento de los servicios de salud sexual y reproductiva en el Departamento de Antioquia - Salud Sexual y Reproductiva de Antioquia</t>
  </si>
  <si>
    <t>Embarazadas que ingresan al programa de control prenatal en el primer trimestre</t>
  </si>
  <si>
    <t>La medicion se hara bajo los lineamientos del Ministerio de salud, estamos a la espera para la implemetacion en los Municicpios. 
JUNIO 
Luego de analizada la directriz Nacional se concluyo que la medicion de este indicador no se logra con la implementacion esta   , a partir del 2013 se implementó un gerencial para recolectar la información trimestralmente.</t>
  </si>
  <si>
    <t>Embarazadas de 15 a 19 años</t>
  </si>
  <si>
    <t xml:space="preserve">Con corte  diciembre preliminar : Generado 01-10-2013  .16,2  a marzo de 2013 
La compilacion de los datos de cada Municipio se hace mes vencido y el procesamiento y organización de los datos toma un mes. El dato final y real del año 2012 se tendrá en Febrero de 2013.
Junio
Información preliminar con corte al mes de mayo .
Abril
Actualmente se han realizado avances en 3 de los 5 componentes del Plan Departamental de Prevención del Embarazo Adolescente, los cuales son: Movilización Social, Programa de Educación Sexual e Implementación de los Servicios Amigables. 
DICIEMBRE
La última medición disponible es del año 2012.
La fuente de información oficial  es  el DANE, este proceso es centralizado a nivel Nacional y sólo hasta el mes de abril se dispone de datos anuales para el 2013.
</t>
  </si>
  <si>
    <t>Embarazadas de 10 a 14 años</t>
  </si>
  <si>
    <t>Con corte  diciembre preliminar : Generado 01-10-2013.
La compilacion de los datos de cada Municipio se hace mes vencido y el procesamiento y organización de los datos toma un mes. El dato final y real del año 2012 se tendrá en Febrero de 2013.
Junio
Información preliminar con corte al mes de mayo .
Abril
Actualmente se han realizado avances en 3 de los 5 componentes del Plan Departamental de Prevención del Embarazo Adolescente, los cuales son: Movilización Social, Programa de Educación Sexual e Implementación de los Servicios Amigables. 
DICIEMBRE
La última medición disponible es del año 2012.
La fuente de información oficial  es  el DANE, este proceso es centralizado a nivel Nacional y sólo hasta el mes de abril se dispone de datos anuales para el 2013.</t>
  </si>
  <si>
    <t>Empresas Sociales del Estado con programa de Atención Integral a la enfermedades prevalentes de la infancia-AIEPI- en funcionamiento</t>
  </si>
  <si>
    <t xml:space="preserve">Se cumplió la meta.
Abril
En la actualidad se encuentra en el proceso de perfeccionamiento del contrato con el operador NACER para iniciar las actividades en la implementación de la estrategia AIEPI. Se iniciarán actividades a partir del 28 de mayo aproximadamente.
Junio
Proceso de contratación lento, se avanzó y fue firmado el 21 de mayo de 2013. Los avances del indicador están en revisión para fortalecer la implementación y funcionamiento de la estrategia AIEPI en las ESE.
DICIEMBRE
El presupuesto invertido no fue suficiente para dar una mayor cobertura y continuidad en los municipios.
Los municipios cuentan con talento humano  limitado para realizar acciones de gestión e impulsar acciones de mejora continua, esto agravado por la alta rotación del personal dificulta cualquier proceso de mejora.  </t>
  </si>
  <si>
    <t>Fortalecimiento de los servicios de salud sexual y reproductiva en el Departamento de Antioquia - Talento Humano - Salud Sexual y Reproductiva</t>
  </si>
  <si>
    <t>2012050000298</t>
  </si>
  <si>
    <t>Fortalecimiento laboratorio departamental de salud pública  Departamento de Antioquia</t>
  </si>
  <si>
    <t>2012050000299</t>
  </si>
  <si>
    <t xml:space="preserve">Fortalecimiento del PAI en los componentes de vacunación, vigilancia epidemiológica de inmunoprevenibles, tuberculosis y lepra en los actores del SGSSS Departamento de Antioquia - Fortalecimiento del Programa Ampliado de Inmunizaciones en el Departamento de </t>
  </si>
  <si>
    <t>Niños y niñas de 1 año con esquema de vacunación adecuados</t>
  </si>
  <si>
    <t>Corte: Septiembre. La compilacion de los datos de cada Municipio se hace mes vencido y el procesamiento y organización de los datos toma un mes.
El dato final y real del año 2012 se tendrá en Febrero de 2013.
Abril/2013
El dato corresponde a la información de enero y febrero y es información parcial porque no contiene todos los municipios.
Junio/2013 Información preliminar.
La informacion tiene variación mensual, por que los niños que se toman para construir el indicador son los que tienen un año de edad en el momento de generar la información (12 a 23 meses) y  tienen historia de vacunación completa para su edad.  Esta dato se recibe en la SSSA cada mes enviado por los municipios. Los datos para obtener el indicador se generan del sistema computarizado de información de vacunación que actualiza la edad de los niños y los esquemas  de vacunación automaticamente en cada centro de vacunación.</t>
  </si>
  <si>
    <t>Fortalecimiento del PAI en los componentes de vacunación, vigilancia epidemiológica de inmunoprevenibles, tuberculosis y lepra en los actores del SGSSS Departamento de Antioquia - Programa Prevención Control Tubérculosis</t>
  </si>
  <si>
    <t>Pacientes con diagnóstico de tuberculosis curados</t>
  </si>
  <si>
    <t xml:space="preserve">Corte: Septiembre. La compilacion de los datos de cada Municipio se hace mes vencido y el procesamiento y organización  de los datos toma un mes. 
El dato final y real del año 2012 se tendrá en Febrero de 2013. 
Hubo problemas de suministro de medicamentos desde el Minsalud.
Abril
Dato preliminar, aún se encuentra pendiente información de algunos municipios del Departamento.
Junio
La información corresponde a la primerra cohorte de 2012, ya que se realiza 9 meses vencidos. Los resultados corresponden a cohortes diferentes y de años diferentes en el que se realizan los diagnosticos.
</t>
  </si>
  <si>
    <t>Fortalecimiento del PAI en los componentes de vacunación, vigilancia epidemiológica de inmunoprevenibles, tuberculosis y lepra en los actores del SGSSS Departamento de Antioquia - Transferencias de la Nación Programa Control de Lepra</t>
  </si>
  <si>
    <t>Fortalecimiento del PAI en los componentes de vacunación, vigilancia epidemiológica de inmunoprevenibles, tuberculosis y lepra en los actores del SGSSS Departamento de Antioquia - Talento Humano - PAI</t>
  </si>
  <si>
    <t>2012050000274</t>
  </si>
  <si>
    <t>Implementación familia saludable - APS renovada Departamento de Antioquia - Promoción de la Salud y del Bienestar de la Población del Departamento</t>
  </si>
  <si>
    <t>Implementación familia saludable - APS renovada Departamento de Antioquia - Talento Humano Familia Saludable Atención Primaria en Salud</t>
  </si>
  <si>
    <t>2008050000468</t>
  </si>
  <si>
    <t>Proyecto municipios categorias 4, 5 y 6 con planes de control sanitario y ocupacional en el Departamento de Antioquia - Talento Humano Seguridad Sanitaria</t>
  </si>
  <si>
    <t>2011050000254</t>
  </si>
  <si>
    <t>Prevención, vigilancia y control de infecciones asociadas a la atención en salud (IAAS) y resistencia a los antimicrobianos (RM) en las Instituciones de Salud del departamento de Antioquia en los Municipios del Departamento priorizados - Atencion en Salud y Resistencia  a los antimicrobianos (IAAS-RM)</t>
  </si>
  <si>
    <t>Prevención, vigilancia y control de infecciones asociadas a la atención en salud (IAAS) y resistencia a los antimicrobianos (RM) en las Instituciones de Salud del departamento de Antioquia en los Municipios del Departamento priorizados - Talento humano (IAAS-RM)</t>
  </si>
  <si>
    <t>2008050000467</t>
  </si>
  <si>
    <t>Proyecto de la vigilancia de la calidad del agua de consumo humano para el departamento de Antioquia - Control Sanitario Calidad del Agua</t>
  </si>
  <si>
    <t>Municipios certificados en calidad de agua potable</t>
  </si>
  <si>
    <t xml:space="preserve">                                                                                                                                                                                                                                                                                                                                                                                                                                              A Dic de 2013 se certificaron 90 municipios de 124, como causa se presenta la no remisión de la información por parte de los técnicos del área de la salud de los municipios 4, 5 y 6 y de la información de las secretarías de salud de los municipios categorias 1, 2 y 3</t>
  </si>
  <si>
    <t>Proyecto de la vigilancia de la calidad del agua de consumo humano para el departamento de Antioquia - Talento Humano Calidad del Agua</t>
  </si>
  <si>
    <t>2008050000470</t>
  </si>
  <si>
    <t xml:space="preserve">Fortalecimiento vigilancia epidemiológica, prevención y control de las intoxicaciones por sustancias químicas-plaguicidas-mercurio y agresiones por animales venenosos Departamento de Antioquia - Control Sanitario para Intoxicación con Sustancias Químicas </t>
  </si>
  <si>
    <t>Fortalecimiento vigilancia epidemiológica, prevención y control de las intoxicaciones por sustancias químicas-plaguicidas-mercurio y agresiones por animales venenosos Departamento de Antioquia - Talento Humano - Intoxicaciones Químicas</t>
  </si>
  <si>
    <t>2008050000457</t>
  </si>
  <si>
    <t>Proyecto vigilancia ocupacional de las condiciones de salud y trabajo y de radiaciones ionizantes en el Departamento de Antioquia - Talento Humano - Salud Ocupacional</t>
  </si>
  <si>
    <t>2008050000469</t>
  </si>
  <si>
    <t>Proyecto vigilancia de la calidad e inocuidad de los alimentos y bebidas en Antioquia (114 Municipios) - Fortalecimiento de la Inspección, Vigilancia y Control del Sistema General de Seguridad Social en Salud Alimentos</t>
  </si>
  <si>
    <t>Proyecto vigilancia de la calidad e inocuidad de los alimentos y bebidas en Antioquia (114 Municipios) - Talento Humano - Calidad Alimentos</t>
  </si>
  <si>
    <t>2012050000266</t>
  </si>
  <si>
    <t>012266001</t>
  </si>
  <si>
    <t>Administración promoción de la salud y atencion integral para las enfermedades prevalentes de la infancia departamento de Antioquia</t>
  </si>
  <si>
    <t>012266090</t>
  </si>
  <si>
    <t>2012050000305</t>
  </si>
  <si>
    <t>Fortalecimiento de la partiocipación ciudadana y comunitaria en salud 115 municipios departamento de Antioquia</t>
  </si>
  <si>
    <t>Fortalecmiento institucional</t>
  </si>
  <si>
    <t>01213001</t>
  </si>
  <si>
    <t>Fortalecimiento del recurso humano y del clima laboral SSSA Medellin y municipios del Departamento de Antioquia</t>
  </si>
  <si>
    <t>Municipios con Plan de Salud Pública formulado y evaluado</t>
  </si>
  <si>
    <t xml:space="preserve">No presentaron Plan Uramita,Tarso y Cáceres.
</t>
  </si>
  <si>
    <t>Fortalecimiento institucional</t>
  </si>
  <si>
    <t>01213003</t>
  </si>
  <si>
    <t>Municipios recertificados en salud</t>
  </si>
  <si>
    <t xml:space="preserve">
Este proceso de recertificación se hace cada año, en este momento estamos a la espera que el ministerio defina la metodologia para los municipios que están descertificados.
</t>
  </si>
  <si>
    <t>2008050000481</t>
  </si>
  <si>
    <t>014037001</t>
  </si>
  <si>
    <t>Proyecto fortalecimiento institucional de la DSSA y de los actores del SGSSS en el Departamento</t>
  </si>
  <si>
    <t>014037002</t>
  </si>
  <si>
    <t>014037003</t>
  </si>
  <si>
    <t>012134001</t>
  </si>
  <si>
    <t>Fortalecimiento e implementación de los equipos técnicos regionales en salud Departamento de Antioquia.</t>
  </si>
  <si>
    <t>012134090</t>
  </si>
  <si>
    <t>018483001</t>
  </si>
  <si>
    <t>Proyecto, desarrollo de las tecnologías de información y comunicaciones de la DSSA Departamento de Antioquia</t>
  </si>
  <si>
    <t>018483002</t>
  </si>
  <si>
    <t>018483090</t>
  </si>
  <si>
    <t>Fortalecimiento de la estrategia de información educación y comunicación de la Secretaria Seccional de Salud y protección Social, en el Departamento de Antioquia</t>
  </si>
  <si>
    <t xml:space="preserve"> Cofinanciacion de proyectos para la atención integral al adulto mayor de los municipios del Departamento de Antioquia.</t>
  </si>
  <si>
    <t xml:space="preserve">No. Municipios cofinanciados </t>
  </si>
  <si>
    <t>VI Encuentro Departamental (por regiones) de cabildantes adultos mayores año 2013.  Fortalecimiento de cabildos de adultos mayores, aseroría, asistencia técnica a los municipios y cabildantes.  Fortalecimiento de la política pública de envejecimiento y vejez en el departamento de Antioquia 2013.</t>
  </si>
  <si>
    <t>Campaña IEC Adulto Mayor.</t>
  </si>
  <si>
    <t>Vacunación contra neumococo e influenza a dultos mayores de los niveles 1 y 2 del SISBEN</t>
  </si>
  <si>
    <t>NUMERO</t>
  </si>
  <si>
    <t xml:space="preserve"> No aplica Ya que el Acuerdo 029 de 2011 nos dice que es competencia del POS</t>
  </si>
  <si>
    <t>Dotación aparatos de locomoción</t>
  </si>
  <si>
    <t>Asesoría y asistencia técnica a centros de atención al adulto mayor y anciano</t>
  </si>
  <si>
    <t>No aplica ya que se incluye en la actividad de la fila 10 T.</t>
  </si>
  <si>
    <t xml:space="preserve">Fortalecimiento de cabildos de adultos mayores,asesoria,asistencia técnica a los municipios y Cabildantes . E implementación de la Politica Pública de envejecimiento y vejez en el Departamento.VII Encuentro Departamentel (por Regiones) de Cabildantes Adultos Mayores año 2012 </t>
  </si>
  <si>
    <t>Gestión del Talento Humano , Viaticos y transporte</t>
  </si>
  <si>
    <t>Recurso Humano</t>
  </si>
  <si>
    <t>Implementación de servicios de Rehabilitación Intermedia en 8 ESE de segundo nivel del Departamento</t>
  </si>
  <si>
    <t>Conformación de Comités Municipales de discapacidad</t>
  </si>
  <si>
    <t>Implementación de la Estrategia Rehabilitación Basada en la Comunidad</t>
  </si>
  <si>
    <t>Implementación del Registro para Localización y Caracterización de Personas con Discapacidad -RLCPD-</t>
  </si>
  <si>
    <t>Entrega de ayudas técnicas no pos</t>
  </si>
  <si>
    <t>Formación de líderes comunitarios en atención pre hospitalaria</t>
  </si>
  <si>
    <t>Asesoría y asistencia técnica, formación en accesibilidad a las tecnologías de la comunicación y ayudas técnicas de bajo costo</t>
  </si>
  <si>
    <t>Plan de información, educación y comunicaciones</t>
  </si>
  <si>
    <t>Celebración de la semana de la esperanza y superación</t>
  </si>
  <si>
    <t>Vigilancia a los actores del sisetma en sus competencias (DLS y Aseguradoras)</t>
  </si>
  <si>
    <t>Unificacion de Planes de salud</t>
  </si>
  <si>
    <t>Cofinanciacion del Aseguramiento-Regimen Subsidiado en el Departamento de Antioquia</t>
  </si>
  <si>
    <t>Asesoria y Asistencia tecnica, Inspeccion, vigilancia y control a la gestión del aseguramiento en salud, en los diferentes actores del sistema</t>
  </si>
  <si>
    <t>Analisis, seguimiento y saneamiento al flujo de Recursos resultantes de la liquidación de los contratos tripartitos perfeccionados entre el Municipio y las respectivas  ARS hoy EPS-S de la vigencia 1996-2004 y 2004-2011</t>
  </si>
  <si>
    <t>GESTION HUMANA</t>
  </si>
  <si>
    <t>Gestión de Prestacion de Servicios de Salud de mediana y alta complejidad en IPS  con contratos</t>
  </si>
  <si>
    <t xml:space="preserve">Gestión de Prestacion de Servicios de Salud de mediana y alta complejidad en IPS  sin contratos </t>
  </si>
  <si>
    <t xml:space="preserve">Gestión de Prestacion de Servicios de Salud por Tutelas (Importación de medicamentos) </t>
  </si>
  <si>
    <t>Gestión de Prestacion de Servicios de Salud de baja complejidad, en Municipios no certificados</t>
  </si>
  <si>
    <t xml:space="preserve">Gestión de Prestacion de Servicios de Salud de mediana y alta complejidad en IPS sin contratos para poblacion Desplazada </t>
  </si>
  <si>
    <t>Servicios de atención en salud a la población pobre y vulnerable Departamento de Antioquia - baja complejidad red pública</t>
  </si>
  <si>
    <t>Atención población Inimputable</t>
  </si>
  <si>
    <t>Servicios de atención en salud a la población pobre y vulnerable Departamento de Antioquia - Fortalecimiento Red transplantes</t>
  </si>
  <si>
    <t>|</t>
  </si>
  <si>
    <t>Gestion de tutelas</t>
  </si>
  <si>
    <t>N/A</t>
  </si>
  <si>
    <t xml:space="preserve">Gestion de la Prestacion de servicios de Salud -Interventoria y apoyo a la prestacion de servicios de salud </t>
  </si>
  <si>
    <t>Fortalecimiento Red de Trasplantes</t>
  </si>
  <si>
    <t>Creacion de una EPS mixta o publica para el aseguramiento del Regimen Subsidiado en Medellín y Antioquia</t>
  </si>
  <si>
    <t>Mejoramiento a la Dotacion en Equipamiento Biomedico y Equipo Industrial Hospitalario de las ESE de baja, mediana y alta complejidad</t>
  </si>
  <si>
    <t>137.5</t>
  </si>
  <si>
    <t>Fortalecimiento de la gestion en la red departamental de sangre de Antioquia</t>
  </si>
  <si>
    <t>Se realizo un replateamiento de las actividades, que fueran mas acordes a la actividades que se van a realizar.</t>
  </si>
  <si>
    <t>AJUSTE INSTITUCIONAL Fortalecimiento a la capacidad de gestion de la alta direccion de las ESE</t>
  </si>
  <si>
    <t>Pago de la condonabilidad a los municipios(Plata que no se puede tocar)</t>
  </si>
  <si>
    <t>Remodelacion  y construccion del ESE, Hospital La Maria</t>
  </si>
  <si>
    <t>Participacion en el comité nacional de evaluación para determinar la condonabilidad o no de los recursos de la vigencia anterior</t>
  </si>
  <si>
    <t>Evaluacion del cumplimiento de indicadores de condonabilidad a las ESE reestructuradas con el convenio 0392</t>
  </si>
  <si>
    <t>La evaluación se realiza en el segundo semestre del año.</t>
  </si>
  <si>
    <t>Evaluacion del cumplimiento de indicadores de las ESE reestructuradas por el Departamento</t>
  </si>
  <si>
    <t>Análisis de la situacion financiero de las ESE del departamento de Antioquia, para determinar su inclusion en el programa de reestructuracion</t>
  </si>
  <si>
    <t>Se  realizo el analisis de los Municipios de Abriaqui, Puerto Triunfo, San Vicente,Angostura y Barbosa</t>
  </si>
  <si>
    <t>Diplomado para fortalecer la gestión de la alta dirección de las ESE</t>
  </si>
  <si>
    <t>Se inicio con la conceptualización  del premio por la transparencia.</t>
  </si>
  <si>
    <t>Asistencia Técnica a las Juntas directivas para la evaluación de los planes de Gestión de las ESE</t>
  </si>
  <si>
    <t>Se iniciaran en el segundo se mestre del año.</t>
  </si>
  <si>
    <t xml:space="preserve">Gestión de la Red Departamental de Sangre y  Administración de la Red </t>
  </si>
  <si>
    <t>ANALISIS Y PROPUESTA DE ORGANIZACIÓN DE LAS REDES DE SERVICIOS DE SALUD DE LAS NUEVE SUBREGIONES DEL DEPARTAMENTO DE ANTIOQUIA ( Magdalena Medio y Nordeste)</t>
  </si>
  <si>
    <t>No se realizó convocatoria.</t>
  </si>
  <si>
    <t>Definición y socialización de las Redes de las Subregiones</t>
  </si>
  <si>
    <t>Se realizo la socialización al Directivo de la SSSA,falta la socialización en las regiones.</t>
  </si>
  <si>
    <t xml:space="preserve">INCENTIVOS PARA EL MEJORAMIENTO DE LA CAPACIDAD DE RESPUESTA DE LAS ESE: Buena utilización de los recursos, Transparencia en la Gestión, Mayor productividad, Suficiencia financiera, etc..) </t>
  </si>
  <si>
    <t>Visitas de inspección y vigilancia a las ESE</t>
  </si>
  <si>
    <t>Asesoría y asistencia tecnica sobre el Fortalecimiento de la red de servicios de salud</t>
  </si>
  <si>
    <t>MEJORAMIENTO DE LA CAPACIDAD DE RESPUESTA DE LAS ESE DE Murindo y Puerto Berrio.</t>
  </si>
  <si>
    <t>Esta actividad se realizo en  el año  2012</t>
  </si>
  <si>
    <t>Mejoramiento de la infraestructura de las ESE de baja  mediana y alta complejidad con Reposicion</t>
  </si>
  <si>
    <t>Mejoramiento de la infraestructura de las ESE de baja  mediana y alta complejidad con Adecuaciones</t>
  </si>
  <si>
    <t>Arrendamiento plataforma tecnológica y prestación de servicios bajo la modalidad de Telemedicina (Teleconsulta- Telediagnóstico) en las ESE del Departameno de Antioquia</t>
  </si>
  <si>
    <t>Seguimiento y evaluación a la implementación del proyecto de telemediciana en las ESE del departamento de Antioquia.</t>
  </si>
  <si>
    <t>Mejoramiento a la Dotacion y compra de suministros de las ESE de baja  mediana y alta complejidad</t>
  </si>
  <si>
    <t>Mejoramiento de la infraestructura de las ESE de baja  mediana y alta complejidad</t>
  </si>
  <si>
    <t>Talento humano</t>
  </si>
  <si>
    <t>BRIGADAS DE SALUD</t>
  </si>
  <si>
    <t>TRANSPORTE  DE PACIENTES</t>
  </si>
  <si>
    <t>ATENCION DE URGENCIAS EMERGENCIAS Y DESASTRES</t>
  </si>
  <si>
    <t>APOYO HUMANITARIO</t>
  </si>
  <si>
    <t>Vigilancia a los Tribunales de etica medica y odontologica</t>
  </si>
  <si>
    <t xml:space="preserve"> NumeroTribunales de etica vigilados </t>
  </si>
  <si>
    <t xml:space="preserve">Realizar acciones de Inspección, Vigilancia y Control,Verificación, a los prestadores de servicios de salud del departamento en el cumplimiento de las condiciones y del desarrollo del Sistema Obligatorio de Garantía de la Calidad y las competencias asignadas por ley 715.  </t>
  </si>
  <si>
    <t>Prestador verificado e Inspeccionado</t>
  </si>
  <si>
    <t>Gestión - talento humano + viaticos y transporte</t>
  </si>
  <si>
    <t>Realizar accciones para garantizar la inscripcion y reporte de novedades de los prestadores de servicios de salud</t>
  </si>
  <si>
    <t>Prestador inscrito</t>
  </si>
  <si>
    <t>Realizar acciones para garantizar la inscripcion y registros del recurso humano en salud</t>
  </si>
  <si>
    <t>Personal en salud Inscrito y Registrado</t>
  </si>
  <si>
    <t>Realizar acciones para garantizar el tramite y Gestion de Quejas</t>
  </si>
  <si>
    <t>Quejas gestionadas</t>
  </si>
  <si>
    <t>Realizar acciones para garantizar la inscripcion de lo PSS que se encuentran inactivos en el registro especial de prestadores de Servicios de Salud</t>
  </si>
  <si>
    <t>Realizar acciones de asesoria a los prestadores de servicios de salud en la implementacion del programa de seguridad del paciente</t>
  </si>
  <si>
    <t>Prestador Asesorado</t>
  </si>
  <si>
    <t>Realizar Acciones para la Consolidacion y Analisis del comportamiento de los indicadores del sistema de informacion para la calidad del departamento y definir estraegias para mejorar los mismos</t>
  </si>
  <si>
    <t>Cuadro de Mando de Indicadores</t>
  </si>
  <si>
    <t>142.5</t>
  </si>
  <si>
    <t>No se va hacer, se hace el proximo año</t>
  </si>
  <si>
    <t>Realizar Acciones para garantizar la realizacion de los procesos admnistrativos sancionatorios que se derivan de las acciones de inspeccion y vigilancia realizadas por competencias</t>
  </si>
  <si>
    <t>Procesos  administrativos iniciados</t>
  </si>
  <si>
    <t>Realizar acciones de Asesoria, Asistencia Tecnica, Inspeccion y Vigilancia a los prestadores de servicios de salud en el desarrollo del Programa de Auditoría para el Mejoramiento de la Calidad y Sistema de Información para la Calidad.</t>
  </si>
  <si>
    <t xml:space="preserve">Prestadores inspeccionados y/o vigilados </t>
  </si>
  <si>
    <t>Realizar acciones de asesoria y asistencia técnica en la  implementacion del programa de auditoria para el mejoramiento de la calidad de la atencion en salud con con estandares de acreditación a  las ESE  del departamento.</t>
  </si>
  <si>
    <t xml:space="preserve">ESE asesorada </t>
  </si>
  <si>
    <t>Gestión del proyecto (Talento Humano)</t>
  </si>
  <si>
    <t>Tramitar y dar respuesta, a través del CRUE, a la solicitud de  referencia y contrarreferencia de pacientes urgertes y electivos</t>
  </si>
  <si>
    <r>
      <t xml:space="preserve">Tramitar y dar respuesta, a través del CRUE, a la solicitud de  referencia y contrarreferencia de pacientes </t>
    </r>
    <r>
      <rPr>
        <b/>
        <sz val="8"/>
        <rFont val="Arial"/>
        <family val="2"/>
      </rPr>
      <t>desplazados por la violencia,</t>
    </r>
    <r>
      <rPr>
        <sz val="8"/>
        <rFont val="Arial"/>
        <family val="2"/>
      </rPr>
      <t xml:space="preserve"> urgertes y electivos</t>
    </r>
  </si>
  <si>
    <t>Coordinar la atención de las emergencias y desastres en el Departamento y el transporte en salud</t>
  </si>
  <si>
    <t>Brindar  información y orientación al usuario y  la comunidad, directa y telefónicamente</t>
  </si>
  <si>
    <r>
      <t>Brindar  información y orientación al usuario y  la comunidad</t>
    </r>
    <r>
      <rPr>
        <b/>
        <sz val="8"/>
        <rFont val="Arial"/>
        <family val="2"/>
      </rPr>
      <t xml:space="preserve"> desplazada por la violencia</t>
    </r>
    <r>
      <rPr>
        <sz val="8"/>
        <rFont val="Arial"/>
        <family val="2"/>
      </rPr>
      <t>, directa y telefónicamente</t>
    </r>
  </si>
  <si>
    <t>Brindar  información y orientación al usuario y  la comunidad desplazada por la violencia, directa y telefónicamente</t>
  </si>
  <si>
    <t>Gestionar el fortalecimiento del Centro Regulador de Urgencias, Emergencias y Desastres -CRUE- Departamental</t>
  </si>
  <si>
    <t>Gestión  operativa de la donación y trasplante de organos y tejidos de la red regional 2 de donacion y trasplantes</t>
  </si>
  <si>
    <t>Organizar y coordinar la red  departamental de comunicaciones en salud</t>
  </si>
  <si>
    <t>Asesoría y Asistecia Técnica realizadas a diferentes actores del SGSSS  en E y D, R y CR</t>
  </si>
  <si>
    <t>Fortalecimiento Institucional</t>
  </si>
  <si>
    <t>Gestionar el mantenimiento preventivo y curativo de equipos y otros elementos del CRUE</t>
  </si>
  <si>
    <t xml:space="preserve"> Infraestructura de laESE de alta complejidad.</t>
  </si>
  <si>
    <t xml:space="preserve">Unidad </t>
  </si>
  <si>
    <t>Dotación de la ESE de  alta complejidad.</t>
  </si>
  <si>
    <t>Gestión del recurso Humano</t>
  </si>
  <si>
    <t>Nùmero</t>
  </si>
  <si>
    <t>Asesoría y Asistencia Técnica a los actores del SGSSS para difundir los derechos en salud de las víctimas y el conocimiento de los autos 251, 004, 005, auto discapacidad.</t>
  </si>
  <si>
    <t>Material educativo IEC</t>
  </si>
  <si>
    <t>Concertar la participación de las víctimas de grupos étnicos afectados por el conflicto armado, reparación integral en salud. Resolución 4493.</t>
  </si>
  <si>
    <t>Seguimiento a los autos de la corte constitucional para la protección de víctimas del conflicto armado</t>
  </si>
  <si>
    <t>Inspeccionar, vigilar, controlar, asesorar y promocionar la Gestión Interna Residuos Hospitalarios y Similares en Establecimientos Generadores.</t>
  </si>
  <si>
    <t>Verificación gestion interna de residuos hospitalarios y similares en establecimientos generadores</t>
  </si>
  <si>
    <t>Control residuos de riesgo biologico y/o productos de decomiso</t>
  </si>
  <si>
    <t>kilos</t>
  </si>
  <si>
    <t>Promocion sobre el manejo y disposición de residuos hospitalarios y similares</t>
  </si>
  <si>
    <t>numero de municipios</t>
  </si>
  <si>
    <t>RECURSO HUMANO</t>
  </si>
  <si>
    <t>vacunacion de caninos y felinos  (compra de biologicos, insumos, cadena de frio, Vigilancia activas, transporte)</t>
  </si>
  <si>
    <t>Numero Animales Vacunados</t>
  </si>
  <si>
    <t>Control Natal , esterilizacion de caninos y felinos</t>
  </si>
  <si>
    <t>Numero Municipios Atendidos</t>
  </si>
  <si>
    <t>Ajustada por la actividad de la fila 138</t>
  </si>
  <si>
    <t>Intervencion de eventos zoonoticos especiales  y de interes en salud publica, asesoria y asistencia tecnica.</t>
  </si>
  <si>
    <t xml:space="preserve">Numero </t>
  </si>
  <si>
    <t>Control Natal , esterilizacion de caninos y felinos : Compra de vehículo, adecuación dotación y operación unidad móvil veterinaria</t>
  </si>
  <si>
    <t xml:space="preserve">Gestion del Proyecto </t>
  </si>
  <si>
    <t>Fumigacion para malaria, dengue y leishmaniasis, promoción de la salud e intervenciòn de criaderos</t>
  </si>
  <si>
    <t xml:space="preserve">Numero vivienda intervenida   </t>
  </si>
  <si>
    <t>Fumigacion para malaria, dengue y leishmaniasis, promoción de la salud, medidas de barrera e intervenciòn de criaderos</t>
  </si>
  <si>
    <t>Protecciòn de camas con toldillos de larga duraciòn</t>
  </si>
  <si>
    <t xml:space="preserve"> Numero Cama protegida</t>
  </si>
  <si>
    <t>Compra insumos</t>
  </si>
  <si>
    <t xml:space="preserve"> Numero Compra</t>
  </si>
  <si>
    <t>Gestión proyecto</t>
  </si>
  <si>
    <t>Levantar la linea de base en salud mental-situacion y perfil epidemiologico de Salud mental</t>
  </si>
  <si>
    <t>se cambia redaccion
Levantar la linea de base en salud mental-situacion y perfil epidemiologico de Salud mental</t>
  </si>
  <si>
    <t>Asesoraria  y Asistir tecnicamenteAAT a los municipios para generar capacidad instalada en estrategias de promocion de la salud mental y prevencion de sustancias psicoactivas</t>
  </si>
  <si>
    <r>
      <rPr>
        <b/>
        <sz val="10"/>
        <rFont val="Calibri"/>
        <family val="2"/>
        <scheme val="minor"/>
      </rPr>
      <t>Se fusionaron</t>
    </r>
    <r>
      <rPr>
        <sz val="10"/>
        <rFont val="Calibri"/>
        <family val="2"/>
        <scheme val="minor"/>
      </rPr>
      <t xml:space="preserve"> las siguientes  actividades :
Asesorìa y asistencia tècnica AAT a los actores del sistema de proteccion social en las rutas de atencion a l</t>
    </r>
    <r>
      <rPr>
        <b/>
        <sz val="10"/>
        <rFont val="Calibri"/>
        <family val="2"/>
        <scheme val="minor"/>
      </rPr>
      <t xml:space="preserve">a vif </t>
    </r>
    <r>
      <rPr>
        <sz val="10"/>
        <rFont val="Calibri"/>
        <family val="2"/>
        <scheme val="minor"/>
      </rPr>
      <t>segun competencia y sector.
Realizar la asesorìa y asistencia tecnica AAT  de las  acciones de promocion del trato digno y la implementacion del modelo de intervencion integral en casos de a</t>
    </r>
    <r>
      <rPr>
        <b/>
        <sz val="10"/>
        <rFont val="Calibri"/>
        <family val="2"/>
        <scheme val="minor"/>
      </rPr>
      <t>buso sexual.</t>
    </r>
    <r>
      <rPr>
        <sz val="10"/>
        <rFont val="Calibri"/>
        <family val="2"/>
        <scheme val="minor"/>
      </rPr>
      <t xml:space="preserve">
Asesorìa y asistencia tecnica AAT en elementos </t>
    </r>
    <r>
      <rPr>
        <b/>
        <sz val="10"/>
        <rFont val="Calibri"/>
        <family val="2"/>
        <scheme val="minor"/>
      </rPr>
      <t xml:space="preserve">normativos de la vif </t>
    </r>
    <r>
      <rPr>
        <sz val="10"/>
        <rFont val="Calibri"/>
        <family val="2"/>
        <scheme val="minor"/>
      </rPr>
      <t>a los actores institucionales segun competencia y sector.
Asesorìa y asistencia tecnica AAT a los actores institucionales y sectores del sistema de proteccion social de los municipios de Antioquia en acciones de promocion, prevencion, vigilancia epidemiologica y atencion a la</t>
    </r>
    <r>
      <rPr>
        <b/>
        <sz val="10"/>
        <rFont val="Calibri"/>
        <family val="2"/>
        <scheme val="minor"/>
      </rPr>
      <t xml:space="preserve"> conducta suicida</t>
    </r>
    <r>
      <rPr>
        <sz val="10"/>
        <rFont val="Calibri"/>
        <family val="2"/>
        <scheme val="minor"/>
      </rPr>
      <t xml:space="preserve"> según competencia y sector.
Asesorìa y asistencia tecnica  AAT a los actores del sistema de proteccion social en las</t>
    </r>
    <r>
      <rPr>
        <b/>
        <sz val="10"/>
        <rFont val="Calibri"/>
        <family val="2"/>
        <scheme val="minor"/>
      </rPr>
      <t xml:space="preserve"> rutas de atencion a la vif</t>
    </r>
    <r>
      <rPr>
        <sz val="10"/>
        <rFont val="Calibri"/>
        <family val="2"/>
        <scheme val="minor"/>
      </rPr>
      <t xml:space="preserve"> segun competencia y sector.
Asesorìa y asistencia  AAT al personal psicosocial y medico/paramedico para deteccion y abordaje de la </t>
    </r>
    <r>
      <rPr>
        <b/>
        <sz val="10"/>
        <rFont val="Calibri"/>
        <family val="2"/>
        <scheme val="minor"/>
      </rPr>
      <t>conducta suicida</t>
    </r>
    <r>
      <rPr>
        <sz val="10"/>
        <rFont val="Calibri"/>
        <family val="2"/>
        <scheme val="minor"/>
      </rPr>
      <t xml:space="preserve"> y los diferentes trastornos mentales y del comportamiento
</t>
    </r>
  </si>
  <si>
    <t xml:space="preserve">Asesoraria y asistir tècnicamente AAT en las estrategias de: Habilidades para la vida, Instituciones educativas y espacios libres de humo de tabaco, Pactos por la vida, Saber beber es saber vivir, centros de escucha </t>
  </si>
  <si>
    <t>Gestion del conocimiento en el tema de SPA para el abordaje del tema, eventos academicos y de formacion.</t>
  </si>
  <si>
    <t>167.5</t>
  </si>
  <si>
    <t>Elaboracion del  mapa de riesgo municipal con el fin de evaluar y realizar monitoreo a las acciones realizadas.</t>
  </si>
  <si>
    <t>Asesorìa y asistencia tècnica AAT a los actores del sistema de proteccion social en las rutas de atencion a la vif segun competencia y sector</t>
  </si>
  <si>
    <t>Realizar la asesorìa y asistencia tecnica AAT  de las  acciones de promocion del trato digno y la implementacion del modelo de intervencion integral en casos de abuso sexual</t>
  </si>
  <si>
    <t>Asesorìa y asistencia tecnica AAT en elementos normativos de la vif a los actores institucionales segun competencia y sector</t>
  </si>
  <si>
    <t>Asesorìa y asistencia tecnica AAT a los actores institucionales y sectores del sistema de proteccion social de los municipios de Antioquia en acciones de promocion, prevencion, vigilancia epidemiologica y atencion a la conducta suicida según competencia y sector.</t>
  </si>
  <si>
    <t>Asesorìa y asistencia tecnica  AAT a los actores del sistema de proteccion social en las rutas de atencion a la vif segun competencia y sector</t>
  </si>
  <si>
    <t>Asesorìa y asistencia  AAT al personal psicosocial y medico/paramedico para deteccion y abordaje de la conducta suicida y los diferentes trastornos mentales y del comportamiento</t>
  </si>
  <si>
    <t>Gestionar la cofinanaciacion de los Municipios de acuerdo a la priorizacion de la corte constitucional para la poblacion en condicion de desplazamiento y / o Problemática de salud menta.</t>
  </si>
  <si>
    <t xml:space="preserve"> Asesorìa y asistencia a las direcciones locales de salud para implementar acciones de promocion, prevencion, vigilancia y seguimiento a los eventos de interes en  salud mental.</t>
  </si>
  <si>
    <r>
      <rPr>
        <b/>
        <sz val="10"/>
        <rFont val="Calibri"/>
        <family val="2"/>
        <scheme val="minor"/>
      </rPr>
      <t xml:space="preserve">se cambia redaccion
</t>
    </r>
    <r>
      <rPr>
        <sz val="10"/>
        <rFont val="Calibri"/>
        <family val="2"/>
        <scheme val="minor"/>
      </rPr>
      <t xml:space="preserve"> Asesorìa y asistencia a las direcciones locales de salud para implementar acciones de promocion, prevencion, vigilancia y seguimiento a los eventos de interes en  salud mental 
</t>
    </r>
  </si>
  <si>
    <t>Actualizar la situación de salud mental en el departamento</t>
  </si>
  <si>
    <t>Seguimiento al componente de salud mental en los planes de intervenciones colectivas municipales</t>
  </si>
  <si>
    <t>Asesoría y asistecncia técnica a los actores del sistema de protección social en las rutas de atención  a la violencia intrafamiliar, violencia sexual y conducta suicida, según competencia y sector</t>
  </si>
  <si>
    <t>Adaptar la Politica Nacional de Salud Mental en concordancia con los lineamientos Nacionales ( Ley 1616 de  2013 y Plan decenal resolucion 1843 de 23013)</t>
  </si>
  <si>
    <r>
      <t xml:space="preserve">Conformacion de redes de apoyo Municipales en el marco de Atencion Primaria en salud ,Grupos funcionles en salud mental  - </t>
    </r>
    <r>
      <rPr>
        <sz val="8"/>
        <rFont val="Arial"/>
        <family val="2"/>
      </rPr>
      <t>conformacion de los comites.</t>
    </r>
  </si>
  <si>
    <t>Asesoría y Asistencia Técnica en    la Política Nacional para la Reducción del Consumo de Sustancias en el  Modelo de Atención Primaria en Salud:
Conceptos básicos en farmacodependencia
 Normatividad vigente
Rutas de acceso)
 Línea de acción Instituciones Educativas  Libres de Humo.
Pactos por la Vida
Realización de evento académico en pro de la gestión del conocimiento, frente a la promoción y prevención del consumo de sustancia de sustancias psicoactivas.
Implementacion de las estrategias de: Habilidades para la vida, Instituciones educativas y espacios libres de humo de tabaco, Pactos por la vida, Saber beber es saber vivir.Politica Nal</t>
  </si>
  <si>
    <t>Asesoria y Asistencia técnica para la construcción de PLANES MUNICIPALES  de reducción del consumo de sustancias psicoactivas :Factores protectores, promoción de la salud mental.</t>
  </si>
  <si>
    <t>Concurrencia a los municipios para la atención psicosocial a la población victima del desplazamiento en en cumplimiento a los autos de la corte, Sentencia T 025 mediante los AUTOS 251 y 092.</t>
  </si>
  <si>
    <t xml:space="preserve">Instituciones Educativas de los municipios priorizados 2013 recibiendo asesoría y asistencia técnica para el apoyo a la implementación de la EES.              </t>
  </si>
  <si>
    <t>Municipios con concurrencia para implementar las estrategias de promoción de la salud en el marco de la Estrategia Escuela Saludable.</t>
  </si>
  <si>
    <t>Encuentros Subregionales de Actualización y Seguimiento a la Estrategia Escuela Saludable</t>
  </si>
  <si>
    <t>Concurrencia a municipios para la ejecución de acciones, promoción, prevención en salud pública en las comunidades educativas en la implementación de la estrategia escuela saludable</t>
  </si>
  <si>
    <t>Encuentros subregionales para asesoría en la articulación interinstitucional en el marco de la estrategia EES</t>
  </si>
  <si>
    <t>Recurso Humano responsable de la Gestión del Proyecto Escuela Saludable 2012-2015</t>
  </si>
  <si>
    <t>Recurso Humano Apoyo Logístico (Auxiliar Administrativo)</t>
  </si>
  <si>
    <t>Vigilancia Epidemiológica de los eventos de interés en Salud Pública</t>
  </si>
  <si>
    <t>Replanteada por la actividad formulada en la fila  177.</t>
  </si>
  <si>
    <t>Asesoria y asistencia tecnica a los actores en el manejo de las guías de atención de las ECNT</t>
  </si>
  <si>
    <t>Seguimiento a los actores del SGSSS al cumplimiento de las normas técnicas según su competencia</t>
  </si>
  <si>
    <t xml:space="preserve">Gestionar la conformación de redes sociales de apoyo para las ECNT </t>
  </si>
  <si>
    <t>Conformar y poner en marcha el concejo departamental de cáncer infantil</t>
  </si>
  <si>
    <t>Fortalecer el sistema de información con la consolidación base de datos del Registro Poblacional de Cáncer de Antioquia</t>
  </si>
  <si>
    <t>Campaña para fortalecer estilos de vida saludables e identificación temprana de riesgos</t>
  </si>
  <si>
    <t>Serie "Aprendí a Quererme"</t>
  </si>
  <si>
    <t>Recursos destinados para contratar con Indeportes "Por su Salud Muévase Pues"</t>
  </si>
  <si>
    <t>Vigilancia y Control</t>
  </si>
  <si>
    <t>Replanteada por la actividad que esta en la fila 176</t>
  </si>
  <si>
    <t>Vigilancia Epidemiológica</t>
  </si>
  <si>
    <t>Promover estrategias de IEC</t>
  </si>
  <si>
    <t>Replanteada por la actividad que esta en la fila 182 y 183</t>
  </si>
  <si>
    <t>Promocionar, aplicar  las estrategias de APS,EES Y CARMEN (conjunto de acciones para la reduccion multifactorial de las enfermedades cronicas).</t>
  </si>
  <si>
    <t>Replanteada por la actividad que esta en la fila  184</t>
  </si>
  <si>
    <t>Gestion del conocimiento(Investigaciones y registro poblacional de cancer)</t>
  </si>
  <si>
    <t xml:space="preserve">Número  </t>
  </si>
  <si>
    <t>Replanteada por la actividad que esta en la fila  176</t>
  </si>
  <si>
    <t>Aplicación de la estrategia de actividad fisica</t>
  </si>
  <si>
    <t>TALENTO HUMANO</t>
  </si>
  <si>
    <t>Gestión del proyecto.</t>
  </si>
  <si>
    <t>Desarrollo de las acciones  de promoción de salud bucal a traves de las estrategias de  APSR y escuelas saludables en la poblacion escolarizada    en basica primaria</t>
  </si>
  <si>
    <t xml:space="preserve">Estaba programado para cofinanciación desde el proyecto de salud bucal, pero por directriz de la Gerencia de salud pública  se decidio pasar los recursos directamente a Atención Primaria en Salud y desde alli se cofinancia el recurso humano para salud  bucal como son las higienistas Orales. Dentro de esta actividad tambien están contempladas las Asesorias y asistencias técnicas y se dieron a través de talleres regionales a 107 municipios. </t>
  </si>
  <si>
    <t xml:space="preserve">Visita seguimiento a las acciones de  promoción de la salud bucal  realizados  a través de estrategias de escuelas saludables y APSR  y  a las acciones de Proteccion Especifica y detección Temprana de la Res 412 de 2000 en las ESE-Hospitales. </t>
  </si>
  <si>
    <t xml:space="preserve">Taller  de seguimiento a  la implementación del sistema de vigilancia del riesgo de la fluorosis dental  dirigido  a los odontólogos de las 12 UPGD centinelas  </t>
  </si>
  <si>
    <t>Numero ESE 
de las
 subregiones</t>
  </si>
  <si>
    <t xml:space="preserve">Nunca se programaron 8 sino 1 . </t>
  </si>
  <si>
    <t>Seguimiento, análisis y evaluación del sistema de vigilancia  de la fluorosis dental. en las 12 UPGD</t>
  </si>
  <si>
    <t>Seguimiento  a los planes de mejoramiento  a las acciones de protección especifica en salud bucal  en las 23 EPS .de los regimenes contributivo y subsidiado</t>
  </si>
  <si>
    <t xml:space="preserve">numero EPS
</t>
  </si>
  <si>
    <t>Diseño, elaboración y ejecución de estrategias IEC</t>
  </si>
  <si>
    <t>GESTION DEL TALENTO HUMANO</t>
  </si>
  <si>
    <t>Inspeccion,vigilancia y control a embaraciones maritimas,fluvialesy de pescadores,terminales terrestres y aereas,emision de certificados de exencion de control a bordo y comité local y secccional de sanidad portuaria</t>
  </si>
  <si>
    <t>Número de acciones de IVC</t>
  </si>
  <si>
    <t>A la fecha no se cuenta con técnico para hacer inspección, vigilancia y control a embarcaciones fluviales y pescadores.</t>
  </si>
  <si>
    <t xml:space="preserve">Inspeccion,vigilancia y control a embaraciones maritimas,fluvialesy de pescadores, emision de certificados de exencion de control a bordo y comité local Turbo </t>
  </si>
  <si>
    <t>Muebles de oficina inspectores portuarios, técnicos sanidad portuaria y laboratorio de agua</t>
  </si>
  <si>
    <t xml:space="preserve">Vigilancia aguas residuales caños de Caucasia y Puerto Berrio </t>
  </si>
  <si>
    <t>Dotación de insumos para la atención de emergencias de eventos de salud pública</t>
  </si>
  <si>
    <t>Apoyo logistico para desarrollo e intervencion de eventos de salud publica (simulacros)</t>
  </si>
  <si>
    <t>Impresión-reproducción del RSI, anexo 2 del RSI, guia práctica de bolsillo, protocolos de salud pública</t>
  </si>
  <si>
    <t>Transporte para inspectores portuarios Turbo</t>
  </si>
  <si>
    <t>Complemento campañas promoción influenza</t>
  </si>
  <si>
    <t>Desarrollo de acciones de prevención y promoción a traves de la información, educación y comunicación. Puntos de Entrada Internacional y regionales</t>
  </si>
  <si>
    <t xml:space="preserve">Vigilancia aguas residuales caño de turbo, Caucasia y Puerto Berrio y de aguas de lastre en embarcaciones maritimas para la deteccion del vibrio colera </t>
  </si>
  <si>
    <t>Número DE MUESTRAS</t>
  </si>
  <si>
    <t>Se modifico por la actividad que esta planteada en la fila 202, ya  que vigilancia de las  aguas de lastre no tienen ningun costo para el Subproyecto</t>
  </si>
  <si>
    <t>Asesoria y asistencia tecnica en RSI-2005,planes de contingencia, seguimiento a alertas y eventos, creacion ERI,actualizacionde protocolos y reunion articulacion CRUE-ERI-DAGRED-CTGRD</t>
  </si>
  <si>
    <t>NUMERO DE ERI (Equipos de respuesta inmediata) CONFORMADOS</t>
  </si>
  <si>
    <t>se modifico por la actividad que se planteo en la fila 203</t>
  </si>
  <si>
    <t>Apoyo logistico para desarrollo e intervencion de eventos de salud publica y desarrollo de capacidades basicas (simulacros</t>
  </si>
  <si>
    <t>se saco del POAI por carecer de capacidades básica para desarrollar un simulacro.</t>
  </si>
  <si>
    <t>Desarrollo de acciones de prevencion promocion a traves de la informacion, educacion y comunicación</t>
  </si>
  <si>
    <t xml:space="preserve">Número Campaña realizada   </t>
  </si>
  <si>
    <t>Se modifico por la actividad de la fila 208</t>
  </si>
  <si>
    <t>apoyo logistico a las actividades de inspeccion,vigilancia y control (arriendo oficina TAS Turbo)</t>
  </si>
  <si>
    <t>Se modifico por la actividad planteada en la fila 202</t>
  </si>
  <si>
    <t>Realización de visitas de Inspección, Vigilancia  y Control al regimen subsidiado y contributivo.</t>
  </si>
  <si>
    <t>Número de visitas</t>
  </si>
  <si>
    <t>Realización de visitas de Inspección, Vigilancia  y Control a la gestión del Plan de intervenciones colectivas a nivel municipal</t>
  </si>
  <si>
    <t>Comité de vigilancia Epidemiológica Departamental</t>
  </si>
  <si>
    <t>Boletín Información para la acción publicados</t>
  </si>
  <si>
    <t>Revista de  Salud Pública Departamental Publicada</t>
  </si>
  <si>
    <t>EL proyecto no tenia recursos para esta actividad.</t>
  </si>
  <si>
    <t>Apoyo logistico investigación en brotes</t>
  </si>
  <si>
    <t>El número 125 hace referencia a los municipios del Dpartamento, y el 12  a los meses del año; pues en cualquier parte en cualquier momento se puede presentar un brote que se debe atender.</t>
  </si>
  <si>
    <t>Gestión de la información en Salud Pública (recopilación, validación, análisis de datos), retroalimentación a los generadores de datos.</t>
  </si>
  <si>
    <t>Unidades de analisis realizadas</t>
  </si>
  <si>
    <t xml:space="preserve">En el año 2012 no se realizaron unidades de analisis porque se requirió enfatizar la capactiación en los  cambios del protocolo de VIF y S. </t>
  </si>
  <si>
    <t>Calculo de la proporción de UPGD que notifican oportunamente</t>
  </si>
  <si>
    <t>Porcentaje UPGD</t>
  </si>
  <si>
    <t>Se excluyo del proyecto por que es un actividad de los municipios nuestar es solo consolidar la información y enviarla a nivel Nacional</t>
  </si>
  <si>
    <t>Calculo de la proporción de municipios que notifican oportunamente</t>
  </si>
  <si>
    <t>Registro Poblacional del cancer</t>
  </si>
  <si>
    <t>Se excluyo, ya que esta se encuentra en el Proyecto de Cronicas.</t>
  </si>
  <si>
    <t>Arrendamiento de la sede Gerencia de Salud Publica</t>
  </si>
  <si>
    <t>talento Humano 
8</t>
  </si>
  <si>
    <t>Corresponde al talento humano del subproyecto</t>
  </si>
  <si>
    <t xml:space="preserve">Gestion del proyecto Talento humano  INSPECCIÓN,VIGILANCIA Y CONTROL  </t>
  </si>
  <si>
    <t>Vigilancia sanitaria de la calidad de los medicamentos</t>
  </si>
  <si>
    <t>numero de visitas</t>
  </si>
  <si>
    <t>Se han fortalecido los grupos de trabajo, obteniendo mayor cobertura</t>
  </si>
  <si>
    <t>Suministro de medicamenmtos monopolio del estado y recetarios oficiales a traves del fondo rotatorio de estupefacientes</t>
  </si>
  <si>
    <t>numero de despachos</t>
  </si>
  <si>
    <t>asesoria y asistencia tecnica para el manejo de medicamentos</t>
  </si>
  <si>
    <t xml:space="preserve">numero de personas asesoradas </t>
  </si>
  <si>
    <t>vigilancia de eventos adversos en insumos medicos y farmacologicos</t>
  </si>
  <si>
    <t xml:space="preserve">numero de eventos </t>
  </si>
  <si>
    <t>fomento de estilos de vida saludables. Manejo adecuado de medicamentos</t>
  </si>
  <si>
    <t>numero de campañas</t>
  </si>
  <si>
    <t>En proceso de ejecución con 30% de avance</t>
  </si>
  <si>
    <t>Control de calidad de medicamentos y afines</t>
  </si>
  <si>
    <t xml:space="preserve">Numero de Muestras </t>
  </si>
  <si>
    <t>Entrega de preservativos para la prevención de ITS, embarazos no deseados.</t>
  </si>
  <si>
    <t>Número preservativos</t>
  </si>
  <si>
    <t>Esta en proceso para la compra y posterior distribución.</t>
  </si>
  <si>
    <t>Asesoria y asistencia técnica a los actores del SGSSS (DLS, ESE, IPS, EPS)</t>
  </si>
  <si>
    <t>Número minicipios.</t>
  </si>
  <si>
    <t>Fortalecer el funcionamiento del sistema de vigilancia de la salud pública en los aspectos relacionados con la salud sexual y reproductiva</t>
  </si>
  <si>
    <t xml:space="preserve">Número . </t>
  </si>
  <si>
    <t>Plan de comunicaciones, actividades de información, educación y comunicación del rpoyecto relacionado con la política nacional de SSR para los municipios de Antioquia</t>
  </si>
  <si>
    <t>Vigilar las DLS y EPS en cumplimiento de las competencias de vigilancia a las acciones de detección temprana y protección específica</t>
  </si>
  <si>
    <t>Fortalecimiento de redes</t>
  </si>
  <si>
    <t>Asesoría y Asistencia Técnica en la implementación del modelo de servicios amigables</t>
  </si>
  <si>
    <t>Abogacía con empresas administradoras de riesgos laborales para el mejoramiento de las condciciones de desempeño de las gestantes en las empresas afiliadas a ellas</t>
  </si>
  <si>
    <t>Seguimiento a la inclusión e implementación de estrategias con la población LGTBI</t>
  </si>
  <si>
    <t xml:space="preserve">Gestion proyecto SSR-Recurso Humano </t>
  </si>
  <si>
    <t>Numero de Meses de gestión administrativa</t>
  </si>
  <si>
    <t>Asesoria y Asistencia Técnica a la Red de Laboratorios del Departamento</t>
  </si>
  <si>
    <t>Diagnóstico, Notificación e Investigación de Eventos de Interés en Salud Pública</t>
  </si>
  <si>
    <t>Número DE PRUEBAS REALIZADAS</t>
  </si>
  <si>
    <t>Control de Calidad de Eventos de Interés en Salud Pública</t>
  </si>
  <si>
    <t>Gestión Financiera y Administrativa del Laboratorio Departamental de Salud Pública</t>
  </si>
  <si>
    <t>Gestión para la construcción y dotación del nuevo laboratorio (Gestión).</t>
  </si>
  <si>
    <t>Talento Humano</t>
  </si>
  <si>
    <t>Número funcionarios</t>
  </si>
  <si>
    <t>Realizar Asesoría y asistencia tecnica a los actores del SGSSS para fortalecer la asunción de competencias y responsabilidades en el PAI, Tuberculosis y Lepra. (incluye talento humano del subproyecto)</t>
  </si>
  <si>
    <t>Realizar acciones de vigilancia de la salud pública en los aspectos relacionados con los Planes de erradicación, eliminación y control de enfermedades inmunoprevenibles del PAI, Tuberculosis y Lepra.</t>
  </si>
  <si>
    <t>Gestionar los insumos priorizados para cumplir con las normas técnico administrativas relacionadas con la atención de inmunoprevenibles del PAI, Tuberculosis y lepra.</t>
  </si>
  <si>
    <t>Gestion del Subproyecto Fortalecimiento del Programa Ampliado de Inmunizaciones en los componentes de vacunación, vigilancia epidemiológica de inmunoprevenibles, tuberculosis y lepra,  Departamento de Antioquia. (Talento humano)</t>
  </si>
  <si>
    <t xml:space="preserve">Municipios y sus ESEs, IPSs, aseguradoras y gobiernos étnicos; asesorados y asistidos tecnicamente  para el desarrollo de la estrategia APS </t>
  </si>
  <si>
    <t>Apoyo a los municipios por medio de cofinanciación para la implementación, desarrollo y/o consolidación de la estrategia de APS.</t>
  </si>
  <si>
    <t>Municipios apoyados para la implementaciòn, desarrollo y/o consolidación de la estrategia de APS.</t>
  </si>
  <si>
    <t xml:space="preserve"> </t>
  </si>
  <si>
    <t>Reemplazada por la actividad anterior</t>
  </si>
  <si>
    <t>Cofinanciar laproducción audiovisual "Aprendí a quererme"</t>
  </si>
  <si>
    <t>Componente "educación para la salud" desarrollado con diseño y Reproducción de material educativo</t>
  </si>
  <si>
    <t>Encuentos subregionales APS.</t>
  </si>
  <si>
    <t xml:space="preserve">Sistema de información de APS SIMAPS versiòn 2 implementado y avances en la construcción con enfoque diferencial.  </t>
  </si>
  <si>
    <t>Cualificar talento humano para el fortalecimiento de la estrategia APS - Salud Contigo</t>
  </si>
  <si>
    <t>Actualización talento humano para el fortalecimiento de la estrategia APS - Salud Contigo</t>
  </si>
  <si>
    <t>Gestión del proyecto</t>
  </si>
  <si>
    <t xml:space="preserve">Gestión del Proyecto (162 Técnicos Area Salud, 13 Profesionales Universitarios, 1 Auxiliar Administrativa y gastos de viaje y viáticos de todos los funcionarios)              </t>
  </si>
  <si>
    <t>Esta actividad corresponde al talento Humano del Proyecto</t>
  </si>
  <si>
    <t xml:space="preserve">Inspeccion, vigilancia y control de Establecimientos en los muncipios categorías 4, 5 y 6   </t>
  </si>
  <si>
    <t>Esta actividad no aplica para POAI 2013</t>
  </si>
  <si>
    <t>Gestion de insumos  ( actas de visita, transporte de muestras, alquiler de equipos y oficina, paquete de datos, elementos de oficina , compra de equipos (computadores, dispositivos móviles, impresoras, fax, entre otros), reactivos y dotacion personal para el dllo de las actividades. )</t>
  </si>
  <si>
    <t xml:space="preserve">NUMERO </t>
  </si>
  <si>
    <t>Estaba relacionada en el rubro de talento humano12851090 y se pasa para el 12851001</t>
  </si>
  <si>
    <t>Formulación y ejecución de Planes de Salud Ambiental</t>
  </si>
  <si>
    <t>Actividades permanentes, plan actualmente en ejecución</t>
  </si>
  <si>
    <t>Asesorías y Asistencias Técnicas y apoyo a capacitaciones para Técnicos Área Salud y comunidad</t>
  </si>
  <si>
    <t>ASESORIA Y ASISTENCIA TECNICA, IVC  Y GESTION DEL CONOCIMIENTO.</t>
  </si>
  <si>
    <t>Los anteriores dias incluye desde la preparacion del personal hasta la inmplementacion del subsistema de IAAS</t>
  </si>
  <si>
    <t>Promoción de las Condiciones Sanitarias del Agua</t>
  </si>
  <si>
    <t>Programada para el segundo semestre</t>
  </si>
  <si>
    <t>Asesoria y Asistencia Técnica a los Tecnicos de Area de Salud en el proceso de Vigilancia de Agua de Consumo Humano  uso recreativo</t>
  </si>
  <si>
    <t>Numero de tecnicos asistidos</t>
  </si>
  <si>
    <t xml:space="preserve">Análisis de de la Calidad del Agua de Consumo Humano  de Acueductos Rurales  ( compra de insumos y equipos ) </t>
  </si>
  <si>
    <t>Numero de Muestras analizadas microbiologicamente (Coliformes Tatles y Fecales) y Fisicoquimicamente (Ph y Cloro)</t>
  </si>
  <si>
    <t xml:space="preserve">Análisis de de la Calidad del Agua de las  Piscinas de Uso Colectivo </t>
  </si>
  <si>
    <t>Numero de Pruebas Microbiologicas, Fisicioquimicas Básicas y Fisicoquímicas Adicionales.</t>
  </si>
  <si>
    <t>Análisis de Calidad del Agua de Consumo Humano Acueductos Urbanos</t>
  </si>
  <si>
    <t>Visitas de Inspeccion Sanitaria a los sistemas de Acueductos Urbanos y Rurales.</t>
  </si>
  <si>
    <t>Numero de Visitas de inspeccion sanitaria resalizadas</t>
  </si>
  <si>
    <t>Certificacion Sanitaria  Municipal en Agua Potable</t>
  </si>
  <si>
    <t xml:space="preserve">Certificacion  de calidad del agua por sistema  de acueducto Urbanos </t>
  </si>
  <si>
    <t>Tramites de autorizaciones sanitarias para la concesión de aguas. ( Demanda)</t>
  </si>
  <si>
    <t xml:space="preserve">Gestión del proyecto ( Talento Humano) </t>
  </si>
  <si>
    <t>1. Asesorar y asistir tecnicamente en el manejo del paciente intoxicado.</t>
  </si>
  <si>
    <t>NUMERO de personas asistidas</t>
  </si>
  <si>
    <t>Actividades ajustadas</t>
  </si>
  <si>
    <t>2. Información, Educación y Comunicación. Desarrollo de actividades de promoción y prevención en intoxicación por sustancias química. Operación logística de eventos. Asistencia a Eventos.</t>
  </si>
  <si>
    <t xml:space="preserve">3. Compra de insumos y  rectivos. Medicamentos  para tratamientos de emergencia, transporte de muestras e insumos. </t>
  </si>
  <si>
    <t>NUMERO de compras</t>
  </si>
  <si>
    <t>Realizar inspección, control y vigilancia epidemiologica en el uso y manejo de sustancias químicas (plaguicidas, mercurio, solventes, gases, productos de aseo y limpieza, causticos, etc.).</t>
  </si>
  <si>
    <t>Actividades permenentes</t>
  </si>
  <si>
    <t>Fomento de uso seguro de sustancias químicas para disminuir los factores de riesgo, prevenir intoxicaciones y deterioro del ambiente.</t>
  </si>
  <si>
    <t>No se ha realizado la contratación pero se han realizado las Asesorias y Asistencias Técnicas solicitadas</t>
  </si>
  <si>
    <t>Apoyo a la vigilancia epidemiologica de sustancias químicas (Monitoreo de sustancias químicas en humanos y alimentos, adquisición de insumos, rectivos, transporte de muestras)</t>
  </si>
  <si>
    <t>Se realizará en caso de requerirse</t>
  </si>
  <si>
    <t xml:space="preserve">5. Gestion del proyecto </t>
  </si>
  <si>
    <t>Corresponde al talento humano</t>
  </si>
  <si>
    <t xml:space="preserve">Proyecto vigilancia ocupacional de las condiciones de salud y trabajo y de radiaciones ionizantes en el Departamento de Antioquia </t>
  </si>
  <si>
    <t>Control de calidad a equipos de rayos x de ESE e IPS</t>
  </si>
  <si>
    <t>Apoyo a las acciones de promoción de la seguridad y la prevención de los riesgos ocupacionales en poblaciones informales del departamento</t>
  </si>
  <si>
    <t>Promoción de la seguridad ocupacional, la protección y seguridad radiológica</t>
  </si>
  <si>
    <t>Apoyo acciones de IEC</t>
  </si>
  <si>
    <t xml:space="preserve">numero </t>
  </si>
  <si>
    <t>Visitas de IVC comercialización, sector gastronomico alimentos, laboratorios de control de calidad, oferentes capacitación manejo alimentos</t>
  </si>
  <si>
    <t>Se incluyen las visitas realizadas  por los Técnicos Área salud asignados a los municipios</t>
  </si>
  <si>
    <t>Fomento consumo seguro de alimentos</t>
  </si>
  <si>
    <t>Se tiene programada para  el segundo semestre</t>
  </si>
  <si>
    <t>Asesoria y apoyo tecnico a los actores del sistema en temas relacionados con alimentos</t>
  </si>
  <si>
    <t>NUMERO DE MUNICIPIOS</t>
  </si>
  <si>
    <t>18 con informe, falta reportar otras acciones realizadas</t>
  </si>
  <si>
    <t>Compra de equipos e insumos</t>
  </si>
  <si>
    <t>Se hizo un contrato de compra de insumos y equipos</t>
  </si>
  <si>
    <t>Asesoría y asistencia técnica para la implementación de la estrategia AIEPI a los municipios</t>
  </si>
  <si>
    <t>Vigilancia epidemiológica de la mortalidad y morbilidad de los eventos de interés en salud pública en menores de cinco años</t>
  </si>
  <si>
    <t>Fortalecimiento de la participación ciudadana y comunitaria en salud 115 municipios departamento de Antioquia</t>
  </si>
  <si>
    <t>Ejercicio de control social</t>
  </si>
  <si>
    <t>Jornadas locales de rendición pública de cuentas</t>
  </si>
  <si>
    <t>Asesoría y asistencia técnica</t>
  </si>
  <si>
    <t>Talleres a grupos sobre participación y salud</t>
  </si>
  <si>
    <t>Acondicionamiento Fisico para los servidores publicos y su grupo familiar (Gimnasios)</t>
  </si>
  <si>
    <t>Capacitación y adiestramiento del recurso humano de la SSSA.</t>
  </si>
  <si>
    <t>01213002</t>
  </si>
  <si>
    <t>Fondo de la vivienda</t>
  </si>
  <si>
    <t>Actividades de asesoria y asistencia técnica a las ESE, DLS, EPS y demàs actores del Sistema General de Seguridad social en Salud  (4 activ para las ESE, 4 para DLS, 4 para EPS y 3 para los ETR,</t>
  </si>
  <si>
    <t>Reuniones grupales</t>
  </si>
  <si>
    <t>Reunión regional con el equipo directivo de la SSSA y el equipo de salud de los Municipios(en cada subregion del Dpto..  La duración promedio es de 2 dias c/actividad para 110 personas cada una.)  Para cada actividad se requiere un mes de dos</t>
  </si>
  <si>
    <t>Reuniones</t>
  </si>
  <si>
    <t xml:space="preserve">cumplimiento del plan de desarrollo, "Antioquia  la Más Educada" Componente de salud pública. </t>
  </si>
  <si>
    <t>Rendicion de cuentas</t>
  </si>
  <si>
    <t>Municipios con evaluación de la gestión (Recolección y análisis de la información) de los 125 mpios dura aprox 4 semanas, un equipo de 50 profesionales interdisciplinarios (recertificación)</t>
  </si>
  <si>
    <t>Municipios</t>
  </si>
  <si>
    <t>Cumplimiento de los planes de salud municipales  (evaluación semestral) 125*2 y departamental (evaluación trimestral omega)  4 =254 por año.  Se calculo 2 dia por cada evaluacion</t>
  </si>
  <si>
    <t xml:space="preserve">Planes de salud municipal </t>
  </si>
  <si>
    <t>Asesoria y Asistencia tecnica/Inspeccion y Vigilancia al los diferentes actores del SGSSS   en la Gestion del  Regimen Contributivo en Salud</t>
  </si>
  <si>
    <t>Recurso humano</t>
  </si>
  <si>
    <t>Proyecto fortalecimiento institucional de la DSSA y de los actores del SGSSS en el Departamento-Fondo de Investigación Salud</t>
  </si>
  <si>
    <t>Fondo de investigación -Colciencias</t>
  </si>
  <si>
    <t>Pago de pasivo prestacional</t>
  </si>
  <si>
    <t>014037004</t>
  </si>
  <si>
    <t>Proyecto fortalecimiento institucional de la DSSA y de los actores del SGSSS en el Departamento-Pago de pasivo prestacional</t>
  </si>
  <si>
    <t>Inspección, vigilancia y control</t>
  </si>
  <si>
    <t>Sensibilización para la movilización social en salud</t>
  </si>
  <si>
    <t>Dotación y Adecuación oficinas de Equipos Técnicos Regionales</t>
  </si>
  <si>
    <t>Recurso humano y gastos de viaje</t>
  </si>
  <si>
    <t>Fortalecer los componentes del sistema de información</t>
  </si>
  <si>
    <t>Gestionar el mejoramiento de los sistemas de información</t>
  </si>
  <si>
    <t xml:space="preserve">Renovar tecnologicamente la infraestructura de HW, SW, Comunicaciones y redes </t>
  </si>
  <si>
    <t xml:space="preserve">Porcentaje </t>
  </si>
  <si>
    <t>Gobierno en linea</t>
  </si>
  <si>
    <t xml:space="preserve">Elaborar y publicar contenidos digitales </t>
  </si>
  <si>
    <t>01228090</t>
  </si>
  <si>
    <t>Recurso H</t>
  </si>
  <si>
    <t>01228001</t>
  </si>
  <si>
    <t>Eventos institucionales para el fortalecimiento</t>
  </si>
  <si>
    <t xml:space="preserve">Eventos </t>
  </si>
  <si>
    <t xml:space="preserve">Actividades de educación en salud </t>
  </si>
  <si>
    <t>Actividades educactivas</t>
  </si>
  <si>
    <t xml:space="preserve">Estrategias de  de difusón Atención Primaria en Salud </t>
  </si>
  <si>
    <t>Estrategias Implementadas</t>
  </si>
  <si>
    <t xml:space="preserve">Audiovisuales educativos e informativos </t>
  </si>
  <si>
    <t xml:space="preserve">Audiovisuales </t>
  </si>
  <si>
    <t>Publicaciones e impresos</t>
  </si>
  <si>
    <t>Publicaciones</t>
  </si>
  <si>
    <t xml:space="preserve">Monitoreo de medios de comunicación </t>
  </si>
  <si>
    <t>2012050000091</t>
  </si>
  <si>
    <t>222091-001</t>
  </si>
  <si>
    <t xml:space="preserve">Actualización del sistema de información agropecuario, piscicola y forestal en el Departamento de Antioquia </t>
  </si>
  <si>
    <t>Sistemas de Información existentes, fortalecidos para la gestión de la información del Departamento</t>
  </si>
  <si>
    <t>0.66</t>
  </si>
  <si>
    <t>0.33</t>
  </si>
  <si>
    <t>Se finalizó el año 2013 con 0,53, quedando pendientes para el 2014</t>
  </si>
  <si>
    <t>2.2 Ciencia, Tecnología, Innovación y Emprendimiento</t>
  </si>
  <si>
    <t>2.2.3.Fortalecimiento Empresarial</t>
  </si>
  <si>
    <t>Fortalecimiento empresarial, desarrollo de capacidades de innovación y nuevos mercados</t>
  </si>
  <si>
    <t>2012050000047</t>
  </si>
  <si>
    <t>142047-001</t>
  </si>
  <si>
    <t xml:space="preserve">Apoyo Técnico y Económico para la adecuación y dotación de las plantas de beneficio animal departamento de Antioquia  </t>
  </si>
  <si>
    <t>Organizaciones de productores agropecuarios consolidadas y con acceso a mercados</t>
  </si>
  <si>
    <t>No se llena este indicador, ya que se están construyendo son Cuatro plantas de beneficio. Ver cantidades en las actividades del formato financiero.</t>
  </si>
  <si>
    <t>2012050000100</t>
  </si>
  <si>
    <t>142100-001</t>
  </si>
  <si>
    <t>Fortalecimiento de organizaciones de productores agropecuarios en el departamento de antioquia</t>
  </si>
  <si>
    <t>Se finalizó  el año con 44 organizaciones de productores capacitadas en asociatividad, trabajo en equipo, se continúa con estas mismas asociaciones en Fortalecimiento organizativo y empresarial y en adelantar los procesos de comercialización</t>
  </si>
  <si>
    <t>2.2.4.Acceso a fuentes de financiación</t>
  </si>
  <si>
    <t>Apoyo para el acceso a fuentes de financiación y cofinanciación para iniciativas productivas</t>
  </si>
  <si>
    <t>2010050000275</t>
  </si>
  <si>
    <t>121009-001</t>
  </si>
  <si>
    <t xml:space="preserve">Apoyo al fortalecimiento de cadenas productivas departamento de Antioquia </t>
  </si>
  <si>
    <t>Valor Créditos Otorgados</t>
  </si>
  <si>
    <r>
      <t xml:space="preserve">Se terminó el año 2013 con un valor de créditos otrogados de </t>
    </r>
    <r>
      <rPr>
        <sz val="11"/>
        <color theme="0"/>
        <rFont val="Calibri"/>
        <family val="2"/>
        <scheme val="minor"/>
      </rPr>
      <t xml:space="preserve">62.029 </t>
    </r>
    <r>
      <rPr>
        <sz val="11"/>
        <color theme="1"/>
        <rFont val="Calibri"/>
        <family val="2"/>
        <scheme val="minor"/>
      </rPr>
      <t>millones de pesos</t>
    </r>
  </si>
  <si>
    <t>2012050000157</t>
  </si>
  <si>
    <t>142157-001</t>
  </si>
  <si>
    <t xml:space="preserve">Capacitación y difusión de instrumentos Financieros a productores agropecuarios del Departamento de Antioquia </t>
  </si>
  <si>
    <t>Personas capacitadas en alternativas de financiamiento agropecuario</t>
  </si>
  <si>
    <t>Se capacitaron 597 personas mas capacitadas  a septiembre 30 de 2013 y a diciembre se capacitaron 110 personas mas para un total de 1.675</t>
  </si>
  <si>
    <t>2.2.7.  Generación de conocimiento científico y tecnológico aplicado (Fondo de CTI)</t>
  </si>
  <si>
    <t>Generación de conocimiento e innovación para el sector agropecuario</t>
  </si>
  <si>
    <t>2012050000093</t>
  </si>
  <si>
    <t>122093-001</t>
  </si>
  <si>
    <t>Apoyo a la generación de conocimiento e innovación para el sector agropecuario en el Departamento de Antioquia</t>
  </si>
  <si>
    <t>Proyectos de investigación cofinanciados con centros e institutos del sector agropecuario</t>
  </si>
  <si>
    <t xml:space="preserve">Se contrató y está en ejecución leche y oleaginosas,  Aguacate, ,cacao,  piscicultura, aromáticas, fruta pequeña, Caucho, hortalizas , plátano y caracol, Mortiño fase II y Evaluación de clones de papa criolla. Se aprobaron por regalías y se encuentran en ajuste vigencia 2014 Forestal  Cambio climático, Ganadería Bovina, papa.    </t>
  </si>
  <si>
    <t>Subredes de investigación agropecuaria constituidas</t>
  </si>
  <si>
    <t>Además de continuar con las 6 subredes piloto iniciales se constituyeron otras nuevas 6 subredes</t>
  </si>
  <si>
    <t>2.2.8 Transferencia de tecnología y conocimiento</t>
  </si>
  <si>
    <t>Identificación, difusión e incorporación al uso de conocimientos y tecnologías productivas</t>
  </si>
  <si>
    <t>2012050000046</t>
  </si>
  <si>
    <t>122046-001</t>
  </si>
  <si>
    <t>Implementación de un modelo participativo de ECAS a productores de ganado de carne subregiones del Departamento de Antioquia.</t>
  </si>
  <si>
    <t>Extensionistas y Productores formados en tecnología agropecuaria</t>
  </si>
  <si>
    <t>Se realizaron con FAGA 9 Escuelas de campo ( 4 de carne y 5 de doble propósito) con 135 beneficiarios</t>
  </si>
  <si>
    <t>2012050000078</t>
  </si>
  <si>
    <t>122078-001</t>
  </si>
  <si>
    <t>Capacitación a extensionistas y productores en tecnologías agropecuarias en el Departamento de Antioquia</t>
  </si>
  <si>
    <t xml:space="preserve">En comunicación </t>
  </si>
  <si>
    <t>2008050000584</t>
  </si>
  <si>
    <t>141003-001</t>
  </si>
  <si>
    <t>Comunicación y Extensión a Pequeños y Medianos productores del sector agropecuario en Antioquia.</t>
  </si>
  <si>
    <t>2010050000215</t>
  </si>
  <si>
    <t>141056-001</t>
  </si>
  <si>
    <t>Apoyo al Fortalecimiento de los Equipos Técnicos de Apoyo de la Secretaría de Agricultura y Desarrollo Rural del departamento de Antioquia</t>
  </si>
  <si>
    <t>Este dinero fue trasladado en su totalidad así: Pep 122078 $ 50.000.000 y Secretaría General $50.000.000. Por lo tanto la meta es cero</t>
  </si>
  <si>
    <t>2012050000024</t>
  </si>
  <si>
    <t>142024-001</t>
  </si>
  <si>
    <t>Fortalecimiento a la cadena porcina mediante la certificación de las granjas porcinas Departamento de Antioquia.</t>
  </si>
  <si>
    <t>Se realizaron 6 Ecas de porcicultura  con un total de 84 beneficiarios.</t>
  </si>
  <si>
    <t>2012050000236</t>
  </si>
  <si>
    <t>142236-001</t>
  </si>
  <si>
    <t xml:space="preserve">Adecuación incorporación de desplazados y vulnerables al uso del conocimiento y tecnologías productivas municipios de Mutatá, Turbo, El Bagre, Granada, San Carlos y San Francisco. </t>
  </si>
  <si>
    <t>Para el proyecto de desplazados y vulnerables</t>
  </si>
  <si>
    <t>2012050000336</t>
  </si>
  <si>
    <t>142336-001</t>
  </si>
  <si>
    <t>Implementación de unidades productivas agropecuarias para la generación de ingreso a victimas del conflicto armado del Departamento de Antioquia</t>
  </si>
  <si>
    <t>Para los proyectos con víctimas del conflicto</t>
  </si>
  <si>
    <t>5.1.3 Acceso a la tierra y acompañamiento para su Adecuación</t>
  </si>
  <si>
    <t xml:space="preserve"> Apoyo a la formalización de la propiedad articulada a procesos de desarrollo rural</t>
  </si>
  <si>
    <t>2012050000199</t>
  </si>
  <si>
    <t>142199-001</t>
  </si>
  <si>
    <t xml:space="preserve">Apoyo a la formulación de la propiedad articulada a procesos de desarrollo rural en el Departamento de Antioquia </t>
  </si>
  <si>
    <t>Títulos de tierra otorgados</t>
  </si>
  <si>
    <t>Se entregaron el 18 de diciembre de 2013</t>
  </si>
  <si>
    <t xml:space="preserve"> Apoyo productivo a los procesos de restitución de tierras</t>
  </si>
  <si>
    <t>2012050000309</t>
  </si>
  <si>
    <t>142309-001</t>
  </si>
  <si>
    <t>Apoyo productivo a los procesos de restitución de tierras en el Departamento de Antioquia</t>
  </si>
  <si>
    <t>Proyectos productivos establecidos en tierras restituidas</t>
  </si>
  <si>
    <t xml:space="preserve"> Promoción del acceso a tierras articulado a instrumentos de política MADR</t>
  </si>
  <si>
    <t>2012050000327</t>
  </si>
  <si>
    <t>142327-001</t>
  </si>
  <si>
    <t>Capacitación para el acceso a tierras articulados a instrumentos de política MADR en el Departamento de Antioquia</t>
  </si>
  <si>
    <t>Personas capacitadas en instrumentos de cofinanciación de tierras</t>
  </si>
  <si>
    <t xml:space="preserve"> Titulación y ampliación de resguardos</t>
  </si>
  <si>
    <t>2012050000313</t>
  </si>
  <si>
    <t>072313-001</t>
  </si>
  <si>
    <t>Titulación y ampliación de resguardos indígenas en el Departamento de Antioquia</t>
  </si>
  <si>
    <t>Títulos otorgados a comunidades indígenas</t>
  </si>
  <si>
    <t xml:space="preserve"> Perfiles de proyectos: Distritos de riego y drenaje Identificados</t>
  </si>
  <si>
    <t>2012050000132</t>
  </si>
  <si>
    <t>142132-001</t>
  </si>
  <si>
    <t>Formulación de Perfiles de Distritos de Riego y/o drenaje en el departamento de Antioquia</t>
  </si>
  <si>
    <t>Perfiles de proyectos de riego y drenaje formulados</t>
  </si>
  <si>
    <t xml:space="preserve">Se presentaron 11 proyectos a la convocatoria y 9 entregaron la documentación </t>
  </si>
  <si>
    <t>5.2 Producción sostenible</t>
  </si>
  <si>
    <t>5.2.3. Mitigación del Impacto por inadecuado uso de suelos</t>
  </si>
  <si>
    <t xml:space="preserve"> Reconversión productiva de áreas en conflicto de uso a través de cultivos permanentes, maderables y no maderables</t>
  </si>
  <si>
    <t>2012050000099</t>
  </si>
  <si>
    <t>142099-001</t>
  </si>
  <si>
    <t>Recuperación extensionistas y productores agropecuarios capacitados en uso pertinente de suelos enfocados hacia una reconversión productiva de áreas en conflicto de uso de suelo Departamento de Antioquia</t>
  </si>
  <si>
    <t>Extensionistas y productores agropecuarios capacitados en uso pertinente de suelos</t>
  </si>
  <si>
    <t xml:space="preserve"> Se realizó una nueva fase del convenio con la Universidad Nacional, se preseleccionaron  14 municipios en silvopastoreo y 11 en agroforestería para beneficar de 20 personas por municipio.En silvopastoreo se trabajarán 16 ha por mpio y en agroforestería 3 ha por mpio. Es de anotar que esta capacitación consta de 8 sesiones en cada municipio.</t>
  </si>
  <si>
    <t>2012050000175</t>
  </si>
  <si>
    <t>212175-001</t>
  </si>
  <si>
    <t xml:space="preserve">Apoyo a la gestión integral de residuos sólidos - compostaje de residuos sólidos urbanos en las subregiones del departamento de Antioquia </t>
  </si>
  <si>
    <t xml:space="preserve"> Instrumentos de política pública para la planificación de un uso agropecuario sostenible del suelo</t>
  </si>
  <si>
    <t>2012050000297</t>
  </si>
  <si>
    <t>142297-001</t>
  </si>
  <si>
    <t>Desarrollo de políticas públicas para la planiicación del uso del suelo en el Departamento de Antioquia</t>
  </si>
  <si>
    <t>Personas capacitadas en el uso de instrumentos de conservación de suelos</t>
  </si>
  <si>
    <t>Se han capacitados en dos proyectos, uno de barbechos y el otro proyecto con la RECAB.</t>
  </si>
  <si>
    <t>5.2.4. Fomento a la Producción Agropecuaria sostenible</t>
  </si>
  <si>
    <t xml:space="preserve"> Promoción de Prácticas Responsables y Ejemplares</t>
  </si>
  <si>
    <t>2012050000135</t>
  </si>
  <si>
    <t>142135-001</t>
  </si>
  <si>
    <t>Apoyo a la promoción de prácticas responsables y ejemplares en el desarrollo en el Departamento de Antioquia</t>
  </si>
  <si>
    <t>Recomendaciones Técnicas Buenas Prácticas Agropecuarias sistematizadas</t>
  </si>
  <si>
    <t>Con la firma del nuevo convenio en su segunda fase que inició en el mes de julio, se empezó  la elaboración de otros nueve (9) paquetes tecnológicos así: Plantas condimentarias, Fresa, Uchuva, mora, maracuyá,papa, caucho,  Buenas práctica agrícolas (BPA), manejo poscosecha de frutas, , agroecología, cítricos y aguacate. Posteriormente se colgaran en la plataforma de la Gobernación. Para el primer trimestre de 2014 se publicarán maíz, plátano y apicultura.</t>
  </si>
  <si>
    <t>Redacción diferente</t>
  </si>
  <si>
    <t>Análisis, diseño implememntación y puesta en funcionamiento del sistema de información de consenso en ambiente Web</t>
  </si>
  <si>
    <t>Esta actividad se adelantará en el segundo semestre</t>
  </si>
  <si>
    <t>Evaluaciones agropecuarias por Consenso</t>
  </si>
  <si>
    <t>Las Evaluaciones agropecuarias se ejecutarán en el segundo semestre</t>
  </si>
  <si>
    <t xml:space="preserve">Elaboración y publicacion de documentos de análisis y estadísticas del sector agropecuario </t>
  </si>
  <si>
    <t>El anuario se entregará en el segundo semestre</t>
  </si>
  <si>
    <t>Construcción de obras para la terminación de las plantas de beneficio de los municipios de Sonsón y San José del Nus</t>
  </si>
  <si>
    <t>Los contratos suscritos para la terminación de las 2  plantas de beneficio animal están en ejecución</t>
  </si>
  <si>
    <t>Licitación</t>
  </si>
  <si>
    <t>Los procesos precontractuales se iniciaron en 2012</t>
  </si>
  <si>
    <t>Legalización de licitación</t>
  </si>
  <si>
    <t>Ejecución ) meses</t>
  </si>
  <si>
    <t>Dotación de equipos electromecanicos para las plantas de beneficio de San Jose del Nus, municipio de Sonsón, municipio de Cañasgordas y municipio de Urrao</t>
  </si>
  <si>
    <t>Están en ejecución</t>
  </si>
  <si>
    <t>Construcción y dotación del sistema de frío para la planta de Beneficio de San Jose del Nus</t>
  </si>
  <si>
    <t>Interventoría técnica administrativa, ambiental, financiera y legal para la CONSTRUCCION  de obras para la terminación de la planta de beneficio del municipio de Sonson, San José delNus.</t>
  </si>
  <si>
    <t>Interventoría técnica administrativa, ambiental, financiera y legal  para la DOTACION de equipos electromecanicos para las plantas de beneficio de San Jose del Nus, municipio de Sonson, municipio de Cañasgordas, municipio de Urrao</t>
  </si>
  <si>
    <t>Interventoría técnica administrativa, ambiental, financiera y legal para la construcción y dotación del sistema de frío para la planta de beneficio de San Jose del Nus</t>
  </si>
  <si>
    <t>Número de talleres</t>
  </si>
  <si>
    <t>Diplomado en costos y mercadeo agropecuario</t>
  </si>
  <si>
    <t>Horas</t>
  </si>
  <si>
    <t>Formación para mercadeo en Bolsa y negociación virtual</t>
  </si>
  <si>
    <t>Esta actividad queda para el segundo semestre</t>
  </si>
  <si>
    <t>Diseño y estructuración de una campaña promocional para aumentar el consumo de panela en Antioquia</t>
  </si>
  <si>
    <t>La campaña se realizó durante todo elaño</t>
  </si>
  <si>
    <t xml:space="preserve">Acompañamiento comercial a los productores agropecuarios del Departamento de Antioquia en ferias y eventos </t>
  </si>
  <si>
    <t xml:space="preserve">Fortalecimiento de la competitividad y productividad de la mora mediante la adecuación de un centro de acopio en el municipio de la Ceja </t>
  </si>
  <si>
    <t>Se  continúa eldesarollo de el proyecto Mejoramiento Integral de la producción de leche en las subregiones delNorte y elOriente antioqueño para desarrollar las actividades mejoramiento dela alimentación , BPG, Empresarización y Servicios téncios por valor de $1.621.460 millones de pesos (Dpto %540 Millones, Minagricultura $1000 millones U de A 81.460 millones de pesos para beneficiar a 2.000 productores en los municipios de Yarumal, San José de la Montaña, Sta Rosa de Osos, Belmira, Entrerríos, San Pedro de los Milagros, Don Matías, Sonson y La Unión.)</t>
  </si>
  <si>
    <t>Número (productores beneficiados)</t>
  </si>
  <si>
    <t>Apalancamiento de créditos agropecuarios</t>
  </si>
  <si>
    <t>Número de Créditos</t>
  </si>
  <si>
    <t xml:space="preserve">Valor créditos otrogados (Número de Créditos otorgados 650, firmadoslos convenios con los operadores fiancieros Interactuar, Microempresas de Antioquia ,Confiar,  para entregar recursos por valor de $14.000) </t>
  </si>
  <si>
    <t>Pesos</t>
  </si>
  <si>
    <t>Estas actividades se desarrollaran en el segundo semestre</t>
  </si>
  <si>
    <t>Fortalecimiento del Distrito de leche del Norte Antioqueño ($13.826 Millones de pesos de los cuales  la U de A $2.379.960 millones, UNAL $ 1.387, Pdctores $576 millones y SGR  $8.040 millones (CTI 3.040 millones, FDR 2.500 Millones y FCR $ 2.500) y Scria de Agricultura y Desarollo Rural (1.443 millones) Proyecto de 4 años</t>
  </si>
  <si>
    <t>Programa de Monitoreo de hatos lecheros</t>
  </si>
  <si>
    <t>Números</t>
  </si>
  <si>
    <t>Queda para el segundo semestre</t>
  </si>
  <si>
    <t>Modelo desarrollado para predecir la producción de gases de invernadero</t>
  </si>
  <si>
    <t>Programa de Gestiónde calida y buenas prácticas ganaderas</t>
  </si>
  <si>
    <t>Implementación de sistemas de alimentación alternativos</t>
  </si>
  <si>
    <t xml:space="preserve">Esta actividad no la contempla el proyecto aprobado. </t>
  </si>
  <si>
    <t>1. Sostenimiento 700 hectáreas cacao con un aporte del SGR de $ 1.500.090 millones de pesos y una aporte de municipios de $559.828 para un total de 2.059.918 millones de pesos del total del proyecto</t>
  </si>
  <si>
    <t>Queda para el segundo semestre. Pendiente ajuste del proyecto en el OCAD regional del fondo de fomento del SGR</t>
  </si>
  <si>
    <t>2. Instalación 57 beneficiaderos de cacao con un valor total de $789.110 millones de pesos todos aportados por el SGR</t>
  </si>
  <si>
    <t>Por ajuste al proyecto no se realizará esta actividad</t>
  </si>
  <si>
    <t>3. Transferencia tecnologia (5 talleres 4 giras) El total del proyecto es 123.853 millones de pesos con aporte del SGR de $ 105.628 y otros aportes de otras entidades de $18.225 millones de pesos</t>
  </si>
  <si>
    <t>4. Programa investigación cacao  Valor toal aportado por el SGR de 1.522,193 millones de pesos.</t>
  </si>
  <si>
    <t>Oleaginosas</t>
  </si>
  <si>
    <t>Número (Convenio)</t>
  </si>
  <si>
    <t>Aguacate</t>
  </si>
  <si>
    <t>1 (Convenio)</t>
  </si>
  <si>
    <t>Queda para el segundo semestre ( se firmará un convenio marco  y Seís (6) convenios para la ejecución de cada subproyecto</t>
  </si>
  <si>
    <t>Desarrollo del programas para el manejo de plagas en aguacate</t>
  </si>
  <si>
    <t xml:space="preserve"> 1 Programa</t>
  </si>
  <si>
    <t>Queda para el segundo semestre. Se aclara que no es un programa sino un subproyecto del gran convenio marco</t>
  </si>
  <si>
    <t>Desarrollo del subproyecto de Indíces de cosecha y poscosecha</t>
  </si>
  <si>
    <t>Subproyecto</t>
  </si>
  <si>
    <t>Subproyecto de Desarrollo y oferta de materiales certificados</t>
  </si>
  <si>
    <t>Subproyecto de Caracterización ecofisiológica y productiva del aguacate HASS</t>
  </si>
  <si>
    <t>Subproyecto Apoyo a la comercialización nacional y exportación de aguacate Hass en Antioquia a través de Aproare</t>
  </si>
  <si>
    <t>Subproyecto para la Implementación de BPA tendientes a la certificación  Globalgap</t>
  </si>
  <si>
    <t xml:space="preserve">Subproyectos para la certificación del recurso humano-competencvias laborales en aguacate </t>
  </si>
  <si>
    <t>Subproyecto para el diseño, construcción, implementación y puesta en marcha de un sistema de información georeferenciado</t>
  </si>
  <si>
    <t>Se retira la actividad del gran proyecto de aguacate presentado a regalias por ajuste al proyecto</t>
  </si>
  <si>
    <t>Zonificación del cultivo del aguacate</t>
  </si>
  <si>
    <t>Establecimiento de nuevas áreas de aguacate variedad HASS con buenas practicas agricolas BPA</t>
  </si>
  <si>
    <t>Desarrollo de campaña publicitaria para promover el consumo de Aguacate  Hass</t>
  </si>
  <si>
    <t>Subproyecto para el desarrollo del Mortiño como alternativa agroforestal productiva para el altipalno norte y oriente antioqueño</t>
  </si>
  <si>
    <t>Queda para el segundo semestre. Esta ejecución corresponde a la segunda Fase</t>
  </si>
  <si>
    <t>Subproyecto para el establecimiento de pruebas agronómicas para evaluar los rendimiento de la papa en el Dpto de Antioquia</t>
  </si>
  <si>
    <t>Concurso de ideas y estrategias de innovación para el sector agropecuario en Antioquia</t>
  </si>
  <si>
    <t xml:space="preserve">Estos recursos (75 millones)fueron  trasladado a la Secretaría de Productividad </t>
  </si>
  <si>
    <t>Diseñar, gestionar, establecer y coordinar las subredes de investigación agropecuaria de las cadenas en el Dpto de Antiqouia</t>
  </si>
  <si>
    <t>Número (subredes)</t>
  </si>
  <si>
    <t>Realización de encuentros, talleres, seminarios</t>
  </si>
  <si>
    <t>Plataforma de informacióncientífica y enconómica de cadenas productivas</t>
  </si>
  <si>
    <t>Actualización y fortalecimiento (EVA)  de la plataforma tecnologica</t>
  </si>
  <si>
    <t>Asesorías cientificas puntuales</t>
  </si>
  <si>
    <t>Esta actividad queda para el segundo semestre asesoria especializada para estudios de mercado en apicultura y cardamomo</t>
  </si>
  <si>
    <t>Implementación de Escuelas de campo de ganado de carne (Con FAGA)</t>
  </si>
  <si>
    <t>Está en proceso por encontrarse en capacitaciones permanentes</t>
  </si>
  <si>
    <t>Elaboración de Estudios Previos</t>
  </si>
  <si>
    <t>Elaboración de convenio</t>
  </si>
  <si>
    <t>Implementaciónde ECAS</t>
  </si>
  <si>
    <t>De la cantidad programada 221 se deben restar 29 Ecas (11 de leche y 18 piscicultura ) quedan 192 y llevarlas a la actividad que corresponde. Todas están en ejecución para el segundo semestre</t>
  </si>
  <si>
    <t>Constitución de subredes regionales en tecnologías agropecuarias en el Departamento de Antioquia</t>
  </si>
  <si>
    <t>No se va a efectuar esta actividad</t>
  </si>
  <si>
    <t>Cursos de actualización tecnológica para extensionistas agropecuarios</t>
  </si>
  <si>
    <t>Cofinanciación de Alianzas productivas del MADR</t>
  </si>
  <si>
    <t>Consturcción de reigo Asosan juan en los municipios de Arboletes y San Juan de Urabá</t>
  </si>
  <si>
    <t>La actividad no es construcción Sino estudios y diseños los cuales se ejecutarán durante la convocatoria de adecuación de tierras Incoder 2013</t>
  </si>
  <si>
    <t xml:space="preserve"> Servicios personales de la union europea Convenio Unión Europea</t>
  </si>
  <si>
    <t>ECAS BOVINOS</t>
  </si>
  <si>
    <t xml:space="preserve">Esta actividad quedó para el segundo semestre debido a que la minuta se firmó en Julio, además se debe disminuir la cantidad programada ya que el cofinanciador se retiró </t>
  </si>
  <si>
    <t xml:space="preserve">ECAS PORCICOLAS, LECHE Y PISCICOLAS </t>
  </si>
  <si>
    <t>Implemetación de  Escuelas de campo en Porcicultura</t>
  </si>
  <si>
    <t>Esta actividad quedó para el segundo semestre (Porcicolas 5, Leche 11 y Piscicola 18 )</t>
  </si>
  <si>
    <t>Promoción y Divulgación tecnológica</t>
  </si>
  <si>
    <t>Esta actividad quedó para el segundo semestre (incluye giras y pasantias a productores y futécnicos)</t>
  </si>
  <si>
    <t>Producción, estructuración y divulgación  de contenidos para cursos virtuales sobre rubros productivos en Antioquia</t>
  </si>
  <si>
    <t>Queda para el segundo semestre( cursos montados en la plataforma atraves de herramientas virtuales Guillo)</t>
  </si>
  <si>
    <t>Produccióon y edición de material didáctico</t>
  </si>
  <si>
    <t>Esta actividad quedó para el segundo semestre (se está en elaboración de manualesBPA y cartillas para divulgación tecnológica</t>
  </si>
  <si>
    <t>Ferias y eventos</t>
  </si>
  <si>
    <t>Programas de TV- Radio</t>
  </si>
  <si>
    <t>Entrega de información</t>
  </si>
  <si>
    <t>Número (Boletin Prensa)</t>
  </si>
  <si>
    <t>Programa de Acceso</t>
  </si>
  <si>
    <t>No se va a realizar esta actividad</t>
  </si>
  <si>
    <t>Documentos técnicos</t>
  </si>
  <si>
    <t>Esta actividad queda para el próximo semestre (Isabel</t>
  </si>
  <si>
    <t>Programas de Extensión</t>
  </si>
  <si>
    <t>Esta actividad queda para el próximo semestre</t>
  </si>
  <si>
    <t xml:space="preserve">Dotación de equipos </t>
  </si>
  <si>
    <t>El presupuesto de este proyecto fue trasladado en su totalidad: así: Pep 122078 $ 50.000.000 y Secretaría General $50.000.000 actividades cero</t>
  </si>
  <si>
    <t>Capacitaciones en Buenas Prácticas Ganadera</t>
  </si>
  <si>
    <t>Precertificación de Granjas porcinas</t>
  </si>
  <si>
    <t>Queda esta actividad para el segundo semestre</t>
  </si>
  <si>
    <t>Implementación de una ECA Porcina en Ebéjico</t>
  </si>
  <si>
    <t>Sostenimiento de 33 ha de cacao en Turbo</t>
  </si>
  <si>
    <t>Establecimiento de unidades productivas piscícolas en Chigorodó y Nechí</t>
  </si>
  <si>
    <t>Establecimiento de 266 Ha en maíz semitecnificado en mpio de Turbo</t>
  </si>
  <si>
    <t>Unidades productivas agropecuarias</t>
  </si>
  <si>
    <t>Contrapartidas aliados</t>
  </si>
  <si>
    <t>En PESOS</t>
  </si>
  <si>
    <t>Proyectos productivos</t>
  </si>
  <si>
    <t>Esta actividad queda para el segundo semestre (cada familia es un proyecto)</t>
  </si>
  <si>
    <t>Apoyo al programa de Incentivo al Asistencia Técnica directa rural</t>
  </si>
  <si>
    <t>Programa del MADR</t>
  </si>
  <si>
    <t>Priorización de municipios en la segunda convocatoria del MADR</t>
  </si>
  <si>
    <t>Priorizados por el Ministerio Planeación Nacional</t>
  </si>
  <si>
    <t>Apoyo a los municipios priorizados en la primera convocatoria</t>
  </si>
  <si>
    <t>Solamente 22 municipios fueron elegidos en la primera convocatoria . La Secretaria realiza apoyo logístico</t>
  </si>
  <si>
    <t>Seguimiento y evaluacióna la asistencia téncia directa rural año 2012</t>
  </si>
  <si>
    <t>De los 122 municipios solamente 111 contestaron la encuesta de evaluación</t>
  </si>
  <si>
    <t>Legalización de predios</t>
  </si>
  <si>
    <t>Esta actividad finaliza el segundo semestre</t>
  </si>
  <si>
    <t>Establecimiento de sistemas productivos con la comunidad seleccionada</t>
  </si>
  <si>
    <t>Talleres de cpacitación</t>
  </si>
  <si>
    <t>Legalización de predios para grupos indígenas</t>
  </si>
  <si>
    <t>formulación de Perfiles de Distritos de Riego y/o drenaje en el departamento de Antioquia</t>
  </si>
  <si>
    <t>En coordinación con el Incoder regional de Medellín se seleccionarán los proyectos objeto de mejoramiento de 41 existentes</t>
  </si>
  <si>
    <t>número</t>
  </si>
  <si>
    <t>Se efectúo la convocatoria y se viabilizaron 10 proyectos, cuando se tenía presupuestado realizar uno solo esto debido a la adición presupuestal</t>
  </si>
  <si>
    <t>Capacitación a Extensionistas y productores capacitados en certificados de incentivo forestal</t>
  </si>
  <si>
    <t>Esta actividad queda  para el segundo semestre</t>
  </si>
  <si>
    <t>Productores con sistemas agroforestales y silvopasotirles establecidos</t>
  </si>
  <si>
    <t>N úmero</t>
  </si>
  <si>
    <t>Apoyo a los mpios para el fortalecimiento omontaje de un sistema de recuperación energético y material de los residuos sólidos urbanos</t>
  </si>
  <si>
    <t>Esta actividad queda para el segundo semestre se reprogramó a dos (2) las actividades debido al recorte del presupuesto en 100 millones</t>
  </si>
  <si>
    <t>Tranferencia de concocimiento para la operación de los sistemas de  aprovechamiento engergético y material de los resiudos solicos organicos urbano</t>
  </si>
  <si>
    <t>Esta actividad queda para el segundo semestre se reprogramó a diez (10) las actividades debido al recorte del presupuesto en 100 millones</t>
  </si>
  <si>
    <t>Elaboración de estudios de coberturas terrestrres</t>
  </si>
  <si>
    <t>N o se desarrolla ninguna actividad ya que su presupuesto fue trasladado en su totalidad así: Pep 142099 $197.927.000, Pep 142100 $90.000.000, Pep 141003 $10.000.000, Pep 142135 $149.073.000, y Pep 122078 $600.000.000. El IGAD presentó una propuesta por valor de $1.047.000.000  la cuall fue aprobada y se inicio proceso contractual posteriornmente por cambio en el nivel directivo del IGAC y enviaron una propusta tecnica de 2.800 milloones de pesos los cuales no se tenian dentro del presupuesto por consiguiente no se continuo el proceso</t>
  </si>
  <si>
    <t>Productores con barbechos enriquecidos</t>
  </si>
  <si>
    <t>Número de paquetes tecnológicos con enfoque de BPA</t>
  </si>
  <si>
    <t>Gestión Humana</t>
  </si>
  <si>
    <t xml:space="preserve"> Gobierno en Línea</t>
  </si>
  <si>
    <t>2012050000035</t>
  </si>
  <si>
    <t>222035-001</t>
  </si>
  <si>
    <t xml:space="preserve">Aplicación estrategía gobierno en línea Departamento de Antioquia </t>
  </si>
  <si>
    <t>Cumplimiento estrategia Gobierno en línea en la Gobernación de Antioquia</t>
  </si>
  <si>
    <t>TRASLADO  PRESUPUESTAL AL PROYECTO DE FORTALECIMIENTO</t>
  </si>
  <si>
    <t xml:space="preserve"> Observatorio de la Gestión Disciplinaria de Servidores Públicos en el Departamento de Antioquia</t>
  </si>
  <si>
    <t>2012050000326</t>
  </si>
  <si>
    <t>222326-001</t>
  </si>
  <si>
    <t>Observatorio de la gestión disciplinaria de servidores públicos en el Departamento de Antioquia</t>
  </si>
  <si>
    <t>Plan de trabajo del Observatorio de la Gestión Disciplinaria Implementado</t>
  </si>
  <si>
    <t>Se trasladan a otro rubro. Este dinero no se requiere ya que el software  fue donado por la alcaldia de Bogotá</t>
  </si>
  <si>
    <t xml:space="preserve"> Implementación de modelo integral de atención ciudadana.</t>
  </si>
  <si>
    <t>2012050000197</t>
  </si>
  <si>
    <t>222197-001</t>
  </si>
  <si>
    <t xml:space="preserve">Implementación modelo integral de atención a la ciudadanía Medellín Departamento de Antioquia </t>
  </si>
  <si>
    <t>Implementación de un modelo efectivo para la atención del ciudadano en la Gobernación de Antioquia</t>
  </si>
  <si>
    <t>Traslados de otras secretarias (infraestructura Equidad de Genero entre otras) y de Gestión Humana para poder atender los proyectos</t>
  </si>
  <si>
    <t>1.2.1 Calidad de vida para el servidor y la servidora pública. jubilados y sus beneficiarios del Nivel Central y las Subregiones</t>
  </si>
  <si>
    <t>Desarrollo Humano y Bienestar</t>
  </si>
  <si>
    <t>2008050000733</t>
  </si>
  <si>
    <t>015018-001</t>
  </si>
  <si>
    <t>Implementación  desarrollo de la salud ocupacional  en el departamento de Antioquia, medellín  y sus 124 municipios antioqueños</t>
  </si>
  <si>
    <t>Índice de lesión incapacitante (ILI)</t>
  </si>
  <si>
    <t>Traslado a la secretaria General para compra de Sillas</t>
  </si>
  <si>
    <t>2008050000741</t>
  </si>
  <si>
    <t>101007-001</t>
  </si>
  <si>
    <t xml:space="preserve">Credito de Vivienda para Empleados Trabajadores Oficiales y Jubilados del Departamento de Antioquia en los Municipios de Antioquia donde laboren Servidores Públicos Departamentales y se encuentren los jubilados </t>
  </si>
  <si>
    <t>Satisfacción de los usuarios que participan en los eventos realizados</t>
  </si>
  <si>
    <t>RECURSOS DE VIGENCIAS ANTERIORES</t>
  </si>
  <si>
    <t>2008050000735</t>
  </si>
  <si>
    <t>221054-001</t>
  </si>
  <si>
    <t>Implementación de la normativa vigente sobre estímulos e incentivos en la Gobernación de Antioquia</t>
  </si>
  <si>
    <t>Traslado a Comunicaciones que ejecuta contrato de Dllo Humano</t>
  </si>
  <si>
    <t>2008050000742</t>
  </si>
  <si>
    <t>221070-001</t>
  </si>
  <si>
    <t>Mejoramiento de la Calidad de vida de los Servidores Públicos, jubilados, pensionados y Beneficiarios Directos a trevés del Programa de Bienestar para todos en la gobernación de Antioquia</t>
  </si>
  <si>
    <t>2009050000019</t>
  </si>
  <si>
    <t>221071-001</t>
  </si>
  <si>
    <t>Implementación del Programa de Atención al Pensionado en la Gobernación de Antioquia</t>
  </si>
  <si>
    <t>Cubrir  contrato con COMFENALCO 2013-2014</t>
  </si>
  <si>
    <t>2009050000013</t>
  </si>
  <si>
    <t>221085-001</t>
  </si>
  <si>
    <t xml:space="preserve">Mejoramiento del clima laboral y la cultura organizacional de los servidores públicos departamentales en la Gobernación de Antioquia </t>
  </si>
  <si>
    <t>Clima laboral mejorado en el Departamento de Antioquia</t>
  </si>
  <si>
    <t>El presupuesto otorgado inicialmente no cubría los programas  que abarca el proyecto  de clima- riesgo sicosocial, prevencion de adiciones e intervención en clima</t>
  </si>
  <si>
    <t>2012050000015</t>
  </si>
  <si>
    <t>222015-001</t>
  </si>
  <si>
    <t xml:space="preserve">Implementación del Fondo de calamidad Domestica para los Empleados Públicos, Jubilados y pensionados en la Gobernación de Antioquia - etapa siguiente </t>
  </si>
  <si>
    <t xml:space="preserve">Recursos de vigencias  anteriores. Este proyecto se alimenta con las amortizaciones  de los prestamos realizados  a los funcionarios. Son recursos  compensados
</t>
  </si>
  <si>
    <t>Fondo educativo departamental de Antioquia – ICETEX</t>
  </si>
  <si>
    <t>2008050000740</t>
  </si>
  <si>
    <t>222740-001</t>
  </si>
  <si>
    <t xml:space="preserve">Implementación del fondo educativo departamento de Antioquia ICETEX para los servidores públicos inscritos en carrera administrativa y de libre nombramiento y remoción </t>
  </si>
  <si>
    <t>Convenio Departamento de Antioquia - Icetex aplicado</t>
  </si>
  <si>
    <t>El indicador esta asociado al numero de solicitudes que se atienden.  El dinero son recursos  que se inyecta de otros rubros a ese fondo para poder cubrir las solicitudes y la proyección de los mismo.</t>
  </si>
  <si>
    <t>Formación capacitación y entrenamiento para los servidores públicos del Departamento de Antioquia</t>
  </si>
  <si>
    <t>2008050000155</t>
  </si>
  <si>
    <t>221069-001</t>
  </si>
  <si>
    <t>Capacitación de 2400 Servidores Públicos departamentales Medellín y las Subregiones de Antioquia</t>
  </si>
  <si>
    <t>Mejoramiento del desempeño del cargo resultado de las capacitaciones recibidas</t>
  </si>
  <si>
    <t>Traslado de la Secretaría General para capacitación en temas Jurídicos.
La Secretaría de Hacienda asigno presupuesto adicional para atender las demandas de formación y capacitación</t>
  </si>
  <si>
    <t>2012050000075</t>
  </si>
  <si>
    <t>222075-001</t>
  </si>
  <si>
    <t xml:space="preserve">Capacitación, formación y entrenamiento para los servidores públicos de la gobernación y las subregiones de Antioquia </t>
  </si>
  <si>
    <t>Se trasladan a otro rubro correspondiente al proyecto  de Fondo educativo Icetex</t>
  </si>
  <si>
    <t>1221</t>
  </si>
  <si>
    <t>2012050000030</t>
  </si>
  <si>
    <t>162030-001</t>
  </si>
  <si>
    <t>Fortalecimiento, renovación y crecimiento en las TIC y en la plataforma SAP Gobernación de Antioquia.</t>
  </si>
  <si>
    <t>Plan de evolución del sistema de información SAP implementado</t>
  </si>
  <si>
    <t>12</t>
  </si>
  <si>
    <t>Traslados de otros Organismos para apoyo en Adquisición de Técnología Informática</t>
  </si>
  <si>
    <t>Mejores prácticas de TIC adoptadas</t>
  </si>
  <si>
    <t>Seguridad informática</t>
  </si>
  <si>
    <t>2012050000034</t>
  </si>
  <si>
    <t>162034-001</t>
  </si>
  <si>
    <t xml:space="preserve">Implementación seguridad informática departamento de Antioquia </t>
  </si>
  <si>
    <t>Seguridad de la plataforma de TIC implementada</t>
  </si>
  <si>
    <t>Cualificación del capital humano en la Gobernación y en las subregiones</t>
  </si>
  <si>
    <t>2008050000738</t>
  </si>
  <si>
    <t>221067-001</t>
  </si>
  <si>
    <t xml:space="preserve">Implementación  del proceso  institucional para selección  del talento humano  de acuerdo a la Ley 909 de 2004 en la Gobernación de Antioquia </t>
  </si>
  <si>
    <t>Empleos ofertados frente al total de vacantes</t>
  </si>
  <si>
    <t>97.47</t>
  </si>
  <si>
    <t>Traslado de la misma Secretaría para Temporales</t>
  </si>
  <si>
    <t>Sistema de gestión del desempeño implementado</t>
  </si>
  <si>
    <t>Gestión del empleo para servidores públicos del Departamento de Antioquia implementado</t>
  </si>
  <si>
    <t>Se elaboró manual del empleado, se continua con la actualización del escalafon de carrera, elaboración de actos administrativos.Salida en vivo   de prueba piloto TELETRABAJO, con  25 teletrabajadores móviles y avances en la selección de 25 postulados para la modalidad suplementario
 Reinducción a 22 teletrabajadores en agosto y formación para fortalecer la competencia de orientación tecnológica en septiembre.
 50 servidores postulados para el teletrabajo con prueba de ciudadanía digital aprobada.
seleccion de 13 postulados para teletrabajo-movil, se realizaron 27  visitas domicialirias a los teletrabajadores suplementario, se realizo evento de formación a las familias y a los teletrabajadores  suplementarios , se realizo evento de foramción con jefes y coordinadores  para gestionar  el cambio de competencias  para el manejo de riesgos.
Sensibilización sobre Teletrabajo al Consejo de Gobierno , 25 Directores y 130 Servidores Públicos.</t>
  </si>
  <si>
    <t>2012050000081</t>
  </si>
  <si>
    <t>222081-001</t>
  </si>
  <si>
    <t xml:space="preserve">Fortalecimeinto de las competencias laborales de los servidores públicos del departamento de Antioquia </t>
  </si>
  <si>
    <t>Servidores que participaron en las fases correspondientes según su nivel jerárquico dentro del ciclo de competencias</t>
  </si>
  <si>
    <t xml:space="preserve">Traslado a Comunicaciones que ejecuta contrato de LA Dirección de Diseño Organizacional
</t>
  </si>
  <si>
    <t>2012050000196</t>
  </si>
  <si>
    <t>222196-001</t>
  </si>
  <si>
    <t xml:space="preserve">Diseño e implementación del modelo de cultura y cambio organizacional de la Gobernación de Antioquia </t>
  </si>
  <si>
    <t>Implementación del modelo de cultura y cambio organizacional</t>
  </si>
  <si>
    <t>2012050000201</t>
  </si>
  <si>
    <t>222201-001</t>
  </si>
  <si>
    <t xml:space="preserve">Diseño e implementación del modelo de gestión del conocimiento para la Gobernación de Antioquia </t>
  </si>
  <si>
    <t>Implementación del modelo de gestión del conocimiento</t>
  </si>
  <si>
    <t>Traslado a Comunicaciones que ejecuta contrato de LA Dirección de Diseño Organizacional</t>
  </si>
  <si>
    <t>2012050000040</t>
  </si>
  <si>
    <t>222040-001</t>
  </si>
  <si>
    <t xml:space="preserve">Fortalecimiento del Sistema Integrado de Gestión del Departamento de Antioquia </t>
  </si>
  <si>
    <t>Traslado a Comunicaciones que ejecuta contrato de LA Dirección de Diseño Organizacional, eventos comunicacionales del SIG</t>
  </si>
  <si>
    <t>Reorganización y ajuste funcional de las dependencias en la Gobernación de Antioquia</t>
  </si>
  <si>
    <t>2012050000177</t>
  </si>
  <si>
    <t>222177-001</t>
  </si>
  <si>
    <t xml:space="preserve">Fortalecimiento y articulación de la estructura organizacional de la administración departamental en Medellín Antioquia </t>
  </si>
  <si>
    <t>Organismos intervenidos y/o validados en su estructura organizacional</t>
  </si>
  <si>
    <t>La educación como motor de transformación de Antioquia</t>
  </si>
  <si>
    <t>Educación con calidad para el siglo XXI</t>
  </si>
  <si>
    <t>Servicio Social Académico</t>
  </si>
  <si>
    <t xml:space="preserve"> Servicio Social Académico</t>
  </si>
  <si>
    <t>2012050000200</t>
  </si>
  <si>
    <t>Fortalecimiento vinculación de estudiantes en semestre de práctica para brindar apoyo a la gestión en el departamento e Antioquia y el mejoramiento de la calidad de sus instituciones</t>
  </si>
  <si>
    <t>Jóvenes que prestan su servicio social académico en el Departamento de Antioquia y sus subregiones</t>
  </si>
  <si>
    <t>Recursos  provenientes de educación  y demas organismos que tiene Practicantes</t>
  </si>
  <si>
    <t>1.2.3 Desarrollo y Fotalecimiento  Institucional y del Capital Humano</t>
  </si>
  <si>
    <t>Fortalecimiento de la Hacienda Pública del Departamento de Antioquia</t>
  </si>
  <si>
    <t>201205000241</t>
  </si>
  <si>
    <t>Actualizacion Pasivo pensional del Departamento de Antioquia</t>
  </si>
  <si>
    <t>Programa Siscuotas implementado y capacitación en bonos pensionales en Entidades y Municipios</t>
  </si>
  <si>
    <t>Solamente se ha logrado el 50% del indicador propuesto referente a capacitacion, el otro 50% corresponde a la implementación del programa siscuota   que no va a dar la dificultas de registro d elos derechos de autor</t>
  </si>
  <si>
    <t>,</t>
  </si>
  <si>
    <t>Pensiones reconocidas por el Departamento de Antioquia, revisadas en su legalidad</t>
  </si>
  <si>
    <t>Se ajusta indicador porque no se asigna presupuesto.</t>
  </si>
  <si>
    <t>Información de Cuotas partes pensionales por cobrar y por pagar ingresadas, actualizadas y revisadas en el programa siscuotas por jubilados</t>
  </si>
  <si>
    <t xml:space="preserve">2011 --6,183, 2012 -- 620 , 2013-- 1,604 (enero -sept 987 yoct dic 617) cuotas pensionales  por cobrar y por pagar  ingresadas, actualizadas y revisadas.
Para el indicador se inicia con una base  de 8989 cuotas partes de las cuales 6,183 (linea base)  ya se habian ingresado, actualizado y revisado. (2.806 pendientes)
en las dos vigencias se han realizado  2224 de las  2806 pendientes. para un 79% de cumplimiento
para el calculo de este indicador no se tiene en cuenta  las cuentas por pagar que ingresaron posterior a definición del indicador, donde  las cuotas por pagar eran de  8989  por que son cifras que es por demanda. para el 2012 aumentaron a 10489y para el 31 de dic  del 2013   va 11.481
</t>
  </si>
  <si>
    <t xml:space="preserve">IMPLEMENTACION TRÁMITES : ATENCION DE QUEJAS RECLAMOS Y SUGERENCIAS, SOLICITUD DE CITAS DE PASAPORTES, LIQUIDACION Y PAGO DE IMPUESTO DE REGISTRO,            EXPEDICION CERTIFICADO EXISTENCIA Y REPRESENTACION LEGAL DE UN ORGANISMO COMUNAL, EXPEDICION DE RESOLUCION POR REFORMA ESTATUTARIA DE UN ORGANISMO COMUNAL, RECONOCIMIENTO Y REGISTRO DE PERSONERIA JURIDICA DE UN ORGANISMO COMUNAL, REGISTRO E INSCRIPCION LEGAL DE DIGNATARIOS DE UN ORGANISMO COMUNAL, REGISTRO DE LIBROS DE ORGANISMOS COMUNALES PRIMER Y SEGUNDO GRADO
</t>
  </si>
  <si>
    <t>0.14</t>
  </si>
  <si>
    <t>Evolución del sistema de información MERCURIO con la adquisición del licenciamiento,  parametrización e implementación del componente técnico Jurídico Legal y aumento de automatización de procesos con desarrollos particulares para La Gobernación de Antioquia. Se reprogramó, Inició en junio. Se ejecutó contrato para los requisitos originales y se suscribió adición para migrar información adicional.</t>
  </si>
  <si>
    <t>IMPLEMENTACION  DE COMPONEMTES: Información,Interacción, Transacción, Transformación, Democracia, Elementos transversales.</t>
  </si>
  <si>
    <t>0.80</t>
  </si>
  <si>
    <t>Desarrollo de Interfaz entre portal Web de la Gobernación de Antioquia y el Sistema SAP módulo MM – para automatizar la publicación de avisos de contratación. Se ejecutó el 100% y se realizó un nuevo contrato para la publicación de las minutas.</t>
  </si>
  <si>
    <t>MANTENIMIENTO ESTRATEGIA: Sostenibilidad de lo implementado</t>
  </si>
  <si>
    <t>o</t>
  </si>
  <si>
    <t>Migración de la Intranet corporativa y el portal Web de la Gobernación de Antioquia a la última versión estable y soportada de Joomla. Se reprogramó, Inició en julio. Se ejecutó el 100% y se hizo adición para subsitio atención a la ciudadanía.</t>
  </si>
  <si>
    <t xml:space="preserve">Construir el observatorio de la gestión disciplinaria  de los servidores  públicos en el departamento de Antioquia  Los 60 millones son del presupuesto del DePARTAMENTO  , </t>
  </si>
  <si>
    <t>0.50</t>
  </si>
  <si>
    <t>.25</t>
  </si>
  <si>
    <t>Se gestiono software con la Alcaldía de Bogota, se instalo sotfware y se capacito a funcionarios</t>
  </si>
  <si>
    <t>Realizar seguimiento de Peticiones, Quejas, Reclamos y Sugerencias en cada uno de los meses</t>
  </si>
  <si>
    <t>El mejoramiento en el porcentaje de respuesta de las PQRS en el primer semestre fue de 47% para el segundo semestre alcanzamos el 61%.</t>
  </si>
  <si>
    <t>Fortalecer los servicios de CONTACT CENTER, necesarios para apoyar la actividad institucional del Departamento de Antioquia para el fortalecimiento de sus relaciones con la comunidad (Contamos con 185 millones que entraron como traslados presupuestales para la operación de la Línea)</t>
  </si>
  <si>
    <t>Traslado del fondo 4 1011
en noviembre se aprobo vigencias futuras por valor de $893.151.605</t>
  </si>
  <si>
    <t>Medición  de percepción en la  satisfacción de la ciudadanía</t>
  </si>
  <si>
    <t>Reprogramado el tiempo de ejecucion hasta diciembre</t>
  </si>
  <si>
    <t xml:space="preserve">Implementar la política de atención a la ciudadanía  que comprende la publicación  de la politica mediante  decreto y la socializacion e interiorizacion de la misma </t>
  </si>
  <si>
    <t>NA</t>
  </si>
  <si>
    <t>se reprograma para el primer semestre del 2014</t>
  </si>
  <si>
    <t xml:space="preserve">                 </t>
  </si>
  <si>
    <t>Intervir en la infraestructura física relacionada con atención a la ciudadanía</t>
  </si>
  <si>
    <t>Se entrego en funcionamiento el punto de información  en el primer semestre intervenidos.
Puntos de atencion al ciudadano en Pasaporte, secretaría de Hacienda y Educacion</t>
  </si>
  <si>
    <t>Racionalizar trámites y servicios</t>
  </si>
  <si>
    <t xml:space="preserve">Se han intervenido los tramites de 1.Secretaria de Infraestructura (1) trámite
2.Secretaria de Salud (4) trámites
3. Gestión Humana - Pasaportes (1) trámites
4.Educación (4) trámites 
5.Gobierno - Transito y Transportes (2)
</t>
  </si>
  <si>
    <t xml:space="preserve">Realizar Plan de Emergencias -escoltas y brigadistas en La Imprenta Departamental , Laboratorio,  Almacen de Salud </t>
  </si>
  <si>
    <t>Se trasladarón 120 millones a la General para compra de elementos de protección. Se reprograma para el segundo semestre</t>
  </si>
  <si>
    <t>Realizar Examenes de Ingresos y retiro y evaluaciones períodicas (Medicina del trabajo)</t>
  </si>
  <si>
    <t>Permanente</t>
  </si>
  <si>
    <t>Realizar  capacitaciones, certificaciones , evaluaciones medicas , entrega de elementos de proteccion en temas Medicina preventiva y del trabajo -sistema de vigilancia epidemiologica auditiva, visual y ostemusculares y programa de riesgo biologico y de trabajo en altura</t>
  </si>
  <si>
    <t>Son actividades permanetes de seguridad y salud en el trabajo</t>
  </si>
  <si>
    <t xml:space="preserve">Realizar evento Celebracion de la  semana de la salud ocupacional CAD y Subregiones </t>
  </si>
  <si>
    <t>evento</t>
  </si>
  <si>
    <t>En el primer semestre se realizo la  actividad  en el mes de abril, y en segundo semestre en el mes de octubre</t>
  </si>
  <si>
    <t>Factores de riesgo psicosocial</t>
  </si>
  <si>
    <t xml:space="preserve">Intervenciones grupales e individuales, capacitaciones en prevenciones de adicciones , talleres  de prevencion de adiccionesintervencion en subregiones,   </t>
  </si>
  <si>
    <t>Comité  de convivencia laboral</t>
  </si>
  <si>
    <t>La actividad incluye reuniones del comité, capacitaciones a miembros del comité y sensibilizacion a los  funcionarios en general. Y reuniones de conciliación</t>
  </si>
  <si>
    <t>Realizar reporte  e investigacion  de accidente de trabajo (Plan  Básico  en Salud  Ocupacional)</t>
  </si>
  <si>
    <t xml:space="preserve">Se esta trabajando en el ajuste del proyecto a la nueva normatividad, se realizo el 100% de  los reportes de accidentes de trabajo y se priorizaron las investigaciones de las mismas  </t>
  </si>
  <si>
    <t xml:space="preserve">Capacitacar en todos los temas de Seguridad  e Higiene  Industrial a los servidores publicos con mayor riesgo de sufrir incidentes o accidentes de trabajo </t>
  </si>
  <si>
    <t>De acuerdo a programacion definida</t>
  </si>
  <si>
    <t xml:space="preserve">Evaluar los puesto  de trabajo por demanda </t>
  </si>
  <si>
    <t>En el segundo semestre se han evaluado 11  puestos de  trabajo de teletrabajadores  moviles y suplementarios
en el segundo semestre se realizaron 48 inspecciones de puesto de trabajo</t>
  </si>
  <si>
    <t xml:space="preserve">Adjudicar prestamos  de vivienda a los Servidores Publicos y Jubilados Departamentales </t>
  </si>
  <si>
    <t>60 FEBRERO MARZO</t>
  </si>
  <si>
    <t>12 mil millones son de vigencias anteriores
para el segundo  semestre se adjudico el presupuesto asignado de 13 mil millones</t>
  </si>
  <si>
    <t>Legalizacion de prestamos de vivienda que cumplan requisitos</t>
  </si>
  <si>
    <t>Es a demanda</t>
  </si>
  <si>
    <t>Analizar la informacion  tiempo de servicio y evaluacion de desempeño para la selección del mejor empleado</t>
  </si>
  <si>
    <t>La actividad se inicia en el mes de agosto hasta octubre</t>
  </si>
  <si>
    <t>Realizar evento de reconocimiento del mejor Servidor Publicos de los diferentes niveles  jerarquicos  y  reconocimiento popr tiempo de servicio</t>
  </si>
  <si>
    <t>Se desarrolla en el segundo semestre</t>
  </si>
  <si>
    <t xml:space="preserve">Realizar evento de reconocimiento de los  talentos de los servidores y servidoras  de la Administración Departamental </t>
  </si>
  <si>
    <t xml:space="preserve">Desarrollar  actividades recreativas y culturales dirigidas al area laboral orientadas al mejoramiento de bienestar laboral y personal  en el CAD y Subregiones </t>
  </si>
  <si>
    <t>Primer semestre, dias de la secretaria, segundo semestre, dia  del mensajero, pregon navideño, dias del conductor</t>
  </si>
  <si>
    <t>Desarrollar actividades recreativas y culturales dirigidas al area  de servicio social para el adulto  orientada al crecimiento espritual, fisico y personal</t>
  </si>
  <si>
    <t>Para el primer semestre: Una caminata,encuentro de pareja, gimnacio -anualizado
Segundo semestre  conferencia 200 años</t>
  </si>
  <si>
    <t xml:space="preserve">Desarrollar actividades recreativas y culturales dirigidas al area  de servicio social para la niñez y la juventud  orientadaal fortalecimiento de valores sociales y familiares </t>
  </si>
  <si>
    <t>Primer semestre dia del niño y vacaciones recreativas.
Segundo semestre  dos vacaciones recreativas , día de la Juventud
el Club Juvenil no se realizo</t>
  </si>
  <si>
    <t xml:space="preserve">Desarrollar actividades recreativas y culturales dirigidas al area  de servicio social para el grupo familiar orientada al fortalecimiento de valores y ocupacion del tiempo libre </t>
  </si>
  <si>
    <t>tres actividades anualizadas. Primer semestre  COMFAMA, ligas, reembolso-anualizada. 
Segundo semestre día de la familia</t>
  </si>
  <si>
    <t>Desarrollar actividades Bienestar, capacitación, salud Ocupacional y clima Organizacional dirigido a los servidores publicos que laboran en los diferentes  municipios del Departamento de Antioquia</t>
  </si>
  <si>
    <t>Se han realizado actividades de jornada de salud ocupacional en medellín , cobertura de 704 de los servidores públicos que laboran en los municipios y 12 jornadas de capacitacion en la regiones del occidente, nordeste, norte y magdalena medio  con asistencia total de 882  funcionarios</t>
  </si>
  <si>
    <t>Realizar  actividades  para el mantenimiento físico, capacitación informal recreación , cultura , turismo e integración para los jubilados , pensionados y beneficiarios directos del Departamento de Antioquia</t>
  </si>
  <si>
    <t xml:space="preserve">Por demanda del servicio.
Actividades anualizadas que se inician en el primer  semestre
</t>
  </si>
  <si>
    <t>Realizar actividad grupal  orientada al mejoramiento del clima laboral " Aventura  empresarial"</t>
  </si>
  <si>
    <t>grupo</t>
  </si>
  <si>
    <t>De acuerdo al presupuesto asignado  se  realizaron 9 actividades</t>
  </si>
  <si>
    <t>Reconocer creditos  de calamidad (prestamos del 100% de las solicitudes que cumplen requisitos</t>
  </si>
  <si>
    <t xml:space="preserve">501 MILLONES DE VIGENCIA ANTERIORES. </t>
  </si>
  <si>
    <t>Adjudicaar, legalizar y renovar creditos  educativos para los servidores publicos que cumplan requisitos</t>
  </si>
  <si>
    <t>SE OTORGO 15  CREDITOS POR VALOR DE 41.450.973. se atendio a todas las solicitudes que cumplian requisitos. En el mes de agosto se realizo la adjudicacion al 100% de las solicitudes que cumplen requisitos</t>
  </si>
  <si>
    <t>Realizar la Induccion, reinduccion  y adiestramiento  en puesto de trabajo</t>
  </si>
  <si>
    <t>Número de eventos</t>
  </si>
  <si>
    <t xml:space="preserve">se la realizado 1  actividad que corresponde  a 10 INDUCCIONES.y  adiestramiento en puesto de trabajo a los funcionarios nuevos. La   reinduccion es cada dos años, se realizara en el 2014  </t>
  </si>
  <si>
    <t>Brindar Capacitacion en una segunda lengua a a personal de Carrera y Libre Nombramiento y remoción</t>
  </si>
  <si>
    <t>Número de capacitados</t>
  </si>
  <si>
    <t>LA  CANTIDAD INICIAL PUEDE CAMBIA POR SER POR DEMANDA</t>
  </si>
  <si>
    <t>Actualizar los conocimientos  de los Servidores Públicos a través de talleres, seminarios, simposios, requeridos por las diferentes dependencias</t>
  </si>
  <si>
    <t xml:space="preserve">% </t>
  </si>
  <si>
    <t>se atendio el 100% de las solicitudes presentadas. 27 EVENTOS  PARA 70 Servidores Públicos.</t>
  </si>
  <si>
    <t xml:space="preserve">Capacitar  a través de programas de protocolo , presentación personal y atención al ciudadano </t>
  </si>
  <si>
    <t>ESTA ACTIVIDAD NO  SE REALIZARA</t>
  </si>
  <si>
    <t xml:space="preserve">Capacitacar   a través de programas orientados  al fortalecimiento del conocimiento habilidades y valores de los brigadistas de la Gobernacion de antioquia en atención de emergencia </t>
  </si>
  <si>
    <t>10 BRIGADISTAS en el primer semestre , en el segundo semestre capacitacion, de un dia, al total de brigadistas que cumplieron requisitos</t>
  </si>
  <si>
    <t>Capacitar a  los Servidores Publicos  de los equipos de Mejoramientos , Directivos y enlaces relacionada conel SIG y Auditorias  en la Gobernación de Antioquia</t>
  </si>
  <si>
    <t>se inicio  a partir del 16 de septiembre. El 100% corresponde a la participación de los miembros de los equipos en forma voluntaria . Los directivos no se incluyen</t>
  </si>
  <si>
    <t>Capacitar en temas jurídicos (Contratación, Interventoría, Estatuto Anticorrupción entre otros) por  solicitud de la Secretaría General</t>
  </si>
  <si>
    <t>se inicia en el segundo semestre</t>
  </si>
  <si>
    <t xml:space="preserve">Capacitacar  a través  de Gobierno de la Información </t>
  </si>
  <si>
    <t>NO SE VA HA REALIZAR</t>
  </si>
  <si>
    <t xml:space="preserve">Capacitacar y entrenar  través del diplomado de  formación para  formadores </t>
  </si>
  <si>
    <t xml:space="preserve">capacitación, formación y entrenamiento para los servidores públicos de la gobernación y las subregiones de Antioquia </t>
  </si>
  <si>
    <t>Diseñar e implementar de un ambiente  virtual de aprendizaje  para plataforma MOODLE  de los procesos de formación  en temas propios de los conocimientos  habilidades y actitudes  de los Servidores publicos de la Gobernación de Antioquia</t>
  </si>
  <si>
    <t>El contrato se suscribio en Octubre con Une. Su ejecución va en un 80%. Comprende 3 aspectos Inducción y reinducción, sistema Integrado de Gestión y Supervisión e Interventoria</t>
  </si>
  <si>
    <t>Poner en marcha la Escuela de Formacion Institucional de la Gobernacion de Antioquia  EFIGA</t>
  </si>
  <si>
    <t>Adquirir software, hardware.  1.Suscripción y soporte técnico para sistemas operativos Linux Red Hat. 2.Adquisición de Certificados de Seguridad para Servidores Web. 3.Adquisición de 150 unidades de Data Cartridge LTO Ultrium-3 y 100 Data Cartridge LTO Ultrium-5 con sus respectivos labels. 4.Adquisición de Certificados de Seguridad para Servidores Web. 5.Adquisición de licenciamiento de productos Microsoft a través de un socio LAR (Large Account reseeller). 6.Suministro de bienes informáticos y otros elementos tecnológicos para la Gobernación de Antioquia.</t>
  </si>
  <si>
    <t xml:space="preserve">Diferentes secretarías efectuaron traslados con el próposito de fortalecer las TIC y plataforma SAP. Se realizó: Adquisición de bienes (Portátiles, tabletas, etc.) Adquisición de 400 unidades de Data Cartridge LTO Ultrium-3 y 100 Data Cartridge LTO Ultrium-5 con sus respectivos labels. Se reprogramó suministro de bienes (PC´s), licenciamiento  y soporte de Linux. Se adiciona adquisición de almacenamiento. Se canceló adquisición de certificados de seguridad hasta que la plataforma este adecuada. Adquisición de Archibus para la administración de bienes, Adquisición del sistema de identificación y control de acceso al CAD, Adquisición de licencias Adobe, Certificado de firma digital. Adquisición de licencias  de Lotus Domino y adquisición de 700 unidades mas de Data cartridge con sus labels. Mejoramiento, traslado y adecuación de la  infraestructura del data center de la Fábrica de Licores y Alcoholes  de Antioquia. Adquirir licencias WEB VISOR . </t>
  </si>
  <si>
    <t>Administrar Servicios de Tecnología. 1.Administración y Operación de la Mesa de Servicios (Agentes de nivel I y II) soporte y actualización de la herramienta “Aranda”, implementación de dos procesos en ITIL V3 y hosting dedicado para portales de la Administración Departamental.</t>
  </si>
  <si>
    <t>Se realizó: Administración y Operación de la Mesa de Servicios (Agentes de nivel I y II) y hosting dedicado para portales de la Administración Departamental.  Se realizó adición para garantizar la continuidad del servicio.</t>
  </si>
  <si>
    <t>Actualizar hardware, software y elementos de comunicaciones</t>
  </si>
  <si>
    <t xml:space="preserve">Suministro, configuración e instalación de cableado estructurado, equipos de comunicaciones y/o seguridad.  La solución de red inalámbrica para la Fabrica de licores.
La renovación del cableado estructurado nuevo de los pisos 1,3 y 4, se instalaron puntos adicionales en los pisos 6 y 8, se instalo cableado nuevo para la oficina de pasaportes y se desmonto el cableado de la asamblea debido a reformas.
Se instaló una fibra óptica nueva para el edificio del Cad y se deja la actual como redundante. La renovación de 78 suiches de acceso para el CAD y la Fla. Distribuidos así: Fla 24 suiches y Cad  54 suiches. </t>
  </si>
  <si>
    <t>Soporte y mantenimiento de la Plataforma Tecnológica.   1.Mantenimiento a la plataforma tecnológica de la Administración Departamental para equipos de Cómputo: Servidores, Almacenamiento y Librería; correspondientes a las marcas DELL y HP. 2.Contratar Soporte, mantenimiento y actualización del Software MySAP Business Suite y RWD InfoPak. 3.Soporte a Infraestructura y Plataforma Tecnológica: Sistema Operativo Windows, Directorio Activo 2008, SQL Server. 4.Sostenimiento Anual como miembros en la Asociación Colombiana de Usuarios SAP. 5.Prestar el servicio de soporte, mantenimiento y actualización del software Kactus-HR, para la gestión de nómina y recursos humanos, adquirido por el Departamento de Antioquia e instalado en virtud del Contrato 2002 CM 24 001. 6.Renovar el Servicio de Software Updates License &amp; Support para los productos Oracle que posee el Departamento de Antioquia.7.Prestar el servicio de soporte, mantenimiento y actualización del software SISCUOTAS, para la administración de las cuotas partes jubilatorias por cobrar y por pagar del Departamento de Antioquia, desarrollado e instalado en virtud del contrato 2008-BB-24-0008. 8.Soporte, mantenimiento y actualización del sistema de información MERCURIO para la administración electrónica de documentos a nivel corporativo para un licenciamiento ilimitado en el Departamento de Antioquia. 9.Mantenimiento Sistema de información software Aranda. 10.Actualización, mantenimiento y soporte del licenciamiento de correo electrónico. 11.Prestación del servicio de soporte y mantenimiento a la herramienta informática para el Sistema Integrado de Gestión –ISOlución- 12.Prestación del servicio de soporte, mantenimiento de la herramienta informática para la administración de la Estructura, Planta de Cargos, Manual de Funciones y Planta de Personal de la Secretaría de Gestión Humana y Desarrollo Organizacional G+.</t>
  </si>
  <si>
    <t>Se realizó: 1.Soporte, mantenimiento y actualización del Software MySAP Business Suite y RWD InfoPak. 2.Sostenimiento Anual como miembros en la Asociación Colombiana de Usuarios SAP. 3.Soporte, mantenimiento y actualización del sistema de información MERCURIO para la administración electrónica de documentos a nivel corporativo. 4.Soporte, mantenimiento y actualización del sistema de información G+ de la Gobernación de Antioquia y 500 horas para nuevos desarrollos en el sistema G+. 5.Mantenimiento Sistema de información software Aranda. Se continúa con la programación de  las actividades iniciales. Se ejecutó el 100% de las actividades programadas.</t>
  </si>
  <si>
    <t>Consultoría para optimizar la plataforma tecnológica</t>
  </si>
  <si>
    <t>Se reprogramó. Consultoría Funcional y Técnica al Sistema de Información Integrado Financiero Contable SAP.  Inicia en agosto.</t>
  </si>
  <si>
    <t>Adquirir hardware, software y elementos de comunicaciones</t>
  </si>
  <si>
    <t xml:space="preserve">Se reprogramó la adquisición de hardware, software y elementos de comunicación: Cableado, equipos y software.  La renovación del cableado estructurado nuevo de los pisos 1,3 y 4, se instalaron puntos adicionales en los pisos 6 y 8, se instalo cableado nuevo para la oficina de pasaportes y se desmonto el cableado de la asamblea debido a reformas.
Se instaló una fibra óptica nueva para el edificio del Cad y se deja la actual como redundante. La renovación de 78 suiches de acceso para el CAD y la Fla. Distribuidos así: Fla 24 suiches y Cad  54 suiches. </t>
  </si>
  <si>
    <t>Consultoría para optimizar la seguridad informática en la Gobernación de Antioquia</t>
  </si>
  <si>
    <t xml:space="preserve">Se suspende está actividad porque se continua en el cierre de brechas de seguridad encontradas en la consultoría del 2012. y en las investigaciones realizadas internamente. </t>
  </si>
  <si>
    <t>Actualizar hardware, software y elementos de comunicaciones     1.Actualización, soporte técnico, mantenimiento preventivo, correctivo, y garantía de fabricación para dispositivos de red. 2.Soporte y renovación de licencias de antivirus. 3.Mantenimiento preventivo del sistema de aire acondicionado de precisión del C de C. 4.Extender garantía de fábrica del  sistema de aire acondicionado de precisión del C de C. 5.Mantenimiento, Soporte y Actualización del servicio de filtrado de navegación.</t>
  </si>
  <si>
    <t>Mantenimiento preventivo del sistema de aire acondicionado de precisión del Centro de Cómputo. Mantenimiento, Soporte y Actualización del servicio de filtrado de navegación de la Gobernación de Antioquia.  Se continúa con la programación de  las actividades iniciales. Se ejecutó el 100% de las actividades programadas.</t>
  </si>
  <si>
    <t>Provisionar los empleos  de Carrera Administrativa en vacancia definitiva por  Parte de la CNSC</t>
  </si>
  <si>
    <t>Fijar  compromisos para la Evaluacion del Desempeño por  nivel jerarquico Profesional , Tecnico y Asistencial</t>
  </si>
  <si>
    <t>la fijación de los compromisos laborales y comportamentales se realizó en  del 1 al 15 de febrero del 2013 a los funcionarios vinculados . 
A los funcionarios vinculados posterior a esta fecha  se le fija compromisos.
: 1396/1.658= 84.19% tienen  fijacion de compromisos por parte de los jefes 
1</t>
  </si>
  <si>
    <t>Asesoria y asistencia técnica en procesos de  selección del talento humano</t>
  </si>
  <si>
    <t xml:space="preserve">Comprende la evaluación de las competencias de los empleos temporales  a proveer </t>
  </si>
  <si>
    <t>Actualizar el escalafon de la carrera administrativa</t>
  </si>
  <si>
    <t>957 solicitudes enviadas a la  COMISIÓN DEL SERVICIO CIVIL  , de los 1509  cargos de carrera. Del personal vinculado  que ingresa en periodo de prueba se remite. Esta actividad se suspende para el ultimo trimestre y se reprograma para el 2014 .
El personal encargado para esta funciones se designa para apoyar otras funciones  de personal de fin de Año</t>
  </si>
  <si>
    <t>Mejorar el procedimiento de gestión del empleo y del desempeño</t>
  </si>
  <si>
    <t>Confirmación de los requisitos de nombramiento.  Y tres actualizaciones al procedimiento</t>
  </si>
  <si>
    <t>Implementar el proceso de selección por merito y competencias</t>
  </si>
  <si>
    <t>Se han realizado 10 convocatoriaas</t>
  </si>
  <si>
    <t>Del presupuesto inicial se traslada 65 millones a comunicaciones para realizar el evento Sala VIP del Servicio. 13 millones para la ceremonia de certificación de los Servidores Públicos realizada el 14 de noviembre del 2013</t>
  </si>
  <si>
    <t>Entrenamiento para el fortalecimiento de competencias laborales, bajo la metodología de educación experiencial, impactando un total de quinientos (500) servidores públicos, estando los grupos conformados por veinte (20) servidores cada uno, para realizar veinte (20) eventos cada uno de (16) horas.</t>
  </si>
  <si>
    <t>Esta actividad se reprograma para el 2014, tanto la aplicación como la intervención</t>
  </si>
  <si>
    <t>Realizar el evento Sala VIP Servicio para los servidores públicos departamentales que han pasado por el proceso de certificación en la Norma de Competencia Laboral Colombiana, asociada con la Satisfacción de la Ciudadanía.</t>
  </si>
  <si>
    <t xml:space="preserve">El  evento se realizo en el primer piso  del CAD durante dos semanas  del 11 al 22 de marzo asistieron  409 servidores público </t>
  </si>
  <si>
    <t>Ceremonia de Certificación en NCLC</t>
  </si>
  <si>
    <t>Se realizó una ceremonia en el 14 de  noviembre y se invito a 297 Servidores Publicos competentes  en la norma de Competencia Laboral relacionada con la orientacion al usuario y al ciudadano.
El proceso  de certificacion inicio con 450 inscritos , pero durante el proceso se presento deserción , incapacidades, vacaciones que afecto la cantidad programada</t>
  </si>
  <si>
    <t xml:space="preserve">Apoyo en el fortalecimiento de las actividades tendientes a la certificación de los servidores y servidoras del Departamento de Antioquia en Norma de Competencias Laborales </t>
  </si>
  <si>
    <t>Reuniones de sensibilizaciones para el proceso de certificación y retroalimentación.  Se aumenta  la cantidad por la denanda del Servidor Público</t>
  </si>
  <si>
    <t>Realizar diagnóstico de la cultura organizacional de la Gobernación de Antioquia,  proponiendo agenda de cambio, con el fin de caracterizar los comportamientos, creencias,  rasgos diferenciadores, ritos y valores fundamentales que le confieren un sello característico como entidad</t>
  </si>
  <si>
    <t>0.6</t>
  </si>
  <si>
    <t>El tiempo inicialmente programado se extiende  con actividades de diagnostico de los grupos focales, entrevistas y encuestas realizadas a los servidores publicos.
Al finalizar el año 2013, se terminaron las validaciones de cultua actual mas la construccion preliminar de cultura meta por parte del equipo de proyecto, mas los talleres de cultura meta (Uno con Directivos / Uno con Profesionales Universitarios y Especializados), mas la construccion detallada de cultura meta,  tambien se hizo construccion del plan de transformación para el cierre de brechas,  elaboracion y .presentacion de informe final.. Finalmente se realizo el diseño de la estrategia de difusion (evento de cierre).</t>
  </si>
  <si>
    <t xml:space="preserve">Apoyo en el fortalecimiento de las actividades tendientes la implementación del modelo de cultura y cambio organizacional del Departamento de Antioquia </t>
  </si>
  <si>
    <t>Del presupuesto inicial se traslada a comunicaciones 17. 549.801 para apoyo  de campañas de comunicaciones al proyecto  y traslado a proyecto de practicantes de 4.421.250</t>
  </si>
  <si>
    <t>Diseño e implementación del modelo de gestión del conocimiento para la Gobernación de Antioquia</t>
  </si>
  <si>
    <t>.30</t>
  </si>
  <si>
    <t>El tiempo programado inicialmente se modifica inicia en enero y continua todo el segundo semestre. Total 360</t>
  </si>
  <si>
    <t>Apoyo en la construcción e implementación del modelo de gestión del conocimiento para la Gobernación de Antioquia</t>
  </si>
  <si>
    <t>Se reprograma  tiempo para septiembre , octubre y noviembre</t>
  </si>
  <si>
    <t>Diseñar una estructura organizacional de primer nivel articulada al modelo de operación por procesos del Sistema Integrado de Gestión (SIG), que soporte una fluida ejecución del Plan de Desarrollo 2012-2015 “Antioquia la Más Educada”.</t>
  </si>
  <si>
    <t>.80</t>
  </si>
  <si>
    <t>Tiempo programado inicialmente se reprograma hasta noviembre por su implementación. Ordenanza N°08 de 2013.</t>
  </si>
  <si>
    <t>Estrategia comunicacional para la certificación  en ISO 9001:2008-NTG GP 1000</t>
  </si>
  <si>
    <t>realizaron actividades de preparación  previas a la auditoría de Recertificación , el público Objetico los miembros de los Equipos de mejoramiento. Complementariamente  la actividades de comunicación durante la Auditoría . Finalmente  se realizó la ceremonia de Recertificación</t>
  </si>
  <si>
    <t>Apoyo comunicacional para la divulgación y promoción de las actividades del Sistema Integrado de Gestión</t>
  </si>
  <si>
    <t>.50</t>
  </si>
  <si>
    <t>Tiempo programado inicial mente se modifica hasta noviembre
las principales acciones realizadas fueron: campaña yo también soy el SIG ; Agencia de noticias para divulgación, jornada academica y jornada de reconocimiento</t>
  </si>
  <si>
    <t>Implementación del Cuadro de Mando Integral para el Sistema de Gestión De Calidad del Departamento de Antioquia</t>
  </si>
  <si>
    <t>Tiempo inicial reprogramado marzo a junio</t>
  </si>
  <si>
    <t>Revisión y actualización de algunos de los componentes de los procesos del Sistema Integrado de Gestión.</t>
  </si>
  <si>
    <t>Tiempo inical reprogramado enero a bril</t>
  </si>
  <si>
    <t>Prestación de servicio de auditoría con el fin de verificar el cumplimiento del Sistema Integrado de Gestión con los requisitos ISO 9001:2008-NTG GP 1000</t>
  </si>
  <si>
    <t>Tiempo inicial reprogramado  junio</t>
  </si>
  <si>
    <t>Implementar un plan de acción que permita cerrar brechas para que el Sistema Integrado de Gestión, sea más simple, natural y alineado con la estrategia de la organización.</t>
  </si>
  <si>
    <t>.20</t>
  </si>
  <si>
    <t>Tiempo inical reprogramado mayo  noviembre. Se implemto el Plan de Acción, del cual se han ejecutado actividades en el segundo semestre del 2013 , quedando  pendiente por ejecutar actividades del 2014</t>
  </si>
  <si>
    <t>Diseñar y proponer un manual de valoración de cargos acorde con la estructura funcional y organizacional de la Gobernación de Antioquia, haciendo la transferencia metodológica y de conocimientos para su aplicación eficaz.</t>
  </si>
  <si>
    <t>En el alcance de esta actividad se encuentra el definir una metodología o manual para cargas de trabajo, así como una metodología  para la descripción de cargos , ambas metodologías  son partes constitutivas  del manual de valoración de cargos . Esta metodologías ya estan diseñadas y se encuentran en aplicación.  Producto  de esta aplicación se redefinirán o ajustarán los factores del manual.
Hoy se cuenta con un modelo de compensación  salarial  propio de la Gobernación de antioquia.</t>
  </si>
  <si>
    <t>Apoyo en el fortalecimiento de las actividades tendientes a la articulación de la estructura organizacional y apoyo administrativo</t>
  </si>
  <si>
    <t>El tiempo programado inicialmente  se modifica hasta diciembre</t>
  </si>
  <si>
    <t>Contratar la Corporación Enseña por Colombia para la convocatoria, selección, implementación de la formación, apoyo y acompañamiento continuo para estudiantes y profesionales que prestaran servicio social como practicantes y como docentes en instituciones educativas de las Subregiones.</t>
  </si>
  <si>
    <t>El valor inicial varia por el numero de los inscritos en los programas. Estos valores no incluye a los docentes contratados por Educación</t>
  </si>
  <si>
    <t>Designar estudiantes para la realización de la práctica académica, con el fin de brindar apoyo a la gestión de la Administración Departamental y a la implementación de los proyectos y programas en la Subregión de Urabá.</t>
  </si>
  <si>
    <t>Apoyar el proceso de servicio social universitario en lo técnico y administrativo</t>
  </si>
  <si>
    <t>.050</t>
  </si>
  <si>
    <t>Tiempo inicial reprogramado hasta diciembre</t>
  </si>
  <si>
    <t>1.2.3 Desarrollo y Fotalecimiento  Institucional y del Capital Humanoa</t>
  </si>
  <si>
    <t xml:space="preserve">Talleres sobre cuota partes </t>
  </si>
  <si>
    <t>Esta actividad se  centra solamente en capacitación teorica sobre el pasivo pensional, el manejo de software no se da</t>
  </si>
  <si>
    <t>Actualizacion programa SISCUOTAS</t>
  </si>
  <si>
    <t>SE ejecuto el proceso contractual del programa  SISCUOTA</t>
  </si>
  <si>
    <t>Mantenimiento programa SISCUOTAS</t>
  </si>
  <si>
    <t>Secretaría de Minas</t>
  </si>
  <si>
    <t>VARIACIÓN TOTAL DE RECURSOS FINANCIEROS</t>
  </si>
  <si>
    <t xml:space="preserve"> Feria de la transparencia en la contratación pública (Alianza Medellín Antioquia)</t>
  </si>
  <si>
    <t>2012050000129</t>
  </si>
  <si>
    <t>222129-001</t>
  </si>
  <si>
    <t>Sistematización Sistema De Información De La Secretaría De Minas- Medellín</t>
  </si>
  <si>
    <t>Sistemas de información creados para la gestión de la información del Departamento</t>
  </si>
  <si>
    <t>Se realizó traslado de recursos a la Dirección de Informática de la Secretaría de Gestión Humana para el desarrollo y la implementación del sistema de información de la Secretaría de Minas, de acuerdo con sus competencias para tal fin.
El proceso de desarrollo e implementación del  60% del sistema de información (Fase I), se inició el 28 de julio de la presente vigencia; es de aclarar que la Fase I va hasta el primer semestre de 2014.
El indicador de producto esta a cargo del Departamento Administrativo de Planeación; en consecuencia, la meta programada corresponde al desarrollo e implementación del sistema de información esperado en la vigencia 2013 para la Secretaría de Minas. 
A la fecha se encuentra desarrollado el módulo de la Dirección de Titulación Minera, el cual se encuentra en pruebas técnicas para su implementación; se tiene pendiente la aprobación del diseño del modelo del aplicativo para la Dirección de Fiscalización Minera para su posterior desarrollo. 
El 40% restante del sistema de información se ejecutará (Fase II), a partir del segundo semestre de 2014</t>
  </si>
  <si>
    <t>1.4 Promoción de la legalidad en campos estratégicos</t>
  </si>
  <si>
    <t xml:space="preserve">1.4.2  Legalidad en la actividad minera </t>
  </si>
  <si>
    <t xml:space="preserve"> Seguimiento, verificación y monitoreo de la actividad minera en el departamento</t>
  </si>
  <si>
    <t>2012050000088</t>
  </si>
  <si>
    <t>152088-001</t>
  </si>
  <si>
    <t xml:space="preserve">Administración, Seguimiento, Verificación Y Monitoreo De La Actividad Minera En El Departamento De Antioquia </t>
  </si>
  <si>
    <t>Unidades mineras de explotación monitoreados y controlados</t>
  </si>
  <si>
    <t>Sea lo primero indicar que conformidad con la información reportada por el Catastro Minero Colombiano como sistema de información oficial, el Departamento de Antioquia cuenta con 1.500 títulos mineros o unidades mineras con título en su jurisdicción, respecto de las cuales procede en el marco de las competencias el  Seguimiento, Verificación y Monitoreo, por tanto las cifras reportadas refieren al número de veces en el cual un título minero fue objeto de fiscalización. 
En este sentido, referente a los avances del proceso de Seguimiento, Verificación y Monitoreo, se debe advertir que éste se compone de dos elementos, la evaluacíón documental y la inspección en campo:
Respecto al componente de inspección en campo, tal como se indicó en los reportes anteriores, las visitas de fiscalización están siendo realizadas por los Consorcios HGC y Bureau Veritas - Tecnicontrol, los cuales fueron contratados por FONADE, bajo la coordinación de la Agencia Nacional de Minería - ANM. 
En cuanto a la información de las visitas que realizan dichos consorcios,ésta nos debe ser suministrada para su reporte por la Agencia Nacional de Minería; teniendo a la fecha como reporte oficial, la realización del primer ciclo de inspecciones en campo, el cual corresponde a  1.500 visitas a igual número de unidades mineras. 
En cuanto al componente de evaluación documental, la Secretaría de Minas durante la vigencia 2013, realizó la evaluación documental a 1.123 títulos mineros en los cuales se adelantaron 3.226 actuaciones jurídicas, técnicas y de revisión de Informes de Fiscalización Minera Integral.</t>
  </si>
  <si>
    <t xml:space="preserve"> Legalización minera</t>
  </si>
  <si>
    <t>2012050000072</t>
  </si>
  <si>
    <t>152072-001</t>
  </si>
  <si>
    <t>Apoyo En La Legalización Minera</t>
  </si>
  <si>
    <t>Unidades productivas legalizadas</t>
  </si>
  <si>
    <t xml:space="preserve">De acuerdo con el procedimiento normativo establecido para la legalización de minería de hecho, se encuentra como decisiva la etapa de mediación con el titular minero en caso de presentarse superposición del área susceptible de legalizar con un título minero, la cual ha sido exitosa sobre las unidades mineras reportadas para la meta 2013, asunto que se encuentra debidamente soportado en las actas de mediación que se materializaran en los respectivos contratos de operación o de cesión de áreas, que se suscriben de manera particular entre las partes.
 Adicionalmente, se firmó el acta de inicio del convenio con la Universidad Nacional que ha permitido llevar a cabo el Laboratorio de Legalización y Formalización Minera en el Bajo Cauca. Inició ejecución en el mes de octubre debido al retraso en la disponibilidad de recursos del  Ministerio de Minas y Energia, aliado del proceso y al Paro Minero Nacional. 
Por otro lado, es de señalar que Concurso de Méritos para la adjudicación de una consultoría para realizar actividades de asistencia y acompañamiento en legalización y formalización de unidades mineras del Departamento de Antioquia, fue declarado desierto en el mes de noviembre de 2013. Este era el segundo proceso que se convocaba,  toda vez que el primero se declaró desierto ante la imposibilidad de conformar la lista corta de oferentes. 
En el período de 17 de julio a 02 de septiembre de 2013 se desarrolló el Paro Nacional Minero, el cual impidió iniciar actividades en campo de proyectos como el Laboratorio de Bajo Cauca y la continuidad de aquellos que se encontraban en trámite y próximos a visita de viabilización.
Igualmente, sólo hasta el mes de octubre se reciben directrices por parte del Gobierno Nacional para continuar con el trámite de las solicitudes de legalización minera, de conformidad con los cambios normativos acaecidos desde el mes de mayo de 2013, como consecuencia de la pérdida de vigencia de la Ley 1382 de 2010.
</t>
  </si>
  <si>
    <t xml:space="preserve"> Fortalecimiento de las competencias básicas de los actores del sector minero</t>
  </si>
  <si>
    <t>2012050000090</t>
  </si>
  <si>
    <t>152090-001</t>
  </si>
  <si>
    <t xml:space="preserve">Asistencia Fortalecimiento De Las Competencias Básicas De Los Actores Del Sector Minero Todos Los Municipios De Antioquia </t>
  </si>
  <si>
    <t>Servidores públicos, alcaldes y actores del sector formados y asesorados en aspectos legales, técnicos y ambientales referentes al ejercicio de la minería</t>
  </si>
  <si>
    <t>Se realizó el traslado presupuestal a la Gerencia de Comunicaciones para la operación lógistica del desarrollo de las jornadas de fortalecimiento de competencias del sector minero, de acuerdo con sus competencias para tal fin. 
En el marco del proyecto "Fortalecimiento de las competencias básicas de los actores del sector minero", se realizaron durante la vigencia de 2013, jornadas en los Municipios de Medellín, Puerto Berrio, San Rafael, Apartadó, La Unión, Andes, Caracolí, Titiribí, Remedios, El Bagre, Amagá, impartiendo asesoría en temas mineros (Dirección de Fiscalización Minera, Secretaría de Minas), seguridad en el uso de explosivos en la minería (INDUMIL), seguridad y salvamento minero (ANM), ventilación en minería, sistemas de monitoreo de gases, comunicación y rastreo (ISAENG S.A.S), metodologías y equipos utilizados para la incorporación de tecnologías limpias en los procesos de beneficio minero (ROTOPLAST), marco general ambiental en el sector minero en la Cuenca Carbonífera de la Sinifaná (Corantioquia).    Seguridad Higiene Minera y Salvamento Minero (Dirección de Fomento y Desarrollo Minero, Secretaría de Minas). Manejo Psicológico en Situaciones de Pánico (Defensa Civil Colombiana). Asesoría en autorizaciones temportales (Dirección de Titulación Minera-Secretaría de Minas), Sistema de Comando de Incidentes (Bomberos de Antioquia).                                                                                                                       
Es importante aclarar que debido al paro minero se debieron suspender algunas jornadas establecidas para varios municipios que resultaron afectados por éste (Regiones del Bajo Cauca y Nordeste).</t>
  </si>
  <si>
    <t>Minería productiva y competitiva</t>
  </si>
  <si>
    <t>2012050000043</t>
  </si>
  <si>
    <t>152043-001</t>
  </si>
  <si>
    <t xml:space="preserve">Asistencia Minera Productiva y Competitiva Municipios Mineros Del Departamento De Antioquia </t>
  </si>
  <si>
    <t>Planes de mejoramiento suscritos con miras a la certificación de la unidad productiva-</t>
  </si>
  <si>
    <t>El reporte de este indicador obedece a los resultados obtenidos del proyecto "Renovación de la certificación del sello de calidad-hecho a mano para la artesanía, a los artesanos de joyería del Departamento de Antioquia, el cual se ejecutó en articulación con el ICONTEC. Los joyeros certificados en calidad son de los municipios de Santa Fe de Antioquia, Medellín, Caucasia y Segovia.</t>
  </si>
  <si>
    <t>Unidades mineras formalizadas</t>
  </si>
  <si>
    <t>Durante el 2013, la Secretaría de Minas gestionó el desarrollo de un proceso contractual que permitiera realizar el proceso de formalización minera; en este sentido, se realizó una primera convocatoria para la conformación de lista corta, donde los oferentes no cumplieron con la totalidad de requisitos habilitantes, en consecuencia se abrió una segunda convocatoria donde se conformó la lista corta de posibles oferentes, la cual debió ser revocada de acuerdo con la asesoría de la Secretaría General. En tercera medida, se realizó un concurso público de meritos el cual no se logró concretar porque el único proponente no cumplía con el componente técnico. 
En vista de lo anterior, el reporte del indicador que se presenta, obedece al total de Unidades Mineras Intervenidas en el Proceso de Formalización Minea, el cual se desarrolla a partir de estrategias, tales como las Jornadas de Fortalecimiento de Capacidades Básicas de los actores del sector minero, en donde se imparten talleres relacionados con las metodologías y equipos utilizados para la incorporación de tecnologías limpias en los procesos de beneficio minero, y desde el acompañamiento en la generación y el fortalecimiento de competencias, tal como lo plantea el modelo de Antioquia e, el cual se desarrolla en articulación con la Secretaría de Productividad y Competitividad, y la Cámara de Comercio.
Por último, es importante aclarar que el proceso contractual para continuar y desarrollar un acompañamiento permanente, el proceso de formalización minera, se realizará en el primer trimestre de 2014.</t>
  </si>
  <si>
    <t>Construcción y dotación del Centro Minero Ambiental de la subregión del Bajo Cauca</t>
  </si>
  <si>
    <t>2012050000089</t>
  </si>
  <si>
    <t>152089-001</t>
  </si>
  <si>
    <t>Construcción y dotación del Centro de Formación Minero ambiental en la subregión del Bajo Cauca Antiqueño y apoyo a otros centros municipios mineros de las subregiones Bajo Cauca, Alto Nordeste, Suroeste y Magdalena Medio</t>
  </si>
  <si>
    <t>Construcción y dotación del Centro Minero Ambiental</t>
  </si>
  <si>
    <t xml:space="preserve"> 
Se realizó la solicitud de Vigencias futuras: Se presentó en la Comisión de Hacienda y en la Comisión de Presupuesto de la Asamblea, pendiente del segundo y tercer debate en plenaria entre el 20 de agosto y el 05 de septiembre.
El 29 de julio se firmó el Convenio Marco Interadministrativo de Cooperación N. 281 entre el SENA y el Departamento de Antioquia, del cual se deriva la construcción del Centro de Formación. 
La variación del presupuesto radica en la incorporación de saldo de caja y bancos de vigencias anteriores, resultado del saneamiento del Fondo 4598 realizado de manera articulada con la Secretaría de Hacienda.
El 12 de diciembre de 2013 se realizó la adjudicación del proceso contractual, y el 17 de diciembre se dio inicio a la obra</t>
  </si>
  <si>
    <t>Generación de conocimiento e innovación en seguridad minera</t>
  </si>
  <si>
    <t>201205SGR0005</t>
  </si>
  <si>
    <t>152R05-001</t>
  </si>
  <si>
    <t>Estudio determinación del grado de explosividad del polvo de carbón y el contenido de gas metano en los mantos de carbón de la Cuenca del Sinifaná, Amagá, Angelópilis, Titiribi, Venecia y Fredonia</t>
  </si>
  <si>
    <t>Unidades mineras intervenidas con la medición de los índices de explosividad y determinación del contenido de gas metano</t>
  </si>
  <si>
    <t xml:space="preserve">El proyecto fue presentado al Fondo de Ciencia y Tecnología del Sistema General de Regalías, fue aprobado por el OCAD el 15 de noviembre de 2012 y los recursos fueron incorporados el 15 de abril de 2013. Se desarrollaron los trámites precontractuales del convenio con la Universidad Nacional que permitirá dar cumplimiento a estos indicadores , con fecha de incio del 23 de agosto; por lo tanto, el avance se verá reflejado en el segundo semestre. 
Se realizó incorporación de los recursos que se tenian programados para la vigencia 2012 y no se alcanzaron a ejecutar por las fechas de aprobación del OCAD. 
Para el cumplimiento de esta meta se suscribió un convenio de asociación con la Universidad Nacional, el 31 de Julio de 2013.  El 22 de octubre de 2013, se inicia trámite de modificación del convenio (OTROSÍ), para ajustar el convenio con la Unal y el Contrato de Interventoría, de acuerdo con lo aprobado por el OCAD en la reformulación.  Dichos cambios tienen que ver con el monto del convenio y con la forma de desembolsos. 
Se realizó una evaluación preliminar para seleccionar las unidades mineras en las cuales se realizarán los muestreos y perforaciones para evaluación de los índices de explosividad, las cuales se encuentran distribuidas en los municipios de la Cuenca de la Sinifaná;     
Minas preseleccionadas: 15     </t>
  </si>
  <si>
    <t>Minas que incorporan resultads para mejores prácticas</t>
  </si>
  <si>
    <t xml:space="preserve">La implementación del proyecto relacionado con la medición de los índices de explosividad y determinación del contenido del gas metano, inició su ejecución a finales del mes de octubre, dicho proceso se encuentra en la fase de preselección de unidades mineras, para su correspondiente muestreo y perforacción que permitan la evaluación de los índices de explosividad. Por lo anterior, la incorporación de los resultados para mejores prácticas es posterior a la intervención que está desarrollando en dicho proyecto. </t>
  </si>
  <si>
    <t>3 Antioquia es segura y previene la violencia</t>
  </si>
  <si>
    <t>3.4 Derechos Humanos y atención a víctimas con horizonte de reconciliación</t>
  </si>
  <si>
    <t>3.4.2 Programa departamental de atención integral y reparación a víctimas del conflicto (Alianza Medellín - Antioquia)</t>
  </si>
  <si>
    <t xml:space="preserve"> Coordinación y articulación para la atención integral y reparación a la población víctima del conflicto a través de la ruta de atención (Alianza Medellín - Antioquia)</t>
  </si>
  <si>
    <t>2011050000033</t>
  </si>
  <si>
    <t>071045-001</t>
  </si>
  <si>
    <t>Contribución a la inserción de la población desplazada en la subregión del  Bajo Cauca – Antioquia</t>
  </si>
  <si>
    <t>Familias víctimas del conflicto armado que reciben acompañamiento psicosocial y jurídico para el restablecimiento de derechos a través de la Ruta Departamental de Atención Integral a Víctimas del Conflicto</t>
  </si>
  <si>
    <t>Lo reporta Gobierno</t>
  </si>
  <si>
    <t>A junio 30 se encontraba en ejecución el proceso asociado a este proyecto que se inició en la vigecia 2012.
El proceso de la vigencia 2013 inició trámites contractuales en el mes de julio y fue aprobado en comité interno y comité de contratación; por lo tanto, el avance se verá reflejado en el segundo semestre.
El indicador de producto esta a cargo de la Secretaría de Gobierno; en consecuencia, la meta programada corresponde a la establecida desde la Secretaría de de Minas que contribuirá al cumplimiento de l programación general de dicho indicador. 
En septiembre 18 de 2013 se dió inicio al Convenio de Asociación, suscrito entre la Secretaría de Minas, Secretaría de Agricultura, CORANTIOQUIA y Fundación Jardín Botánico; por medio de este se realiza el fortalecimiento a los sistemas productivos apícolas y agroforestales a 32 familias del municipio de El Bagre, 19 familias del municipio de Nechí y 35 familias del municipio de Zaragoza.</t>
  </si>
  <si>
    <t>5.2.2. Minería Responsable.</t>
  </si>
  <si>
    <t xml:space="preserve"> Titulación minera responsable desde la viabilización de propuestas para el adecuado equilibrio de los ecosistemas</t>
  </si>
  <si>
    <t>2012050000071</t>
  </si>
  <si>
    <t>152071-001</t>
  </si>
  <si>
    <t>Mejoramiento De La Titulación Minera Responsable Desde La Viabilización De Propuestas Para El Adecuado Equilibrio Del Ecosistema, Todos Los Municipios De Vocación Minera Del Departamento De Antioquia</t>
  </si>
  <si>
    <t>Cobertura y oportunidad en la titulación minera responsable</t>
  </si>
  <si>
    <t>El avance corresponde a los siguientes trámites:
-Propuestas de contrato: 16 desistimientos aceptados, 36 trámites remitidos a RMN en espera de respuesta, 484 requerimientos generales para adecuación a la nueva normativa, 66 rechazos, 3 expedientes remitidos por competencia a la ANM, 63 análisis de superposición parcial o total con reservas naturales temporales. TOTAL: 668
-Autorizaciones temporales: 30 autorizaciones concedidas remitidas a RMN, 19 rechazadas, 3 desistimientos aceptados, 3 requeridos para subsanar y 1 expediente remitido por competencia a la ANM. TOTAL: 56
Es importante aclarar que en el primer semestre se adelantaron 738 trámites de propuestas de contrato y de solicitudes de autorización temporal y en el segundo semestre, se adelantaron 815, correspondientes al corte de 30 de septiembre de 2013 que equivale a 91 trámites de propuestas de contrato de concesión y solicitudes de autorización temporal; y al corte de 31 de diciembre de 2013 que equivale a 724 trámites de propuestas de contrato de concesión y solicitudes de autorización temporal, para un total durante el segundo semestre de 815.</t>
  </si>
  <si>
    <t xml:space="preserve"> Promoción e implementación de tecnologías limpias en el sector minero.</t>
  </si>
  <si>
    <t>201205SGR0006</t>
  </si>
  <si>
    <t>152R06-001</t>
  </si>
  <si>
    <t xml:space="preserve">Promoción De Tecnologías Limpias En El Sector Minero Del Nordeste Y Bajo Cauca </t>
  </si>
  <si>
    <t>Personas capacitadas para la aplicación de tecnologías limpias</t>
  </si>
  <si>
    <t>Paralelo a las jornadas de Fortalecimiento de las competencias básicas de los actores del sector minero, se han realizado capacitaciones en concentración centrífuga con personas de tradición minera, y talleres relacionados con metodologías y equipos utilizados para la incorporación de tecnologías limpias en los procesos de beneficio minero.
Asimismo, en articulación con el programa BIOREDD+ se han capacitado a actores mineros en mesa de olas y concentradores centrífugos</t>
  </si>
  <si>
    <t>Unidades mineras con incorporación de tecnologías limpias</t>
  </si>
  <si>
    <t>El reporte de este indicador obedece a los resultados que se tienen de dos proyectos que se encuentran en ejecución. El primero obecede a el Convenio de Asociación con CORANTIOQUIA por medio del cual se desarrolla la implementación de tecnologías limpias en unidades mineras ubicadas en las zonas auriferas del Departamento, (las unidades mineras reportadas corresponden a los municipios de Segovia y Remedios); y el segundo obecede al Convenio de Asociación con la Universidad Nacional, por medio del cual se desarrollan y se socializan planes de mejoramiento demostrativos en explotaciones carboníferas de la Cuenca de la Sinifaná.
Asimismo, en articulación con el programa BIOREDD+ se está acompañando la demostración en el mejoramiento de Beneficio de Mineral con la presentación y puesta en práctica de ICON FALCON.</t>
  </si>
  <si>
    <t xml:space="preserve"> Recuperación y mitigación de pasivos ambientales generados por la minería</t>
  </si>
  <si>
    <t>201205SGR0023</t>
  </si>
  <si>
    <t>152R23-001</t>
  </si>
  <si>
    <t xml:space="preserve">Recuperación Proyecto Piloto, Recuperación Y Mitigación De Pasivos Ambientales Generados Por La Mineria Bajo Cauca Antioquia </t>
  </si>
  <si>
    <t>Hectáreas recuperadas para generar programas productivos</t>
  </si>
  <si>
    <t xml:space="preserve">La meta reportada con corte a septiembre, corresponde al proyecto de recuperación de áreas degradadas por la actividad minera en el Bajo Cauca, que se viene desarrollando a través de un proceso de reforestación en Cuacasia corregimiento de Cuturú, en articulación con RIA y la Secretaría de Agricultura. 
Adicionalmente, el proyecto de recuperación de áreas degradadas mediantes parcelas productivas y reforestación en el Bajo Cauca fue presentado al Fondo de Desarrollo Regional del Sistema General de Regalías y aprobado por el respectivo OCAD para el desarrollo de la fase 1, orientada a la identificación y caracterización de las zonas a intervenir. Para lo cual, se celebraró el convenio de asociación con la Fundación Mineros, Corantioquia, las Secretarías de Medio Ambiente y Agricultura del Departamento y el respectivo contrato de interventoría con fecha de inicio el 13 de junio. 
De otro lado, la meta reportada con corte al 31 de diciembre de 2013, corresponde a la ejecución de la II Fase del proyecto de recuperación de áreas degradadas por la actividad minera en el Bajo Cauca, para lo cual se definieron 750 áreas, de las cuales se tiene a la fecha, 235 áreas con perfilado del suelo y establecido el vivero, en los municipios de Nechí y Zaragoza.
</t>
  </si>
  <si>
    <t>Cantidad total realizada</t>
  </si>
  <si>
    <t>Tiempo real semestre 2 (Dias)</t>
  </si>
  <si>
    <t>Sistema de información de la Secretaría de Minas fortalecido</t>
  </si>
  <si>
    <t xml:space="preserve">Porcentual </t>
  </si>
  <si>
    <t xml:space="preserve">Titulos mineros con inspección, vigilancia y control </t>
  </si>
  <si>
    <t>Sea lo primero indicar que conformidad con la información reportada por el Catastro Minero Colombiano como sistema de información oficial, el Departamento de Antioquia cuenta con 1.500 títulos mineros o unidades mineras con título en su jurisdicción, respecto de las cuales procede en el marco de las competencias el  Seguimiento, Verificación y Monitoreo, por tanto las cifras reportadas refieren al número de veces en el cual un título minero fue objeto de fiscalización. 
En este sentido, referente a los avances del proceso de Seguimiento, Verificación y Monitoreo, se debe advertir que éste se compone de dos elementos, la evaluacíón documental y la inspección en campo:
Respecto al componente de inspección en campo, tal como se indicó en los reportes anteriores, las visitas de fiscalización están siendo realizadas por los Consorcios HGC y Bureau Veritas - Tecnicontrol, los cuales fueron contratados por FONADE, bajo la coordinación de la Agencia Nacional de Minería - ANM.                                                         
                                                                                                                                                                                                   En cuanto a la información de las visitas que realizan dichos consorcios,ésta nos debe ser suministrada para su reporte por la Agencia Nacional de Minería; teniendo a la fecha como reporte oficial, la realización del primer ciclo de inspecciones en campo, el cual corresponde a  1.500 visitas a igual número de unidades mineras. 
En cuanto al componente de evaluación documental, la Secretaría de Minas durante la vigencia 2013, realizó la evaluación documental a 1.123 títulos mineros en los cuales se adelantaron 3.226 actuaciones jurídicas, técnicas y de revisión de Informes de Fiscalización Minera Integral.</t>
  </si>
  <si>
    <t>Unidades mineras legalizadas</t>
  </si>
  <si>
    <t xml:space="preserve">Actores del sector minero con fortalecimiento de competencias </t>
  </si>
  <si>
    <t>En el marco del proyecto "Fortalecimiento de las competencias básicas de los actores del sector minero", se realizaron durante la vigencia de 2013, jornadas en los Municipios de Medellín, Puerto Berrio, San Rafael, Apartadó, La Unión, Andes, Caracolí, Titiribí, Remedios, El Bagre, Amagá, impartiendo asesoría en temas mineros (Dirección de Fiscalización Minera, Secretaría de Minas), seguridad en el uso de explosivos en la minería (INDUMIL), seguridad y salvamento minero (ANM), ventilación en minería, sistemas de monitoreo de gases, comunicación y rastreo (ISAENG S.A.S), metodologías y equipos utilizados para la incorporación de tecnologías limpias en los procesos de beneficio minero (ROTOPLAST), marco general ambiental en el sector minero en la Cuenca Carbonífera de la Sinifaná (Corantioquia).    Seguridad Higiene Minera y Salvamento Minero (Dirección de Fomento y Desarrollo Minero, Secretaría de Minas).
Manejo Psicológico en Situaciones de Pánico (Defensa Civil Colombiana). Asesoría en autorizaciones temportales (Dirección de Titulación Minera-Secretaría de Minas), Sistema de Comando de Incidentes (Bomberos de Antioquia).                                                                                                                       Se debieron reprogramar gran parte de las jornadas de fortalecimiento de competencias de los actores del sector minero contempladas para el primer semestre de la presente vigencia, teniendo en cuenta los ajustes en el marco normativo de los trámites mineros. Asimismo, en el segundo semestre,  debido al paro minero, se debieron suspender algunas jornadas establecidas para varios municipios que resultaron afectados por éste (Regiones del Bajo Cauca y Nordeste); en este sentido, se reprogramaron dichas jornadas de fortalecimiento, para el primer trimestre de 2014.</t>
  </si>
  <si>
    <t>Durante el 2013, la Secretaría de Minas gestionó el desarrollo de un proceso contractual que permitiera realizar el proceso de formalización minera; en este sentido, se realizó una primera convocatoria para la conformación de lista corta, donde los oferentes no cumplieron con la totalidad de requisitos habilitantes, en consecuencia se abrió una segunda convocatoria donde se conformó la lista corta de posibles oferentes, la cual debió ser revocada de acuerdo con la asesoría de la Secretaría General. En tercera medida, se realizó un concurso público de meritos el cual no se logró concretar porque el único proponente no cumplía con el componente técnico. 
En vista de lo anterior, el reporte del indicador que se presenta, obedece al total de Unidades Mineras Intervenidas en el Proceso de Formalización Minea, el cual se desarrolla a partir de estrategias, tales como las Jornadas de Fortalecimiento de Capacidades Básicas de los actores del sector minero, en donde se imparten talleres relacionados con las metodologías y equipos utilizados para la incorporación de tecnologías limpias en los procesos de beneficio minero, y desde el acompañamiento en la generación y el fortalecimiento de competencias, tal como lo plantea el modelo de Antioquia e, el cual se desarrolla en articulación con la Secretaría de Productividad y Competitividad, y la Cámara de Comercio.
Por último, es importante aclarar que el proceso contractual para continuar y desarrollar un acompañamiento permanente, el proceso de formalización minera, se realizará en el primer trimestre de 2014.</t>
  </si>
  <si>
    <t>Planes  de mejoramiento suscritos con miras a la certificación de la unidad productiva.</t>
  </si>
  <si>
    <t>Prticipación y desarrollo de ferias y eventos de promoción nacional e internacional</t>
  </si>
  <si>
    <t>Se tiene proyectado en el segundo semestre de la presente vigencia, dar cumplimiento al 100% de esta actividad  con la programación del desarrollo y la participación de feria y eventos asociados al tema minero y joyero.</t>
  </si>
  <si>
    <t xml:space="preserve">Gran feria de antioquia
Expoartesano
</t>
  </si>
  <si>
    <t>Construcción del centro minero ambiental en el bajo cauca</t>
  </si>
  <si>
    <t xml:space="preserve">Unidades mineras intervenidas con la medición de los índices de explosividad y determinación del contenido de gas metano.  </t>
  </si>
  <si>
    <t xml:space="preserve">El proyecto fue presentado al Fondo de Ciencia y Tecnología del Sistema General de Regalías, fue aprobado por el OCAD el 15 de noviembre de 2012 y los recursos fueron incorporados el 15 de abril de 2013. Se desarrollaron los trámites precontractuales del convenio con la Universidad Nacional que permitirá dar cumplimiento a estos indicadores , con fecha de incio del 23 de agosto; por lo tanto, el avance se verá reflejado en el segundo semestre. 
Se realizó incorporación de los recursos que se tenian programados para la vigencia 2012 y no se alcanzaron a ejecutar por las fechas de aprobación del OCAD. 
Para el cumplimiento de esta meta se suscribió un convenio de asociación con la Universidad Nacional, el 31 de Julio de 2013.  El 22 de octubre de 2013, se inicia trámite de modificación del convenio (OTROSÍ), para ajustar el convenio con la Unal y el Contrato de Interventoría, de acuerdo con lo aprobado por el OCAD en la reformulación.  Dichos cambios tienen que ver con el monto del convenio y con la forma de desembolsos. 
Se realizó una evaluación preliminar para seleccionar las unidades mineras en las cuales se realizarán los muestreos y perforaciones para evaluación de los índices de explosividad, las cuales se encuentran distribuidas en los municipios de la Cuenca de la Sinifaná;     
Minas preseleccionadas: 15     </t>
  </si>
  <si>
    <t>Minas que incorporan los resultados para mejores pràcticas</t>
  </si>
  <si>
    <t>Las unidades mineras que incorporan resultados para mejores prácticas se atiende desde el proyecto de incorporación de tecnologías limpias que se tiene suscrito con la Universidad Nacional, en atención a la problemática generada por el uso intensivo de mercurio y determinación del grado de explosividad y contenido de gas metano. En este sentido, es importante aclarar que la incorporación de mejores prácticas es un proceso posterior al acompañamiento que se encuentra realizando desde el proyecto de incorporación de tecnologías limpias.</t>
  </si>
  <si>
    <t>Familias victimas del conflicto armado acompañadas en la implementación de alternativas productivas diferentes a la minería</t>
  </si>
  <si>
    <t>Solicitudes de títulos mineros (propuestas de contrato de concesión, licencias de exploración o explotación y autorizaciones temporales) analizadas, para la determinación de viabilidad o no, con enfoque de minería responsable.</t>
  </si>
  <si>
    <t>El avance corresponde a los estuidios jurídicos de las propuestas de contrato, así como a los estudios técnicos y jurídicos necesarios para las solicitudes de autorización temporal y a los recursos resueltos sobre ambos trámites. 
La variación del presupuesto radica en la incorporación de saldo de caja y bancos de vigencias anteriores, resultado del saneamiento del Fondo 4598 realizado de manera articulada con la Secretaría de Hacienda.</t>
  </si>
  <si>
    <t xml:space="preserve">Personas capacitadas para la aplicación de  tecnologías limpias.
</t>
  </si>
  <si>
    <t>Unidades con incorporación de tecnologías limpias</t>
  </si>
  <si>
    <t xml:space="preserve">Identificación de hectareas suceptibles de recuperación </t>
  </si>
  <si>
    <t xml:space="preserve">De acuerdo con la situación de las zonas degradas por la actividad minera en Antioquia, se vienen realizando las gestiones para aunar esfuerzos que permitan ampliar la cobertura en la recuperación de dichas áreas a través de reforestación y proyectos productivos, como se referencia a continuación: 
1. La meta reportada corresponde al proyecto de recuperación de áreas degradadas por la actividad minera en el Bajo Cauca, que se viene desarrollando a través de un proceso de reforestación en Cuacasia corregimiento de Cuturú, en articulación con RIA y la Secretaría de Agricultura.
2. Segunda fase del proyecto de recuperación de áreas degradadas por la actividad minera en el Bajo Cauca, a través de un proceso de reforestación en Cuacasia en articulación con RIA y la Secretaría de Agricultura. Se encuentra en trámites contractuales y se dará inició en el mes de septiembre ampliando la cobertura en 750 hectaréas adicionales. 
3.  Proyecto de recuperación de áreas degradadas mediantes parcelas productivas y reforestación en el Bajo Cauca fue presentado al Fondo de Desarrollo Regional del Sistema General de Regalías y aprobado por el respectivo OCAD para el desarrollo de la fase 1, orientada a la identificación y caracterización de las zonas a intervenir. Para lo cual, se celebraró el convenio de asociación con la Fundación Mineros, Corantioquia, las Secretarías de Medio Ambiente y Agricultura del Departamento y el respectivo contrato de interventoría con fecha de inicio el 13 de junio.
4. Proyecto de recuperación de áreas degradadas por la actividad minera en Suroeste - Cuenca del Sinifaná, a través de un proceso de reforestación en articulación con RIA y la Secretaría de Agricultura. Se encuentra en trámites contractuales y se dará inició en el mes de septiembre con una cobertura de 100 hectaréas.
La meta reportada como resultado del semestre 2, corresponde a la ejecución de la II Fase del proyecto de recuperación de áreas degradadas por la actividad minera en el Bajo Cauca, para lo cual se definieron 750 áreas, de las cuales se tiene a la fecha, 235 áreas con perfilado del suelo y establecido el vivero, en los municipios de Nechí y Zaragoza.
</t>
  </si>
  <si>
    <t>PRODUCTIVIDAD</t>
  </si>
  <si>
    <t>Área Funcional</t>
  </si>
  <si>
    <t>Sensibilización de la cultura de la innovación y el emprendimiento</t>
  </si>
  <si>
    <t>2012050000045</t>
  </si>
  <si>
    <t>022045-001</t>
  </si>
  <si>
    <t>Implementación del proyecto de sensibilización de la cultura de la innovación y el emprendimiento en el Departamento de Antioquia</t>
  </si>
  <si>
    <t>Foros realizados</t>
  </si>
  <si>
    <t>Se realizaron foros en las siguientes subregiones: Occidente, Norte, Urabá, Oriente, Magdalena Medio, Nordeste, Valle de Aburrá, Suroeste y  Bajo Cauca.</t>
  </si>
  <si>
    <t>Estudiantes que presentan ideas creativas</t>
  </si>
  <si>
    <t>Durante los modulos de emprendimiento se trabajaron 2.492 ideas creativas, las cuales pasaron a preselección en los bazares, se eligieron las mejores y se presentaron en los campamentos de emprendimiento.
Observación: Las 2.942 ideas creativas corresponden al segundo semestre de 2013.</t>
  </si>
  <si>
    <t>2.2.2 Creación de empresas</t>
  </si>
  <si>
    <t>Concurso Capital Semilla</t>
  </si>
  <si>
    <t>2012050000048</t>
  </si>
  <si>
    <t>122048-001</t>
  </si>
  <si>
    <t>Implementación de programas de creación de empresas por medio del Proyecto Capital semilla</t>
  </si>
  <si>
    <t>Iniciativas recibidas</t>
  </si>
  <si>
    <t>Se cerraron inscripciones mayo 31/13.
Se premiaron 80 ideas de negocio en: 15 Uraba, 9 Aburrá Norte, 7 Bajo Cauca, 7 Oriente, 7 Occidente, 7 Magdalena Media, 7 Suroeste, 7Aburrá Norte y 7 Nordoeste.</t>
  </si>
  <si>
    <t>Centros Regionales para la Competitividad Empresarial de Antioquia -CRECE–</t>
  </si>
  <si>
    <t>2012050000051</t>
  </si>
  <si>
    <t>122051-001</t>
  </si>
  <si>
    <t>Implentación de programas de creación de empresas a través del establecimiento de los centros regionales para la competitividad empresarial en Antioquia (CRECE)</t>
  </si>
  <si>
    <t>CRECE operando (Incluye la creación de 1 centro de atención y operación minera y el fortalecimiento de 2)</t>
  </si>
  <si>
    <t>A partir del primero de julio empezaron a operar los Centros Antioquia e en los siguientes municipios: Aburrá Sur, Aburrá Norte, Rionegro, El Peñol, Yarumal, Donmatias, Caucasia, Apartado, Necocli,  Puerto Berrio, Amalfi, Santa Fe de Antioquia, Frotino, Urrao y Andes</t>
  </si>
  <si>
    <t>Empresas que inician operación</t>
  </si>
  <si>
    <t>Asesoría y acompañamiento en la aplicación de los incentivos</t>
  </si>
  <si>
    <t>2012050000066</t>
  </si>
  <si>
    <t>122066-001</t>
  </si>
  <si>
    <t>Implementación de Programas de fortalecimiento de los encadenamientos productivos, buscando aumentar y consolidar el desarrollo empresarial en Antioquia</t>
  </si>
  <si>
    <t>Empresas Fortalecidas</t>
  </si>
  <si>
    <t xml:space="preserve">Actualmente se estan fortaleciendo las siguientes empresas:
358 empresas del sector agropecuario.
219 de otras cadenas.
359 del sector de turismo, 
86 Redes empresariales 
104 Desarrollo a Proveedores
160 Empresas joyería
20 aceleración
20 confecciones
38 Promotora de Comercio Social
28 Marcas de cafes especiales
110 Centros y Banco de las Oportunidades
</t>
  </si>
  <si>
    <t>Empresas Formalizadas</t>
  </si>
  <si>
    <t>Acciones de acceso a mercados</t>
  </si>
  <si>
    <r>
      <t xml:space="preserve">Se ha realizado:
1) Colombiamoda.
2) ExpoNorte.
3) Muestra Empresarial Suroeste.
4) Rueda Minera
5) Feria de Aburrá Norte
6) FERIA DEL EMPLEO Y EL EMPRENDIMIENTO URABÁ 2013
7) Exposurpeste.
8) MUESTRA EMPRESARIAL OCCIDENTE
9) MUESTRA COMERCIAL Y EMPRESARIAL ABURRÁ SUR 2013
10) MUESTRA EMPRESARIAL ORIENTE
11) MUESTRA EMPRESARIAL MAG MEDIO Y NORDESTE ANTIOQUEÑO
12) MUESTRA COMERCIAL URABÁ 2013
13) MUESTRA EMPRESARIAL ORIENTE
14) RUEDA DE SERVICIOS Y FORMALIZACIÓN JERICÓ
15) Participación de 3 empresarios en LA feria de Proveedores de Haceb
</t>
    </r>
    <r>
      <rPr>
        <b/>
        <sz val="10"/>
        <rFont val="Calibri"/>
        <family val="2"/>
        <scheme val="minor"/>
      </rPr>
      <t>En el primer trimestre de 2014 se llevará a cabo</t>
    </r>
    <r>
      <rPr>
        <sz val="10"/>
        <rFont val="Calibri"/>
        <family val="2"/>
        <scheme val="minor"/>
      </rPr>
      <t xml:space="preserve">:
16) PARTICIPACIÓN FERIA NACIONAL – BAJO CAUCA.
17) Encuentro Antioquia e.
</t>
    </r>
  </si>
  <si>
    <t>Antójate de Antioquia</t>
  </si>
  <si>
    <t>2012050000067</t>
  </si>
  <si>
    <t>122067-001</t>
  </si>
  <si>
    <t>Apoyo a la creatividad, la innovación tecnológica y a la formalización empresarial por medio de la identificación, evaluación y selección de productos, prototipos funcionales y o servicios de empresas en distintas categorías, ANTOJATE DE ANTIOQUIA</t>
  </si>
  <si>
    <t>Formularios recibidos y pre evaluados</t>
  </si>
  <si>
    <t>Los incentivos se entregaran en enero de 2014.</t>
  </si>
  <si>
    <t>Ferias y eventos de promoción internacional</t>
  </si>
  <si>
    <t>2012050000059</t>
  </si>
  <si>
    <t>122059-001</t>
  </si>
  <si>
    <t>Apoyo a través de la participación en ferias, eventos y congresos internacionales donde nuestros empresarios representen un departamento emprendedor y con conocimiento en Antioquia.</t>
  </si>
  <si>
    <t>Participación en eventos internacionales</t>
  </si>
  <si>
    <t>La Secretaría se ha vinculado a las siguientes ferias: 1) Colombiatex, 2) Fractal, 3) Agrofuturo, 4) Expoartesano, 5) Expoespeciales, 6) Noche antioquia e, 7) Gran Feria de Antioquia.8) Maridaje 9) Feria del Producto turistico Uraba. 10) Feria Minera. 11) Asoexport Cafes Especiales 12) Asoflora Cafes Especiales 13) Ingeniar.14) Cumbre de Gobernadores 15) Rueda de negocios aceleración (Gran Feria de Antioquia)</t>
  </si>
  <si>
    <t>Antioquia: Origen de cafés especiales</t>
  </si>
  <si>
    <t>112R05-001</t>
  </si>
  <si>
    <t xml:space="preserve">Estrategia de intervención para el mejoramiento de la producción de cafés especiales en el Departamento de Antioquia para el acceso de mercados de cafés diferenciados </t>
  </si>
  <si>
    <t>Unidades productoras beneficiadas por la iniciativa</t>
  </si>
  <si>
    <t>Estas 1800 familias seran intervenidas con capacitaciones y acompañamiento durante todo el 2013</t>
  </si>
  <si>
    <t>Banco de las Oportunidades</t>
  </si>
  <si>
    <t>2012050000061</t>
  </si>
  <si>
    <t>122061-001</t>
  </si>
  <si>
    <t>Implementación y puesta en marcha del Banco de las Oportunidades.</t>
  </si>
  <si>
    <t>Créditos de fomento otorgados a través del Banco de las Oportunidades</t>
  </si>
  <si>
    <t>389 créditos otrorgados durante el 2013</t>
  </si>
  <si>
    <t>Creación de la red de microcréditos del Departamento</t>
  </si>
  <si>
    <t>Red de Aliados Microcrédito, para acompañamiento de las microempresas, esta constituida por 16 empresas.</t>
  </si>
  <si>
    <t>2.2.5.Fortalecimiento del sistema de innovación y emprendimiento (CTi+E)</t>
  </si>
  <si>
    <t>Fortalecimiento de los agentes del sistema de CTi+E regionales</t>
  </si>
  <si>
    <t>2012050000094</t>
  </si>
  <si>
    <t>252094-001</t>
  </si>
  <si>
    <t xml:space="preserve">Apoyo al fortalecimiento de los agentes del sistema CTi +E en el Departamento de Antioquia </t>
  </si>
  <si>
    <t>Acciones de fortalecimiento en CTi+E</t>
  </si>
  <si>
    <r>
      <t xml:space="preserve">NOTA: No se cumplio la meta </t>
    </r>
    <r>
      <rPr>
        <sz val="11"/>
        <rFont val="Calibri"/>
        <family val="2"/>
      </rPr>
      <t>de</t>
    </r>
    <r>
      <rPr>
        <sz val="11"/>
        <rFont val="Calibri"/>
        <family val="2"/>
      </rPr>
      <t>l</t>
    </r>
    <r>
      <rPr>
        <sz val="11"/>
        <rFont val="Calibri"/>
        <family val="2"/>
      </rPr>
      <t xml:space="preserve"> 201</t>
    </r>
    <r>
      <rPr>
        <sz val="11"/>
        <rFont val="Calibri"/>
        <family val="2"/>
      </rPr>
      <t>3</t>
    </r>
    <r>
      <rPr>
        <sz val="11"/>
        <rFont val="Calibri"/>
        <family val="2"/>
      </rPr>
      <t xml:space="preserve"> por traslado de</t>
    </r>
    <r>
      <rPr>
        <sz val="11"/>
        <rFont val="Calibri"/>
        <family val="2"/>
      </rPr>
      <t xml:space="preserve"> los</t>
    </r>
    <r>
      <rPr>
        <sz val="11"/>
        <rFont val="Calibri"/>
        <family val="2"/>
      </rPr>
      <t xml:space="preserve"> recursos a</t>
    </r>
    <r>
      <rPr>
        <sz val="11"/>
        <rFont val="Calibri"/>
        <family val="2"/>
      </rPr>
      <t xml:space="preserve"> otro rubro de la secretaria</t>
    </r>
    <r>
      <rPr>
        <sz val="11"/>
        <rFont val="Calibri"/>
        <family val="2"/>
      </rPr>
      <t xml:space="preserve"> a solicitud del Secretario de Productividad </t>
    </r>
    <r>
      <rPr>
        <sz val="11"/>
        <rFont val="Calibri"/>
        <family val="2"/>
      </rPr>
      <t>(Andrés Cano)</t>
    </r>
  </si>
  <si>
    <t>Corporaciones turísticas fortalecidas</t>
  </si>
  <si>
    <t>2.2.6. Fortalecimiento de la competitividad para el turismo</t>
  </si>
  <si>
    <t>Gestión para la Competitividad turística</t>
  </si>
  <si>
    <t>2012050000058</t>
  </si>
  <si>
    <t>132058-001</t>
  </si>
  <si>
    <t xml:space="preserve">Asistencia gestión para la competitividad turística Departamento Antioquia </t>
  </si>
  <si>
    <t>Planes de desarrollo turísticos regionales apoyados en su formulación</t>
  </si>
  <si>
    <t>Formulado el plan estratégico turístico para los municipios de Carolina del Príncipe, Gómez Plata, Guadalupe y Angostura de la subregión Norte; Cisneros y Santo Domingo de la Subregión Nordeste de Antioquia.
Elaboración de  un (1) plan de negocios para el proyecto “Centro de convenciones y exposiciones del Urabá Antioqueño.
Plan de Desarrollo turístico del Municipio de Arboletes.
Levantamiento del Inventario Turístico para los municipios de Mutatá, Apartadó, Turbo, Necoclí, San Juan y Arboletes.</t>
  </si>
  <si>
    <t>Observatorio turístico de Antioquia implementado en su primera fase</t>
  </si>
  <si>
    <t>Implementación del observatorio turístico - SITUR, este proceso está en construcción con la Alcaldía de Medellín y el Medellín Convention Visitor Bureau. Se ha tenido transferencia internacional de conocimiento</t>
  </si>
  <si>
    <t>Proyectos aprobados para el mejoramiento de la infraestructura turística</t>
  </si>
  <si>
    <t xml:space="preserve">Instalación de puntos de información turística en: Santa Fe de Antioquia, Guatapé, Jardín, Jericó y aeropuerto José Ma Cordova. 
Estudios y diseños para Plan Maestro de  Desarollo turístico para el Túnel de la Quiebra.
Estudios y diseños de los equipamentos anexos al puente de occidente.
Intervención en playas y SOS en los municipios de la Región atracto Gran Darien 
</t>
  </si>
  <si>
    <t>Productos turísticos de valor agregado identificados y diseñados</t>
  </si>
  <si>
    <t xml:space="preserve">Rutas identificadas:
12 Rutas camineras 
3 Productos de valor agregado en las subregiones de Norte, Suroeste y Magdalena medio
Ruta de la leche como  territorio mejor anfitrion de Antioquia                                                                                     Producto turístico basado en la cultura cafetera en el Suroeste Antioqueño </t>
  </si>
  <si>
    <t>Formación y pertinencia educativa para la Calidad y la competitividad turística</t>
  </si>
  <si>
    <t>2012050000215</t>
  </si>
  <si>
    <t>132215-001</t>
  </si>
  <si>
    <t xml:space="preserve">Formación y pertinencia educativa para la calidad y competitividad turística Departamento de Antioquia </t>
  </si>
  <si>
    <t>Plan de formación turística pertinente formulado y ejecutado</t>
  </si>
  <si>
    <t xml:space="preserve">El programa Jóvenes con Futuro el cual permite la formación para el trabajo y el desarrollo humano en áreas técnico-laborales a jóvenes entre los 16 y 29 años, incluye una fase de formación técnica, una fase práctica y la entrega de apoyos de bienestar.
Jericó: Agroturismo cafetero
Arboletes: Turismo receptivo en playas
Entrerrios y Apartado: Guianza recreativa, ecoturistica y cutural.
Guatape: Turismo y medio ambiente
Sonsón, Urrao y Concordia: Ecoturismo y producción de bedidas y cafés especiales
Guadalupe: Turismo y medio ambiente
</t>
  </si>
  <si>
    <t>Promoción Nacional e Internacional de los Productos Turísticos de Valor Agregado de Antioquia</t>
  </si>
  <si>
    <t>2012050000216</t>
  </si>
  <si>
    <t>132216-001</t>
  </si>
  <si>
    <t>Fortalecimiento promoción nacional e internacional de los productos turísticos de valor agregado de Antioquia</t>
  </si>
  <si>
    <t>Participación en ferias, fiestas y eventos</t>
  </si>
  <si>
    <t>Participación en:
1) Anato 
2) salón del producto.
3) Rueda de negocios de proexport en Plaza mayor con agentes internacionales  4) Rueda de negocios en Calí
5)Workshops con Proexort en Santiago de Chile , Buenos Aires y Ecuador.
6) Gran Feria de Antioquia
7) Feria de Turismo Antioquia e 8)Colombiatex
9) olombiamoda
10) Agrofuturo.
11) Expoartesano
12) Maridaje.</t>
  </si>
  <si>
    <t>Personas movilizadas en “Antioqueños viajando por Antioquia”</t>
  </si>
  <si>
    <t xml:space="preserve">Personas movilizadas en el territorio:
30 personas  Lanzamiento Ruta de la Filigrana - Turisbus
7 personas Fam Trip  Discover Colombia - LAN
9 personas Press Trip Avianca
3 personasPresstrip El Tiempo  
10 personas Inspección al oriente
12 Agentes de viajes a Jericó, 15 periodistas a ruta de embalses, 12 periodistas a san jose de la Montaña,                                                                                     15 personas Fam Trip a la Ruta de la leche en el Norte                                                                                                                                           15  personal Fam Trip al Suroeste Territorio Cafetero                                                                                       60 personas Press Trip Urabá
797 Resultado del trabajo q se realizo con los operadores turísticos </t>
  </si>
  <si>
    <t>Campañas de promoción y divulgación</t>
  </si>
  <si>
    <t>Campaña implementada sobre limpieza de playas en el litoral de Urabá con 100 mujeres. Proyecto pedagógico.</t>
  </si>
  <si>
    <t>Generación de conocimiento e innovación (AMA)</t>
  </si>
  <si>
    <t>2012050000095</t>
  </si>
  <si>
    <t>252095-001</t>
  </si>
  <si>
    <t xml:space="preserve">Apoyo a la generación de conocimiento e innovación en el Departamento de Antioquia </t>
  </si>
  <si>
    <t>Investigaciones apoyadas o financiadas aplicadas a las subregiones (Alianza Medellín Antioquia)</t>
  </si>
  <si>
    <t>Se realizó el concurso de Innovación abieta QUIÉN SE LE MIDE?  Se obtuvo como resultado la selecciónd e 18 propuestas ganadoras para 16 retos ( que incorporacan generación de conocimiento e identificación de tecnologías).</t>
  </si>
  <si>
    <t>2012050000092</t>
  </si>
  <si>
    <t>252092-001</t>
  </si>
  <si>
    <t xml:space="preserve">Apoyo a la identificación apropiación de tecnologías y uso de conocimiento en cadenas productivas del departamento de Antioquia </t>
  </si>
  <si>
    <t>Tecnologías identificadas y en proceso de difusión en cadenas productivas estratégicas</t>
  </si>
  <si>
    <t>Se realizó el concurso de Innovación abieta QUIÉN SE LE MIDE?  Se obtuvo como resultado la selección de 18 propuestas ganadoras para 16 retos ( que incorporacan generación de conocimiento e identificación de tecnologías).</t>
  </si>
  <si>
    <t>Medición de los avances de la ciencia, la tecnología y la innovación en el departamento</t>
  </si>
  <si>
    <t>2012050000096</t>
  </si>
  <si>
    <t>252096-001</t>
  </si>
  <si>
    <t xml:space="preserve">levantamiento de indicadores de ciencia y tecnología e innovación y emprendimiento en el Departamento de Antioquia </t>
  </si>
  <si>
    <t>Manual elaborado y socializado de indicadores de ciencia, tecnología e innovación del Departamento</t>
  </si>
  <si>
    <r>
      <rPr>
        <sz val="11"/>
        <rFont val="Calibri"/>
        <family val="2"/>
      </rPr>
      <t>Nota: El indicador de producto en el plan de desarrollo es 1 Manual de indicadores entre (2012-15) que se actualiza cada año. 1 manual con 3 actualizaciones.</t>
    </r>
    <r>
      <rPr>
        <sz val="11"/>
        <rFont val="Calibri"/>
        <family val="2"/>
      </rPr>
      <t xml:space="preserve">
</t>
    </r>
  </si>
  <si>
    <t>2011050000220</t>
  </si>
  <si>
    <t>071046-001</t>
  </si>
  <si>
    <t>Diseño de estrategia de capacitación y financiación de proyectos productivos para la generación de ingresos de familias en situación de desplazamiento</t>
  </si>
  <si>
    <t>Se envió CDP a la Secretaría de Gobierno, actualmente se están ejecutando los recursos con el Colegio Mayor bajo la supervisión de la Dirección de Derechos Humanos de dicha Secretaría.Actualmente se encuentra en la fase contractual un convenio con la Secretaría de Gobierno, Productividad, Alcaldía y Gobierno nacional.</t>
  </si>
  <si>
    <t>7 Antioquia sin fronteras</t>
  </si>
  <si>
    <t>7.1 Antioquia Internacional</t>
  </si>
  <si>
    <t>7.1.1 Internacionalización</t>
  </si>
  <si>
    <t xml:space="preserve"> Promoción de la inversión, el comercio y la cooperación internacional</t>
  </si>
  <si>
    <t>2012050000031</t>
  </si>
  <si>
    <t>122031-001</t>
  </si>
  <si>
    <t xml:space="preserve">Promoción de la inversión, el comercio  y la cooperación internacional </t>
  </si>
  <si>
    <t>Proyectos y programas del plan de Desarrollo que contarán con inversión y/o cooperación extranjera</t>
  </si>
  <si>
    <t xml:space="preserve">Se gestionó la recepción de recursos de cooperación técnica y financiera durante el año 2013 por US$ 3.136.616,26; por parte de las siguientes entidades: Sociedad Espeleológica de Cuba (SEC) y Permacultores cubanos, Ministerio de Relaciones Exteriores de Francia, Universidad de Berkeley –California, USAID, UK Trade and Investment, Gobierno de Chile, AFD, PNUD y Casa Familiar Rurales de Francia. </t>
  </si>
  <si>
    <t xml:space="preserve"> Área de desarrollo territorial impactada por las autopistas de la prosperidad</t>
  </si>
  <si>
    <t>No se ha formulado el proyecto: Área de desarrollo territorial impactada por las autopistas de la prosperidad
Según el informe a junio 30 de 2013 si se realizó</t>
  </si>
  <si>
    <t>Proyecto formulado</t>
  </si>
  <si>
    <t xml:space="preserve">Proyecto formulado, presentado y aprobado por el OCAD del FCTeI </t>
  </si>
  <si>
    <t>2.2.1 Sensibilización de la CTi+E</t>
  </si>
  <si>
    <t>222110008</t>
  </si>
  <si>
    <t>Semilleros de innovación y emprendimiento</t>
  </si>
  <si>
    <t>2012050000057</t>
  </si>
  <si>
    <t>Implementación de un programa de Semilleros de Emprendimiento e Innovación, dirigido a estudiantes de 10° y 11° en el Departamento de Antioquia</t>
  </si>
  <si>
    <t>Alumnos formados en emprendimiento</t>
  </si>
  <si>
    <t>Antioquia: Origen de cafés especiales.</t>
  </si>
  <si>
    <t>2012050000049</t>
  </si>
  <si>
    <t>Incremento de la producción de cafés especiales, a través de la formacion y la capacitación de los actores, implementando buenas prácticas agrícolas, proceso de cosecha y post - cosecha, preparando tecnológicamente al sector de Antioquia.</t>
  </si>
  <si>
    <t xml:space="preserve">Unidades productoras beneficiadas por la iniciativa. </t>
  </si>
  <si>
    <t>Familias cafeteras intervenidas con Asistencia Técnica</t>
  </si>
  <si>
    <t>Productividad</t>
  </si>
  <si>
    <t>Realización de 9 foros de innovación y emprendimiento</t>
  </si>
  <si>
    <t>El contrato inicio el 3 de mayo de 2013. Los recursos se encuentran en Cdp y RPC</t>
  </si>
  <si>
    <t xml:space="preserve">Participación Ferias y eventos </t>
  </si>
  <si>
    <t xml:space="preserve">Acompañamiento e implementación del modelo de negocios a través de la operación del proyecto capital semilla </t>
  </si>
  <si>
    <t>Crece operando</t>
  </si>
  <si>
    <t>Los recursos de gestión, son recursos de regalías.</t>
  </si>
  <si>
    <t xml:space="preserve">Empresas que inician operación </t>
  </si>
  <si>
    <t>Fortalecimiento empresarial (Estructuración y consolidación de empresas)</t>
  </si>
  <si>
    <t>Se realizaron concursos al merito para este indicador, se adjudicaron en el segundo semestre del año, para el primer semestre se terminaron actividades de un convenio de asociación del 2012.</t>
  </si>
  <si>
    <t xml:space="preserve">Aceleración de empresas </t>
  </si>
  <si>
    <t>Esta intervención se realizó por medio de una selección abreviada que inicio en abril de 2013, los resultados se reportan al final de la intervención</t>
  </si>
  <si>
    <t xml:space="preserve">Acciones de acceso a mercados </t>
  </si>
  <si>
    <t>Las acciones de acceso a mercados se van a realizar en el segundo semestre del año, el convenio inicio el 20 de junio.</t>
  </si>
  <si>
    <t>Formalización empresarial</t>
  </si>
  <si>
    <t>Las actividades se van a realizar en el segundo semestre del año, el convenio inicio el 20 de junio.</t>
  </si>
  <si>
    <t xml:space="preserve">Buenas practicas empresariales </t>
  </si>
  <si>
    <t xml:space="preserve">Desarrollo Proveedores </t>
  </si>
  <si>
    <t>La selección abreviada se adjudico a mitad del primer semestre, los resultados son al final de la intervención</t>
  </si>
  <si>
    <t xml:space="preserve">Asociatividad y Redes empresariales </t>
  </si>
  <si>
    <t>Inventivos Programa Antioquia e</t>
  </si>
  <si>
    <t>Diplomados Habilidades en el sector público</t>
  </si>
  <si>
    <t>Esta actividad se iba a realizar con recursos de regalías, al modificarse el proyecto NO se va a realizar</t>
  </si>
  <si>
    <t>Gestión Administrativa</t>
  </si>
  <si>
    <t>Las actividades se van a realizar en el segundo semestre del año, el convenio inició el 20 de junio.</t>
  </si>
  <si>
    <t xml:space="preserve">Interventoría Pi Regalías </t>
  </si>
  <si>
    <t>0.25</t>
  </si>
  <si>
    <t>Actualmente se encuentra en proceso de contratación.</t>
  </si>
  <si>
    <t>Unidades de Emprendimiento</t>
  </si>
  <si>
    <t>Por instrucciones del Secretario de Productividad y Competitividad esta actividad NO se va a realizar este año.</t>
  </si>
  <si>
    <t xml:space="preserve">Operación Programa antójate de Antioquia </t>
  </si>
  <si>
    <t xml:space="preserve">Formularios recibidos </t>
  </si>
  <si>
    <t xml:space="preserve">Vinculación Institucional a Ferias y Eventos 
Colombiatex de las Américas </t>
  </si>
  <si>
    <t>Agrofuturo</t>
  </si>
  <si>
    <t>Congreso de Logística</t>
  </si>
  <si>
    <t>Este año la universidad Eafit, no realizó esta actividad académica.</t>
  </si>
  <si>
    <t>Colombiamoda</t>
  </si>
  <si>
    <t>La Feria se realiza en el segundo semestre del año</t>
  </si>
  <si>
    <t>Maridaje</t>
  </si>
  <si>
    <t>Congreso de Gestión Tecnológica</t>
  </si>
  <si>
    <t>Tecnnova</t>
  </si>
  <si>
    <t>Feria de la Transparencia</t>
  </si>
  <si>
    <t>Otro Sabor</t>
  </si>
  <si>
    <t>Por decisión del secretario de Productividad y Competitividad no se va a  realizar vinculación a esta feria</t>
  </si>
  <si>
    <t>Generación, validación, difusión y transferencia de tecnologías apropiadas para innovar los procesos agroindustriales del café</t>
  </si>
  <si>
    <t>El contrato todavía esta vigente</t>
  </si>
  <si>
    <t xml:space="preserve">Implementar la estrategia de intervención para el mejoramiento de la producción de cafés especiales en el departamento de Antioquia </t>
  </si>
  <si>
    <t xml:space="preserve">Productores intervenidos </t>
  </si>
  <si>
    <t>Desarrolla el Programa de Investigación y Desarrollo Tecnológico en el sector de cafés especiales mediante proyectos de investigación aplicada hacia la generación de alternativas tecnológicas para incrementar la productividad, mejorar la calidad de los cafés especiales y promover la competitividad del sector cafetero</t>
  </si>
  <si>
    <t>En ejecución, comenzó en Diciembre</t>
  </si>
  <si>
    <t>Implementación de una plataforma tecnológica para la calidad del café</t>
  </si>
  <si>
    <t xml:space="preserve">Interventoría a la ejecución del proyecto Antioquia: origen de cafés especiales </t>
  </si>
  <si>
    <t xml:space="preserve">Implementar la estrategia de creación de marca y acceso a mercados de los cafés especiales del Dpto de Antioquia </t>
  </si>
  <si>
    <t xml:space="preserve">Participación en ferias y eventos </t>
  </si>
  <si>
    <t>Otorgamiento de créditos de fomento y apalancamiento financiero</t>
  </si>
  <si>
    <t>El lanzamiento y posterior funcionamiento del Banco de las oportunidades sólo fue posible hasta comienzos del mes de Octubre, de allí que el total de la meta no se haya alcanzado para el año</t>
  </si>
  <si>
    <t>2.2.5.Fortalecimiento del sistema de innovación y emprendimiento (Cite)</t>
  </si>
  <si>
    <t>Proyecto de articulación entre Universidad,Empresa, Estado y Sociedad civil  en subregiones del Departamento.</t>
  </si>
  <si>
    <t>NOTA: No se cumplio la meta del 2013 por traslado de los recursos a otro rubro de la secretaria a solicitud del Secretario de Productividad (Andrés Cano)</t>
  </si>
  <si>
    <t>Formulación del Plan Estratégico Turístico para los municipios de Carolina del Principe, Gomez Plata, Gualupe y Angostura de la subregió Norte y  Cisneros y Santo Domingo de la Subregión Nordeste</t>
  </si>
  <si>
    <t>Diseño de rutas camineras articuladas a las áreas protegidas públicas y los ecosistemas estratégicos, con la producción y publicación de una guía ilustrada de las mismas</t>
  </si>
  <si>
    <t>Identificación y caracterización de nuevos productos turísticos de naturaleza en el Departamento de Antioquia.</t>
  </si>
  <si>
    <t>Implementación de la señalización turística en 4 municipios del Departamento</t>
  </si>
  <si>
    <t>Promoción del Programa "Antioqueños Viajando Por Antioquia"</t>
  </si>
  <si>
    <t>Campañas de</t>
  </si>
  <si>
    <t xml:space="preserve">Contratación de profesional </t>
  </si>
  <si>
    <t>“Elaborar un (1) plan de negocios para el proyecto “Centro de convenciones y exposiciones del Urabá Antioqueño”.</t>
  </si>
  <si>
    <t>Plan padrino para empresarios del Suroeste en normas técnicas</t>
  </si>
  <si>
    <t>No se ha ejecutado</t>
  </si>
  <si>
    <t xml:space="preserve"> Levantamiento del Inventario Turístico para los municipios de Mutatá, Apartadó, Turbo, Necoclí, San Juan y Arboletes.</t>
  </si>
  <si>
    <t xml:space="preserve">En contratación </t>
  </si>
  <si>
    <t xml:space="preserve">Premiación Concurso Mejor Anfitrión </t>
  </si>
  <si>
    <t>Ejecuta la Secretaría de Educación - dentro del programa "Jóvenes con futuro"</t>
  </si>
  <si>
    <t xml:space="preserve">Personas movilizadas </t>
  </si>
  <si>
    <t>Evento Mejor Anfitrión (Vinculación Institucional a Ferias y Eventos )</t>
  </si>
  <si>
    <t>Inauguración Muelle Turísico del Peñol</t>
  </si>
  <si>
    <t>Día Internacional del Turismo</t>
  </si>
  <si>
    <t xml:space="preserve">Identificación, construcción y sistematización de retos en CTeI de las cadenas productivas </t>
  </si>
  <si>
    <t>Se ejecutó el 100%  del proyecto.</t>
  </si>
  <si>
    <t xml:space="preserve">Convocatoria para la presentación de proyectos de investigación aplicada que den solución a los retos de CTeI Identificados </t>
  </si>
  <si>
    <t>Se realizó el lanzamiento y convocatoria del Concurso QUIÉN SE LE MIDE?.  Se contrató la operación del Concurso con la CORPORACIÓN TECNNOVA</t>
  </si>
  <si>
    <t xml:space="preserve">Adecuación locativa para los funcionarios de la Secrearía de Productividad </t>
  </si>
  <si>
    <t>Se ejecutó através de la secratría General (Subseretaría Logística)</t>
  </si>
  <si>
    <t xml:space="preserve">Diseño e implementación de un conjunto de indicadores de CTeI que permita apoyar la formulación, evaluación y seguimiento de políticas públicas </t>
  </si>
  <si>
    <t>Ejecuta Secretaria de Gobierno</t>
  </si>
  <si>
    <t xml:space="preserve">Desarrollar actividades de relaciones internacionales en materia de inversión, negocios, cooperación y proyección internacional e internacionalización, a través de la gestión realizada por la ACI, ante actores estratégicos </t>
  </si>
  <si>
    <t>Este proyecto es realizado por educación.</t>
  </si>
  <si>
    <t xml:space="preserve">Semilleros de innovación y emprendimiento
</t>
  </si>
  <si>
    <t>Número de semilleros</t>
  </si>
  <si>
    <t xml:space="preserve">Concurso Ideas Creativas
</t>
  </si>
  <si>
    <t>Número de concursos</t>
  </si>
  <si>
    <t>Campamentos regionales de innovación y emprendimiento</t>
  </si>
  <si>
    <t>Número de campamentos</t>
  </si>
  <si>
    <t>Campamento departamental de innovación y emprendimiento</t>
  </si>
  <si>
    <t>Bazares o ferias de Ideas creativas.</t>
  </si>
  <si>
    <t>Número de bazares</t>
  </si>
  <si>
    <t>Taller  formador de formadores, para docentes de las diferentes instituciones educativas.</t>
  </si>
  <si>
    <t>Recursos de regalías y aportes de aliados en convenios. Se encuentran en ejeciucion</t>
  </si>
  <si>
    <t>Gerencia de Control Interno</t>
  </si>
  <si>
    <t xml:space="preserve"> Apoyo al Programa Nacional de lucha contra la corrupción (Alianza Medellín Antioquia)</t>
  </si>
  <si>
    <t>2012050000202</t>
  </si>
  <si>
    <t>222202-001</t>
  </si>
  <si>
    <t xml:space="preserve">Fortalecimiento, fomentar la cultura del control en el marco dela lucha contra la corrupción, realizar auditorias internas especializadas y promover las auditorias </t>
  </si>
  <si>
    <t>Programa Anticorrupción implementado</t>
  </si>
  <si>
    <r>
      <t xml:space="preserve">En el segundo semestre se realizó el Segundo Encuentro Internacional de Lucha Contra la Corrupción con muy buenos resultados en la logística, en el contenido académico y en la aceptación por parte de los 300 asistentes. Se continúa desarrollando la campaña que viene en ejecución desde el segundo semestre de 2012. (La variación de recursos financieros en el semestre 1 es de -100'000.000 debido a que este valor se trasladó a la Gerencia de Comunicaciones atendiendo a la política institucional para la ejecución de la Campaña "TODO LO QUE HACEMOS </t>
    </r>
    <r>
      <rPr>
        <sz val="11"/>
        <color rgb="FF00B050"/>
        <rFont val="Calibri"/>
        <family val="2"/>
        <scheme val="minor"/>
      </rPr>
      <t>AQUI ADENTRO</t>
    </r>
    <r>
      <rPr>
        <sz val="11"/>
        <color theme="1"/>
        <rFont val="Calibri"/>
        <family val="2"/>
        <scheme val="minor"/>
      </rPr>
      <t xml:space="preserve"> SE SIENTE EN TODA ANTIOQUIA. Explicado lo anterior, es normal que para esta Gerecia de Cotrol Interno el reporte financiero registre ceros en el presupuesto actual y en la ejecución).</t>
    </r>
  </si>
  <si>
    <t>La variación de recursos financieros en el semestre 1 es de -100'000.000 debido a que este valor se trasladó a la Gerencia de Comunicaciones atendiendo a la política institucional para la ejecución de la Campaña "TODO LO QUE HACEMOS AQUI ADENTRO SE SIENTE EN TODA ANTIOQUIA. Explicado lo anterior, es normal que para esta Gerecia de Cotrol Interno el reporte financiero registre ceros en el presupuesto actual y en la ejecución.</t>
  </si>
  <si>
    <t xml:space="preserve">Campaña del Autocontrol enmarcada en el Programa de Lucha Contra la Corrupción. </t>
  </si>
  <si>
    <t>0.4</t>
  </si>
  <si>
    <t>Se continúa desarrollando la campaña que viene en ejecución desde el segundo semestre de 2012.
La campaña “Todo lo  que Hacemos aquí Adentro se Siente en Toda Antioquia” se ha incorporado trasversalmente a las actividades que le apuntan al plan de desarrollo … se potencializa para ser incormporada en las acciones de los servidores públicos desde su día a día.
Se acompaña a la dirección de desarrollo humano llevando la campaña a los Servidores Públicos de las subregiones, en el desarrollo de esta actividad han sido  atendidos  350 Servidores.</t>
  </si>
  <si>
    <t>Auditorías Ciudadanas</t>
  </si>
  <si>
    <t>0.5</t>
  </si>
  <si>
    <t>Para la vigencia 2013  se eligieron los proyectos:
1. Acueducto veredal de el peñol (gerencia de  servicios públicos).  Se realizo el primer foro de tres programados, los cuales se desarrollan en la medida en que avanza la ejecución del contrato.
2. Estrategia Prevenir es Mejor (Gerencia de Infancia, Adolescencia y Juventud – Secretaría de Minas), en los Municipios de Amaga, Angelópoolis y Venecia, se han llevado a cabo el primero y el segundo foro de tres programados.</t>
  </si>
  <si>
    <t>Acciones de Verificación Inmediata</t>
  </si>
  <si>
    <t xml:space="preserve">No se programan son por demanda, de acuerdo con las necesidades que surjan, por eso su denominación de acción inmedita. </t>
  </si>
  <si>
    <t>Con corte a diciembre se han realizado 15 verificaciones de acción inmediata a diversos temas de la Administración Central de la Gobernación de Antioquia en Medellín y algunas Subregiones del Departamento.</t>
  </si>
  <si>
    <t>Encuentro Internacional de Lucha Contra la Corrupción</t>
  </si>
  <si>
    <t>En el segundo semestre se realizó el Segundo Encuentro Internacional de Lucha Contra la Corrupción con muy buenos resultados en la logística, en el contenido académico y en la aceptación por parte de los 300 asistentes.</t>
  </si>
  <si>
    <t>Fábrica de Licores de Antioquia</t>
  </si>
  <si>
    <t>Dotación con tecnología de punta y amigable con el medio ambiente</t>
  </si>
  <si>
    <t>201205000163</t>
  </si>
  <si>
    <t>112163-001</t>
  </si>
  <si>
    <t xml:space="preserve">Adquisición de equipos, muebles , sistemas y adecuación  área administrativa y otros </t>
  </si>
  <si>
    <t>Tecnología de punta amigable con el medio ambiente modernizada</t>
  </si>
  <si>
    <t>Este indicador de producto lo maneja la secretaría General</t>
  </si>
  <si>
    <t>2012050000164</t>
  </si>
  <si>
    <t>112164-001</t>
  </si>
  <si>
    <t xml:space="preserve">Modernización de los procesos productivos y administrativos de la FLA municipio de Itagui Departamento de Antioquia </t>
  </si>
  <si>
    <t>2012050000350</t>
  </si>
  <si>
    <t>112350-001</t>
  </si>
  <si>
    <t>Mejoramiento y adecuación de la infraestructura física de la FLA</t>
  </si>
  <si>
    <t>2012050000165</t>
  </si>
  <si>
    <t>112165-001</t>
  </si>
  <si>
    <t xml:space="preserve">Programa de bienestar social , capacitación, salud ocupacional y seguridad industrial municipio de Itagui Departamento de Antioquia </t>
  </si>
  <si>
    <t>Este indicador de producto lo maneja la secretaría de Gestión Humana</t>
  </si>
  <si>
    <t>2012050000166</t>
  </si>
  <si>
    <t>112166-002</t>
  </si>
  <si>
    <t xml:space="preserve">Investigación Aplicada y Estudios </t>
  </si>
  <si>
    <t>2012050000247</t>
  </si>
  <si>
    <t>112247-001</t>
  </si>
  <si>
    <t>Mejoramiento, reorganización y ajuste funcional de la fábrica de licores de Antioquia, itagui</t>
  </si>
  <si>
    <t>1.4.6 Antioquia juega legal</t>
  </si>
  <si>
    <t>Acción coordinada para prevenir la producción y/o distribución de bebidas alcohólicas adulteradas, fraudulentas y de contrabando</t>
  </si>
  <si>
    <t>111019-001</t>
  </si>
  <si>
    <t>Actualización, formulación plan de inversión publicitaria FLA</t>
  </si>
  <si>
    <t>Personas capacitadas (entes de
control, Rentas Departamentales,
Fiscalía, comercializadores,
ciudadanos) en la identificación de
bebidas alcohólicas, adulteradas,
fraudulentas y de contrabando.</t>
  </si>
  <si>
    <t>Esta capacitacion la esta realizando Rentas Departamentales</t>
  </si>
  <si>
    <t>FLA</t>
  </si>
  <si>
    <t>Informar a Planeacion Dptal quien es la entidad que reporta el indicador</t>
  </si>
  <si>
    <t>Esta meta se debe redistribuir entre los proyectos con los que se relaciona: Filas</t>
  </si>
  <si>
    <t>El resultado de este indicador debe reportarse a la Secretaria de Gestión Humana quien lo procesa e informa</t>
  </si>
  <si>
    <t>xxxxx</t>
  </si>
  <si>
    <t>yyyy</t>
  </si>
  <si>
    <t>Renovacion Tecnologica</t>
  </si>
  <si>
    <t>Nª</t>
  </si>
  <si>
    <t>Los recursos se trasladaron a informática de la Gobernación y a la secretaría General, quienes hacen las compras. Por la FLA se Ejecutaron $559,953,511</t>
  </si>
  <si>
    <t>Dotacion equipos de oficina, muebles y enseres</t>
  </si>
  <si>
    <t xml:space="preserve">Modernización de los procesos productivos yadministrativos de la FLA municipio de Itagui Departamento de Antioquia </t>
  </si>
  <si>
    <t>Maquinaria y Equipo Planta de Produccion FLA</t>
  </si>
  <si>
    <t>Reposicion Acueducto y alcantarillado</t>
  </si>
  <si>
    <t>No se hizo - se priorizaron otras necesidades de inversion de acuerdo al presupuesto apropiado</t>
  </si>
  <si>
    <t>Modernización y actualización de la infraestructura física de la FLA</t>
  </si>
  <si>
    <t>Adecuacion y mejoramiento areas FLA</t>
  </si>
  <si>
    <t>Señalizacion FLA</t>
  </si>
  <si>
    <t>Pendiente Señalizacion para 2014</t>
  </si>
  <si>
    <t>Ejecucion Programas de Capacitacion</t>
  </si>
  <si>
    <t>Ejecucion Programas de Seguridad industrial y salud Ocupacional</t>
  </si>
  <si>
    <t>Ejecucion programas de Bienestar Social</t>
  </si>
  <si>
    <t>112166-001</t>
  </si>
  <si>
    <t>Investigacion de Mercados</t>
  </si>
  <si>
    <t>Convenios Especificos de Investigacion</t>
  </si>
  <si>
    <t>Estudio y revision de perfiles de cargos - Dllo Organizacional</t>
  </si>
  <si>
    <t>Promoción y publicidad de los productos de la FLA a nivel local, nacional e internacional. Campañas licor adulterado</t>
  </si>
  <si>
    <t>TOTAL</t>
  </si>
  <si>
    <t>ok</t>
  </si>
  <si>
    <t>Gerencia de Negritudes</t>
  </si>
  <si>
    <t>4.5.2  Antioquia Afro</t>
  </si>
  <si>
    <t xml:space="preserve"> Implementación de la Política Pública Afroantioqueña.</t>
  </si>
  <si>
    <t>072041-001</t>
  </si>
  <si>
    <t xml:space="preserve">Fortalecimiento Institucional Para La Implementación De La Política Pública Afroantioqueña En El Departamento De Antioquia </t>
  </si>
  <si>
    <t>Entidades Departamentales que implementan la Política Pública Afroantioqueña</t>
  </si>
  <si>
    <t>Acciones de coordinación y apoyo con los siguientes organismos y dependencias:  SEDUCA, Servicios Públicos, Secretaría de Participación Ciudadana, Sec. del Medio Ambiente, VIVA, Instituto de Cultura y Patrimonio de Antioquia, Gerencia Indígena, MANA, Sec. de Equidad de Género, Dpto Adtivo   de Planeación, DAPARD, Secretaría de Gobierno, Productividad y Competitividad, Sec. de Agricultura, Comunicaciones, Teleantioquia, Secretaría de Salud.</t>
  </si>
  <si>
    <t>Consejos Comunitarios y Organizaciones de Base de Comunidades Negras fortalecidas en la implementación de la Política Pública Afroantioqueña</t>
  </si>
  <si>
    <t xml:space="preserve">* Encuentro Mesa Departamental (16 Consejos comunitarios)
 * Acompañamiento a consejos comunitarios del municipio de Zaragoza en materia de consulta previa (4 consejos comunitarios)
* Asesoria y asistencia técnica  a consejos comunitarios de Urrao - mande y punta de ocaido en materia de ley 70 y decreto reglamentarios ( 2 Consejos comunitarios)
*  Acompañamiento legal en conformación de consejos comunitarios en el municipio de Santa Rosa de Osos en los corregimientos de Hoyorico , San Isidro y la vereda el Caney (Lideres 3)
* Se inicia Convenio de Asociación con la Gerencia de Negritudes y Afrocultura para el fortalecimiento de las organizaciones sociales afro, en las 9 subregiones. </t>
  </si>
  <si>
    <t>Adquisición de material pedagogico para fortalecer  la etnoeducación del Departamento de Antioquia</t>
  </si>
  <si>
    <t>N°</t>
  </si>
  <si>
    <t>160.000 herramientas etnodidaticas</t>
  </si>
  <si>
    <t>Aunar esfuerzos para el fortalecimiento integral y equipamento social a comunidades afro</t>
  </si>
  <si>
    <t>Vivienda para el Municipio de Vigía del Fuerte.</t>
  </si>
  <si>
    <t>Convocatoria  de estímulos (Cultura Afro)</t>
  </si>
  <si>
    <t>Convenio Interadministrativo con el Instituto de Cultura y Patrimonio de Antioquia.</t>
  </si>
  <si>
    <t>Aunar esfuerzos para el fortalecimiento a iniciativas de emprendimiento y desarrollo social a organizaciones de base, consejos comunitarios y comunidades afro.</t>
  </si>
  <si>
    <t>Proyecto de confecciones con mujeres victimas cabeza de familia de Mutatá y proyecto piscicola en el Consejo Ctario de Caño Bodegas del municipio de Yondó</t>
  </si>
  <si>
    <t>Aunar esfuerzos para el fortalecimiento de los procesos de participación, etnodesarrollo, etnoeducación y autoreconocimiento y emprendimiento de los consejos comunitarios, organizaciones de base y comunidades de base y comunidades afro en municipios de las subregiones de Antioquia.</t>
  </si>
  <si>
    <t>Convenio de Asociación con Afrocultura.</t>
  </si>
  <si>
    <t>Apoyar procesos de etnodesarrollo con oportunidades académicas, culturales y de emprendimiento.</t>
  </si>
  <si>
    <t xml:space="preserve">A la Gerencia de Comunicaciones se le trasladaron 97,000,000 para realizar 
1. Creación e Instalación de la Mesa  Departamental de Consejos Comunitarios  y líderes de organizaciones afrodescendientes.
2. Entrega de título colectivo a Consejo Comunitario Chilona-El Salto del municipio de Zaragoza
3. "Socialización III Cumbre Mundial de Lideres y Mandatarios Afrodescendientes”.
4. Conversatorio: “Dialogo de experiencias: educación, arte y emprendimiento”, en el marco de la Celebración Día Nacional de la Afrocolombianidad
5. Antioquia 200 Años.
</t>
  </si>
  <si>
    <t>Temporalidad y viáticos abogado</t>
  </si>
  <si>
    <t>Aunar esfuerzos para fortalecer procesos de etnodesarrollo con mujeres afrodecendientes cabeza de familias del municipio de Mutata, (corregimiento Belen de Bajira)</t>
  </si>
  <si>
    <t>Se adelantará en el segundo semestre</t>
  </si>
  <si>
    <t xml:space="preserve"> Fortalecimiento de las instituciones que brindan servicio de justicia formal y de los mecanismos alternativos de solución de conflictos</t>
  </si>
  <si>
    <t>2012050000052</t>
  </si>
  <si>
    <t>092052-001</t>
  </si>
  <si>
    <t>Fortalecimiento de las Instituciones que brindan servicio de justicia formal y de los mecanismos alternativos de solución de conflictos</t>
  </si>
  <si>
    <t>Canasta de insumos invertidos en las Instituciones de justicia formal y mecanismos alternativos de solución de conflictos</t>
  </si>
  <si>
    <t xml:space="preserve"> Al 27 de Diciembre de 2013 se cuenta aún con $5.127.282 para darle cumplimiento al 100% del presupuesto. Este dinero se destinó para la contratacióna través de un profesional temporal y sus viáticos para la Dirección de Apoyo Institucional y de Acceso a la Justicia, y fue el saldo final disponible sobre este profesional.</t>
  </si>
  <si>
    <t>3.1 La Seguridad: un asunto de todos</t>
  </si>
  <si>
    <t>3.1.1 Política criminal regional para la seguridad (Alianza Medellín Antioquia)</t>
  </si>
  <si>
    <t xml:space="preserve"> Apoyo a la estrategia integral de lucha contra la criminalidad y las rentas ilícitas</t>
  </si>
  <si>
    <t>2008050000501</t>
  </si>
  <si>
    <t>081002-001</t>
  </si>
  <si>
    <t xml:space="preserve">Construcción, mejoramiento y dotacion de sedes de la fuerza pública y organismos de seguridad en Antioquia </t>
  </si>
  <si>
    <t>Índice de Seguridad Integral Formulado y Aplicándose</t>
  </si>
  <si>
    <t>Se realizaron 4 reuniones con expertos para validar la pertinencia de la estructura del Índice Integral de Seguridad, de la siguiente manera:
1. Una reunión al interior del Sistema de Información para la Seguridad y la Convivencia, para identificar los datos, la periodicidad, la realización de históricos, las virtudes y las dificultades para cada una de las variables que componen el índice. Se llevó a cabo el 17 de octubre de 2013. Como producto se prescinde de algunas variables que se consideran poco pertinente y se realiza el primer ejercicio de definir cada variable para delimitarla respecto a otras.
2. Tres reuniones con expertos de Centro de Análisis Político de la Escuela de Ciencias y Humanidades de la Universidad Eafit, con quienes debatidos la estructura del índice, el marco teórico y conceptual del índice y sus variables.
a. Octubre 28 de 2013
b. Noviembre 19 de 2013
c. Diciembre 11 de 2013
Como productos de este ejercicio con expertos y atendiendo a sus recomendaciones, tenemos una estructura más sencilla, pero más acorde a la realidad antioqueña y una ruta de trabajo para el 2014.</t>
  </si>
  <si>
    <t>2012050000033</t>
  </si>
  <si>
    <t>082033-001</t>
  </si>
  <si>
    <t>Capacitacion, apoyo a las instituciones que reaccionan cotra el crimen; apoyo para el fortalecimiento y cualificación en componentes academicos y científicos con el fin de contribuir a la agilización del proceso investigativo</t>
  </si>
  <si>
    <t xml:space="preserve">3.1.2 Fortaleciendo nuestra institucionalidad local </t>
  </si>
  <si>
    <t xml:space="preserve"> Generación de capacidades locales para la planeación, ejecución y seguimiento de estrategias de seguridad y prevención de la violencia.</t>
  </si>
  <si>
    <t>2012050000126</t>
  </si>
  <si>
    <t>082126-001</t>
  </si>
  <si>
    <t xml:space="preserve">Fortalecimiento de las capacidades para la gestión local de la seguridad integral en los municipios del Departamento de Antioquia </t>
  </si>
  <si>
    <t>Planes subregionales y locales de seguridad y prevención de la violencia formulados y con seguimiento</t>
  </si>
  <si>
    <t>Del 10% planeado para el 2013 , correspondiente al seguimiento de 102 Planes Locales de Seguridad y Prevención de la violencia formulados y con seguimiento. El seguimiento se ha basado en la construcción de capacidades locales para la seguridad. El Plan local debe estar acompañado de la actualización del Fondo Cuenta de Seguridad y el Comité de Orden Público según el Decreto 399 de 2011 .</t>
  </si>
  <si>
    <t>2012050000306</t>
  </si>
  <si>
    <t>082306-001</t>
  </si>
  <si>
    <t>Apoyo a los componentes de seguirdad y prevención de la violencia de los planes municipales de desarrollo en el departamento de antioquia.</t>
  </si>
  <si>
    <t>2012050000323</t>
  </si>
  <si>
    <t>082323-001</t>
  </si>
  <si>
    <t>Apoyo a la formulación de estrategias regionales y subregionales de prevención de la violencia en el departamento de Antioquia</t>
  </si>
  <si>
    <t xml:space="preserve"> Tecnologías y Sistema de Información para la Seguridad y Convivencia Departamental - (Alianza Medellín - Antioquia)</t>
  </si>
  <si>
    <t>2012050000130</t>
  </si>
  <si>
    <t>082130-001</t>
  </si>
  <si>
    <t xml:space="preserve">Implementación tecnologías y sistemas de información para la seguridad y convivencia Departamento de Antioquia </t>
  </si>
  <si>
    <t>Sistema de información y tecnología para la seguridad y convivencia en funcionamiento</t>
  </si>
  <si>
    <t>Se cuenta con un SISC funcionando, monitoreando el orden público del departamento de Antioquia, consolidando bases de datos y produciendo conocimiento cualitativo. Contrastando fuentes y miradas a partir de relaciones fluidas con los organismos de seguridad y justicia y las autoridades civiles, dando como resultado mejor calidad del dato e identificando alertas tempranas. En el marco de la Alianza Medellín Antioquia, el SISC Medellín ha avanzado en la actualización de la tecnológica, en especial la plataforma que contendrá el repositorio de la bases de datos con información en seguridad y convivencia de Medellín, el Valle de Aburrá y Antioquia.</t>
  </si>
  <si>
    <t>3.2 Entornos protectores que previenen la violencia</t>
  </si>
  <si>
    <t xml:space="preserve">3.2.1 Construyendo ciudadanía prevenimos la violencia </t>
  </si>
  <si>
    <t xml:space="preserve"> Prevención de la violencia y promoción de la convivencia</t>
  </si>
  <si>
    <t>2012050000080</t>
  </si>
  <si>
    <t>082080-001</t>
  </si>
  <si>
    <t xml:space="preserve">Apoyo al diseño e implementación de programas municipales para la prevención de la violencia y la promoción de la conviviencia en 90 municipios del departamento de Antioquia </t>
  </si>
  <si>
    <t>Municipios con programas de prevención de la violencia y promoción de la convivencia</t>
  </si>
  <si>
    <t xml:space="preserve"> Prevención de la violencia intrafamiliar, sexual y de género.</t>
  </si>
  <si>
    <t>2012050000076</t>
  </si>
  <si>
    <t>082076-001</t>
  </si>
  <si>
    <t>Apoyo a la formulación e implementación de programas de prevención de la violencia intrafamiliar , sexual y de género en 80 municipios.</t>
  </si>
  <si>
    <t>Municipios con programas de prevención de la violencia intrafamiliar, sexual y género adoptados</t>
  </si>
  <si>
    <t>3.3 Una Justicia cercana y oportuna</t>
  </si>
  <si>
    <t>3.3.1 Fortalecimiento de las Instituciones responsables del servicio de justicia formal y los mecanismos alternativos de solución de conflictos</t>
  </si>
  <si>
    <t xml:space="preserve"> Fortalecimiento del sistema de responsabilidad penal para adolescentes</t>
  </si>
  <si>
    <t>2012050000055</t>
  </si>
  <si>
    <t>092055-001</t>
  </si>
  <si>
    <t>Fortalecimiento del Sistema de responsabilidad penal para adolescentes</t>
  </si>
  <si>
    <t>Canasta de apoyo al Sistema de Responsabilidad Penal para Adolescentes</t>
  </si>
  <si>
    <t>Al 27 de Diciembre de 2013 se cuenta aún con $29,515,528 para la contratación de profesionales a través de la temporal Empleamos, que hacen parte de un RPC que está en trámite para pago en hacienda, por lo cual no se ve reflejado aún en el presupuesto, sin embargo quedará ejecutado en un 100%</t>
  </si>
  <si>
    <t>3.4.1 Promover el respeto, la prevención y la protección a los Derechos Humanos y el Derecho Internacional Humanitario (Alianza Medellín Antioquia)</t>
  </si>
  <si>
    <t xml:space="preserve"> Promoción, prevención y protección de derechos humanos y aplicación del derecho internacional humanitario (Alianza Medellín - Antioquia)</t>
  </si>
  <si>
    <t>2012050000128</t>
  </si>
  <si>
    <t>082128-001</t>
  </si>
  <si>
    <t xml:space="preserve">Asistencia desarrollar procesos de promoción, prevención y protección de los derechos humanos y la aplicación del derecho internacional humanitario en el Departamento de Antioquia </t>
  </si>
  <si>
    <t>Municipios beneficiados con programas de formación en DDHH y DIH para autoridades, instituciones, fuerza pública y sociedad civil y con planes municipales de derechos humanos formulados y adoptados</t>
  </si>
  <si>
    <t xml:space="preserve">Formulación de 25 planes municipales con estrategias y agendas de trabajo en los territorios en materia de promoción, prevención y protección de DH y aplicación del DIH. 
Municipios: Olaya, Peque, Sabanalarga, Buriticá, Santa Fe de Antioquia, Liborina, Yarumal, San Andrés de Cuerquia, Toledo, Briceño, Anorí, Amalfí, Segovia, Remedios, Vegachí, El Bagre, Zaragoza, Cáceres, Taraza, Yondó, San Carlos,Granada, Cocorná, Argelia y San Francisco.
</t>
  </si>
  <si>
    <t xml:space="preserve"> Plan retorno y reubicación</t>
  </si>
  <si>
    <t>2012050000127</t>
  </si>
  <si>
    <t>082127-001</t>
  </si>
  <si>
    <t xml:space="preserve">Implementación diseño de un plan retorno y reubicación Departamento de Antioquia </t>
  </si>
  <si>
    <t>Familias retornadas o reubicadas acompañadas en el proceso de retorno</t>
  </si>
  <si>
    <t xml:space="preserve">El acompañamiento a estas familias continua en el 2014. Es importante tener en cuenta que a partir de de la ejecución del proyecto "Apoyo Institucional en Proceso de Retorno para 400 Familias Víctimas de Desplazamiento Forzado de los Municipios de Medellín, Granada, San Francisco, Alejandría, San Luis, San Rafael, Urrao, Apartadó y Carmen de Atrato", presentado y aprobado por la UARIV en el marco de la Alianza AMA, se deberá realizar ajuste a la ficha del indicador, pues se superaría la meta en mas de un 100% </t>
  </si>
  <si>
    <t>Municipios con planes de contingencia para la atención a situaciones de desplazamiento</t>
  </si>
  <si>
    <t xml:space="preserve">Formulación del plan de contingencia en los siguientes municipios: Remedios, Segovia, Ituango, Tarazá, Nechí, Zaragoza, Briceño, Vigía del Fuerte, Yondó, Amalfí, Urrao, Itagui, Dabeiba,  El  Santuario, San Andres de Cuerquia. Anorí, Chigorodó, Yarumal, Turbo, Argelia, Concepción, Guarne, La Ceja, Liborina, Toledo, Nariño, San Rafael, San Vicente, Apartado, Carepa, Mutatá, Girardota, Alejandría, El Retiro, San Carlos y Puerto Triunfo. </t>
  </si>
  <si>
    <t>2012050000006</t>
  </si>
  <si>
    <t>082006-001</t>
  </si>
  <si>
    <t xml:space="preserve">Asistencia, promoción, prevención y protección de los derechos humanos y atención a la población víctima del conflicto armado </t>
  </si>
  <si>
    <t>La familias continuarán su proceso de restablecimiento de derechos en el 2014. Las Familias se distribuyen de la siguiente manera:
Turbo: 414                   San Francisco: 206
Nariño:250                   San Carlos:126
Argelia:124                   Cocorná:130</t>
  </si>
  <si>
    <t>3.4.3 Reintegración comunitaria hacia un horizonte de reconciliación</t>
  </si>
  <si>
    <t xml:space="preserve"> Procesos de reconstrucción del tejido social</t>
  </si>
  <si>
    <t>2012050000083</t>
  </si>
  <si>
    <t>082083-001</t>
  </si>
  <si>
    <t>Procesos de reconstrucción del tejido social</t>
  </si>
  <si>
    <t>Personas formadas en convivencia, participación ciudadana, capacidades para el liderazgo y gestión comunitaria</t>
  </si>
  <si>
    <t xml:space="preserve">Las personas continúan su proceso de formación en diferentes temas para ser multiplicadoras en sus territorios partiendo de transferencia de herramientas y metodologías desde lo psicosocial, ciudadanía activa y agenciamiento social. </t>
  </si>
  <si>
    <t>2012050000001</t>
  </si>
  <si>
    <t>082001-001</t>
  </si>
  <si>
    <t xml:space="preserve">Reconstrucción del capital físico en comunidades afectadas por el conflicto armado en 4 municipios del oriente antioqueño </t>
  </si>
  <si>
    <t>La Seguridad un asunto de todos</t>
  </si>
  <si>
    <t>Política criminal regional para la seguridad (Alianza Medellín - Antioquia)</t>
  </si>
  <si>
    <t>221144</t>
  </si>
  <si>
    <t>Fortalecimiento de las rentas oficiales como fuente de inversion social en el Departamento de Antioquia</t>
  </si>
  <si>
    <t>Incautaciones realizadas de bebidas alcohólicas, adulterados, fraudulentos o de contrabando</t>
  </si>
  <si>
    <t>SON DE HACIENDA</t>
  </si>
  <si>
    <t>En el Plan de desarrollo  el producto pertenece a Hacienda, el producto sí pertenece al 3111</t>
  </si>
  <si>
    <t>Incautaciones realizadas de cajetillas de tabacos y cigarrillos adulterados, fraudulentos o de contrabando</t>
  </si>
  <si>
    <t>Apoyo en su logística e inteligencia a la fuerza  pública y organismos de seguridad en Antioquia</t>
  </si>
  <si>
    <t xml:space="preserve"> Plan de educación, seguridad, prevención y control vial (Ley 1503 de 2011)</t>
  </si>
  <si>
    <t>2012050000038</t>
  </si>
  <si>
    <t>082038-001</t>
  </si>
  <si>
    <t>Implementación de Politica Pública  de Seguridad víal para el Departemento de Antioquía</t>
  </si>
  <si>
    <t>Plan Departamental de educación, seguridad, prevención y control vial formulado y actualizado</t>
  </si>
  <si>
    <t>Avances en la elaboración del diagnóstico del Plan de Departamenrtal de Seguridad Vial,Diagnóstico de señalización realizado y programación inicial propuesta</t>
  </si>
  <si>
    <t>Municipios con vías Departamentales controladas</t>
  </si>
  <si>
    <t xml:space="preserve">36 Municipios con Convenio de Regulación y Control Vial. </t>
  </si>
  <si>
    <t>SECRETARIA DE GOBIERNO</t>
  </si>
  <si>
    <t>Asesoría, asistencia y acompañaniento profesional a los miembros de las instituciones que brindan servicios de justicia forman y mecanismos de solución de confllictos</t>
  </si>
  <si>
    <t>Asesorias, capacitaciones</t>
  </si>
  <si>
    <t xml:space="preserve">Durante el segundo semestre se realizarón : Tres encuentros con Comisarios de Familia y sus equipos interdiciplinarios de Antioquia y el   Primer Simposio Nacional de Comisarias de Familia. Además de realizarón  nueve Jornadas en Derecho Policivo y normas afines para capacitar  a mediadores comunitarios en el municipio de Yarumal , Por otro lado se capacitacitaron  a  los bomberos del Departamento,  y  se coordino  y realizó 32 jormadas de casa de Justicia Movil en el Departamaento de Antioquia, </t>
  </si>
  <si>
    <t>Dotar y mejorar la  capacidad instalada de las instituciones que brindan servicios de justicia forman y mecanismos de solución de confllictos</t>
  </si>
  <si>
    <t>Instituciones</t>
  </si>
  <si>
    <t>Durante   el año 2013, se aumento el número de instituciones dotadas, debido a los 15  acuerdos municipales asi:  16 Inspecciones de Policia, 16 Comisarias de Familia, 21  Puntos deAtencion a Consiliadores en Equidad, 9 Casas de Justicia Movil.</t>
  </si>
  <si>
    <t>Construir y mejorar sedes de la Fueza Pública</t>
  </si>
  <si>
    <t>Sedes de la fuerza pública</t>
  </si>
  <si>
    <r>
      <t xml:space="preserve">Durante el año  2013  se realizarón las siguientes actividades :  </t>
    </r>
    <r>
      <rPr>
        <b/>
        <sz val="11"/>
        <color theme="1"/>
        <rFont val="Calibri"/>
        <family val="2"/>
        <scheme val="minor"/>
      </rPr>
      <t>A) MEJORAS</t>
    </r>
    <r>
      <rPr>
        <sz val="11"/>
        <color theme="1"/>
        <rFont val="Calibri"/>
        <family val="2"/>
        <scheme val="minor"/>
      </rPr>
      <t xml:space="preserve">: </t>
    </r>
    <r>
      <rPr>
        <b/>
        <sz val="11"/>
        <color theme="1"/>
        <rFont val="Calibri"/>
        <family val="2"/>
        <scheme val="minor"/>
      </rPr>
      <t>1)</t>
    </r>
    <r>
      <rPr>
        <sz val="11"/>
        <color theme="1"/>
        <rFont val="Calibri"/>
        <family val="2"/>
        <scheme val="minor"/>
      </rPr>
      <t xml:space="preserve">  Adecuación fisica de la estacion de policia del Municipio de Vigia del Fuerte. </t>
    </r>
    <r>
      <rPr>
        <b/>
        <sz val="11"/>
        <color theme="1"/>
        <rFont val="Calibri"/>
        <family val="2"/>
        <scheme val="minor"/>
      </rPr>
      <t>2)</t>
    </r>
    <r>
      <rPr>
        <sz val="11"/>
        <color theme="1"/>
        <rFont val="Calibri"/>
        <family val="2"/>
        <scheme val="minor"/>
      </rPr>
      <t xml:space="preserve"> Mejorar las instalaciones fisicas y técnologicas de la Central de Monitoreo de la U de A. 3)</t>
    </r>
    <r>
      <rPr>
        <b/>
        <sz val="11"/>
        <color theme="1"/>
        <rFont val="Calibri"/>
        <family val="2"/>
        <scheme val="minor"/>
      </rPr>
      <t xml:space="preserve"> </t>
    </r>
    <r>
      <rPr>
        <sz val="11"/>
        <color theme="1"/>
        <rFont val="Calibri"/>
        <family val="2"/>
        <scheme val="minor"/>
      </rPr>
      <t xml:space="preserve">Cerramiento perimetral del Nucleo Charlie de la Fuerza Aerea, ubicado en la Base Cacom 5, Muncipio de Rionegro. </t>
    </r>
    <r>
      <rPr>
        <b/>
        <sz val="11"/>
        <color theme="1"/>
        <rFont val="Calibri"/>
        <family val="2"/>
        <scheme val="minor"/>
      </rPr>
      <t>4)</t>
    </r>
    <r>
      <rPr>
        <sz val="11"/>
        <color theme="1"/>
        <rFont val="Calibri"/>
        <family val="2"/>
        <scheme val="minor"/>
      </rPr>
      <t xml:space="preserve"> Remodelación del Restaurante de la Policia Metropolitana de Medellin.  </t>
    </r>
    <r>
      <rPr>
        <b/>
        <sz val="11"/>
        <color theme="1"/>
        <rFont val="Calibri"/>
        <family val="2"/>
        <scheme val="minor"/>
      </rPr>
      <t xml:space="preserve">5) </t>
    </r>
    <r>
      <rPr>
        <sz val="11"/>
        <color theme="1"/>
        <rFont val="Calibri"/>
        <family val="2"/>
        <scheme val="minor"/>
      </rPr>
      <t xml:space="preserve">construcción de lal primera fase de la Regional de la Inteligencia Militar de la Septima División </t>
    </r>
    <r>
      <rPr>
        <b/>
        <sz val="11"/>
        <color theme="1"/>
        <rFont val="Calibri"/>
        <family val="2"/>
        <scheme val="minor"/>
      </rPr>
      <t>.6)</t>
    </r>
    <r>
      <rPr>
        <sz val="11"/>
        <color theme="1"/>
        <rFont val="Calibri"/>
        <family val="2"/>
        <scheme val="minor"/>
      </rPr>
      <t xml:space="preserve">  Adecuacion y mantenimiento de 4 estaciones de Policia en el municipio de Uraba. Además se han contratado  las siguientes </t>
    </r>
    <r>
      <rPr>
        <b/>
        <sz val="11"/>
        <color theme="1"/>
        <rFont val="Calibri"/>
        <family val="2"/>
        <scheme val="minor"/>
      </rPr>
      <t>CONSULTORIAS:</t>
    </r>
    <r>
      <rPr>
        <sz val="11"/>
        <color theme="1"/>
        <rFont val="Calibri"/>
        <family val="2"/>
        <scheme val="minor"/>
      </rPr>
      <t xml:space="preserve">  1) Adecuación fisica de la Estación de Policia de Vigia del Fuerte; 2) planos y presupuestos de  8 estaciones de policia en el  Uraba.; </t>
    </r>
    <r>
      <rPr>
        <b/>
        <sz val="11"/>
        <color theme="1"/>
        <rFont val="Calibri"/>
        <family val="2"/>
        <scheme val="minor"/>
      </rPr>
      <t>3)</t>
    </r>
    <r>
      <rPr>
        <sz val="11"/>
        <color theme="1"/>
        <rFont val="Calibri"/>
        <family val="2"/>
        <scheme val="minor"/>
      </rPr>
      <t xml:space="preserve"> diseños de las nuevas estaciones de policia ( Taraza, Vegachi, Remedios, Olaya,  Segovia); 4)  interventoria para la construccion del edificio RIME;  </t>
    </r>
    <r>
      <rPr>
        <b/>
        <sz val="11"/>
        <color theme="1"/>
        <rFont val="Calibri"/>
        <family val="2"/>
        <scheme val="minor"/>
      </rPr>
      <t>5)</t>
    </r>
    <r>
      <rPr>
        <sz val="11"/>
        <color theme="1"/>
        <rFont val="Calibri"/>
        <family val="2"/>
        <scheme val="minor"/>
      </rPr>
      <t xml:space="preserve"> interventoria para las adecuaciones de las estaciones de policia de Uraba; </t>
    </r>
    <r>
      <rPr>
        <b/>
        <sz val="11"/>
        <color theme="1"/>
        <rFont val="Calibri"/>
        <family val="2"/>
        <scheme val="minor"/>
      </rPr>
      <t xml:space="preserve"> 6) </t>
    </r>
    <r>
      <rPr>
        <sz val="11"/>
        <color theme="1"/>
        <rFont val="Calibri"/>
        <family val="2"/>
        <scheme val="minor"/>
      </rPr>
      <t xml:space="preserve">Interventoria para  la construccion del cerramiento de Cacom 5  y  </t>
    </r>
    <r>
      <rPr>
        <b/>
        <sz val="11"/>
        <color theme="1"/>
        <rFont val="Calibri"/>
        <family val="2"/>
        <scheme val="minor"/>
      </rPr>
      <t xml:space="preserve">7) </t>
    </r>
    <r>
      <rPr>
        <sz val="11"/>
        <color theme="1"/>
        <rFont val="Calibri"/>
        <family val="2"/>
        <scheme val="minor"/>
      </rPr>
      <t>la interventoria de la remodelacion del restaurante de la Policia Metropolitana.</t>
    </r>
  </si>
  <si>
    <t>Capacitacion, apoyuo a las instituciones que reaccionan cotra el crimen; apoyo para el fortalecimiento y cualificación en componentes academicos y científicos con el fin de contribuir a la agilización del proceso investigativo</t>
  </si>
  <si>
    <t>Capacitar a los servidores de las instituciones que reaccionan contra el crimen.</t>
  </si>
  <si>
    <t>Capacitaciones</t>
  </si>
  <si>
    <t>Se realizó  un diplomado en Uraba sobre Politica Criminal dirigido a Operadores Juridicos  . Por situacion del orden publico por el paro minero y campesino no se pudo realizar el diplomado  programado en el  Bajo Cauca. Para el  segundo semestre se realizó  convenio con el Colegio de Jueces y Fiscales de Antioquia, asi como con la Universidad  Eafit  para realizar  las siguentes actividades : 15 foros regiones (microtrafico y extorsion) y  2 foro internacionales y una jornada de acceso a justicia.</t>
  </si>
  <si>
    <t>Capacitar a los servidores de las instituciones que adelantan actividades de seguridad integral</t>
  </si>
  <si>
    <t>En el primer semeste  del 2013, se realizó el Diplomado  sobre el tema de seguridad Integral, en la Universidad EAFIT para las subregiones del Norte y Nordeste de Antioquia, diriguido a Secretarios de Gobierno, Comandantes de Policia , Personeros , Consejales y Funcionarios de las Administraciones Muncipales</t>
  </si>
  <si>
    <t>Apoyar a los municpios en la  formulación de sus proyectos en temas de seguridad para ser presentados ante FONSECON</t>
  </si>
  <si>
    <t>Durante el 2013 se apoyo la Formulacion de proyecto para la adquisicion e implementación de camaras de seguidad a traves de FONSECON , en los muncipios de Ituango, Segovia,  Remedios, Anori, Carepa,Chigorodo y San Andres de Cuerquia,  Angelopolis, Belmira,  Caracoli, Guatape, Yolombo, Angostura, Entrerrios, Guadalupe, Amalfi, San Roque; con personal de la secretaría</t>
  </si>
  <si>
    <t>Apoyar la formulacion de estrategias  en temas de seguridad a nivel local y regional</t>
  </si>
  <si>
    <t>Se  formularon e implementaron  estrategias de seguridad en los municipios de : El Carmen de Viboral, Belmira, San José de la Montaña, Yolombo,   Caramanta,  Valparaíso,  Andes , Hispania ,  Jericó, Venecia , Fredonia , Amaga, Guarne, La Ceja , El Retiro, Marinilla, Rionegro, Sonsón, Entrerrios, Yarumal, Guatapé y el Peñol . No se puedo cumplir con la meta de 25 municipios debido al paro minero y campesino ocurrido en el mes de agosto</t>
  </si>
  <si>
    <t>Apoyar la formulacion del plan regional de seguridad Uraba</t>
  </si>
  <si>
    <t>Plan</t>
  </si>
  <si>
    <t xml:space="preserve">Se apoyo la formulacion  e implementacion del Plan regional de Seguridad  en todos los municipios de la subregión de Uraba </t>
  </si>
  <si>
    <t>Elaborar informes diarios de homicidios</t>
  </si>
  <si>
    <t>Informes</t>
  </si>
  <si>
    <t xml:space="preserve">Debido a la regulacion  en la entrega de la información ( La policia) , se logro aumentar el numero de informes </t>
  </si>
  <si>
    <t>Elaborar informes diarios de hechos relevantes en materia de seguridad</t>
  </si>
  <si>
    <t>Aunque la información se procesaba diariamente, los eventos ocurridos durante el fin de semana se reportaban el primer día hábil de la semana. Esto implicó que el número de reportes fuera inferior.</t>
  </si>
  <si>
    <t>Elaborar informes semanales estadísticos y analíticos de homicidios</t>
  </si>
  <si>
    <t>Este informe  es un insumo que el Secretario  requeria para el comité primario y se realizarón 41 Comité Primarios durante el año 2013</t>
  </si>
  <si>
    <t>Elaborar y actuallizar fichas municipales de seguridad</t>
  </si>
  <si>
    <t>Fichas</t>
  </si>
  <si>
    <t>Las Fichas  Muncipales de Seguridad , se actualiza cada 6 meses de acuerdo al balance de seguridad  semestral. El del segundo semestre de 2013 se elabora en el mes de enero de 2014</t>
  </si>
  <si>
    <t>Elaborar informe estadistico y analitico ´como insumo para las mañanas de seguridad con el Gobernador de Antiqouia</t>
  </si>
  <si>
    <t>Se presento una mayor demanda de este informe por parte del Señor Gobernador</t>
  </si>
  <si>
    <t>Referenciar y georeferenciar las variables de conflictividad, criminalidad y violencia a través de mapas estructurados de fácil lectura</t>
  </si>
  <si>
    <t>Mapa</t>
  </si>
  <si>
    <t>Este informe se proyecta dependiento de la existencia de los diferentes fenomenos del orden público y se presentan    a traves de mapas que ayudan a visualizar estas varialbes .  para el año 2013 se presentaron en Antioquia 1.554 sucesos importantes</t>
  </si>
  <si>
    <t>Elaborar análisis temáticos en materia de seguridad y convivencia</t>
  </si>
  <si>
    <t>Debido a la necesidad de monitoriar  los fenomenos de orden publico, se incremento  los analisis en materia de seguirdad</t>
  </si>
  <si>
    <t>Elaborar analisis especiales en temas de seguridad y convivencia</t>
  </si>
  <si>
    <t>Debido a la necesidad de monitoriar  hechos  ocurrdios  en los municipios debido algún fenomeno de orden publico especificos se aumento la demanta de este informe</t>
  </si>
  <si>
    <t>Elaboración de informes de violencia contra las mujeres</t>
  </si>
  <si>
    <t>El tercer infome se realiza con la informacion del segundo semetre de 2013. para principio del 2014 se debe elaborar</t>
  </si>
  <si>
    <t>Seguimiento a eventos de violación a derechos humanos</t>
  </si>
  <si>
    <t xml:space="preserve">Esto obedece a que se presentaron más casos de violación de DDHH </t>
  </si>
  <si>
    <t>Asesoría tecnica y capacitación para la elaboración y presentación de informes en materia de seguridad y convivencia</t>
  </si>
  <si>
    <t xml:space="preserve">Se requierón asesorias adicionales para el equipo técnico del SICS , </t>
  </si>
  <si>
    <t>Realizar evento academico en temas de seguridad y convivencia</t>
  </si>
  <si>
    <t>Evento</t>
  </si>
  <si>
    <t>Ser  presento un error en reporte del primer semenstre de 2013. en la realidad no se realizo nigun evento academico en el año 2013</t>
  </si>
  <si>
    <t>Realizar acuerdos para el intercambio de información en temas de seguridad</t>
  </si>
  <si>
    <t>Acuerdo</t>
  </si>
  <si>
    <t xml:space="preserve">Los acuerdo son informales con la Policia, Fiscalia, Ejercito,  Personerias, Secretarias de Gobierno del Muncipio,Medicina Legal </t>
  </si>
  <si>
    <t xml:space="preserve">Apoyar actividades Deportivas de Prevención de la violencia y Promoción de la convivencia </t>
  </si>
  <si>
    <t>actividades apoyadas</t>
  </si>
  <si>
    <t>Proyecto "Entornos Protectores-Ultimate por Antioquia" en Articulación con Indeportes Antioquia</t>
  </si>
  <si>
    <t>Apoyar actividades Culturales de Prevención de la violecnia y promoción de la convivencia</t>
  </si>
  <si>
    <t>Actividades apoyadas</t>
  </si>
  <si>
    <t xml:space="preserve"> Se realizo en 4 Municipios (Campamento, Caucasia, Caceres, Apartado a traves de convenio de asociación con la Fundación Barrio Comparsa, con la asistencia de 300 jovenes en riesgo entre los 13 y los 19 años.</t>
  </si>
  <si>
    <t xml:space="preserve">Campañas de prevención </t>
  </si>
  <si>
    <t>Esta campaña cuyo nombre fue,"Mi Pasión y Mi Adicción es la Vida, Cuales la Tuya", se realizo en medios televisivos (teleantioquia), y tenia como fin potencializar y mostrar los talentos de los jovenes del depatrtamento, fueron 4 jovenes seleccionados de 4 Municipios, con talentos como la musica, el arte, las matematicas y la danza, posteriormemnte se sacaron unos plegables de esta campaña los cuales se resparten en las INstituciones Educativas del Departamento y se hicieron 4 vallas ublicitarias ubicadas en lugares estrategicos de la ciudad.</t>
  </si>
  <si>
    <t>Mantener y fortalecer programas municipales</t>
  </si>
  <si>
    <t>Programa fortalecidos</t>
  </si>
  <si>
    <t>El Proyecto "Entorno a  Mi Educación para la Paz" , en el Muncipio de  Valdivia se realizo  en asocio con la fundacion Mi Sangre, como estaba planeado durante el 2013, con la participación de 3400 niños, niñas, adolescentes, docentes y adultos significativos, quienes fortalecieron sus habiliades para la vida y aprendieron nuevas metodologias educativas.</t>
  </si>
  <si>
    <t>Realizar plan de visibilidad artistica</t>
  </si>
  <si>
    <t>Presentaciones</t>
  </si>
  <si>
    <t>Apoyar la Implementación deI Plan Metropolitano para la prevención del consumo de sustancias piscoactivas</t>
  </si>
  <si>
    <t>Existe un Plan Metropolitano de Prevención del consumo de  sustencias psicoactivas, donde participan  los 10 municipios de Valle de aburra</t>
  </si>
  <si>
    <t>Apoyar la implementación  y seguimiento de programas municipales de prevención de la violencia y promocion</t>
  </si>
  <si>
    <t>Se ha prestado en el año 2013, asesoria y asistencia técnica en programas de prevencion de la violencia  en los siguientes muncipios:, Ciudad Bolivar, San Andres de Cuerquia, Guatape, Entrerrios, El Bagre, Remedios, Amalfi, Murindo, Zaragoza, Caceres, La Unión, Nechi, Campamento, Vigia del Fuerte, Vegachi, Segovia, Santa Rosa de Osos, Cisneros, Caucasia, San Francisco, Santa Fé de Antioquia, Guadalupe, San José de la Montaña, Sonson, Yarumal, Liborina, Turbo, Andes,  Argelia, Ituango,  Carepa, Salgar, Apartado, Chigorodo, Marinilla, Caracoli, Nariño, Anori</t>
  </si>
  <si>
    <t>Realizar campaña publicitaria en temas de prevencion de la violencia</t>
  </si>
  <si>
    <t>Esta actividad se cumplio con la realización de la campaña de prevención del consumo de sustancias psicoactivas, siendo este un factor de riesgo para la violencia.</t>
  </si>
  <si>
    <t>Realización de un evento academico</t>
  </si>
  <si>
    <t>Se realizo el evento academico , en asocio con la Secretaria de equidad de genero, sobre la prevención de la violencia intrafamiliar, sexual y de genero.</t>
  </si>
  <si>
    <t>Apoyar la implementación de programas municipales de prevención de la violencia intrafamiliar, sexual y de género</t>
  </si>
  <si>
    <t>Como parte del acompañamiento que realizan los agentes locales de prevención en los Muinicipoios priorizados por el programa entornos protectores se realizaron estos talleres dirigidos a adultos significativos y, docentes, jovenes en riesgo y funcionarios de las administraciones Municipales, se utilizo una metodologia participativa a traves de la cual los asistentes tomaron un papel activo en los mismos, con la asistencia de 850 personas en los 40 talleres.</t>
  </si>
  <si>
    <t>Realizar actividades atísticas en el marco de los proyectos de prevencion de la violencia</t>
  </si>
  <si>
    <t>Actividades artisticas</t>
  </si>
  <si>
    <t>Como parte del convenio realizado con la Fundación Barrio Comparsa se realizaron las actividades con enfasis en prevenir la violencia al interior de las familias, a esta actividad asistieron ademas de los jovenes ne riesgo sus familias y adultos significativos.</t>
  </si>
  <si>
    <t>Realizar actividades de articulación de programas especializados dirigidos a los adolescentes del SRPA</t>
  </si>
  <si>
    <t>Oferta ihnstitucional</t>
  </si>
  <si>
    <t>Contrato con el Parque Explora  para la realización de talleres de recreación y manualidades  en los centros  de Atención  especializados:Lla Granja, La Polas y la Acogida</t>
  </si>
  <si>
    <t>Asesoria, asisitencia téncica y acompañamiento a los actores de SRPA</t>
  </si>
  <si>
    <t>Asesoria, asistencia tecnica y acompañamiento</t>
  </si>
  <si>
    <t>Se realizaron 14 asesorias y asistencias tecnicas durante el primer semestre de año 2013, en los circuitos judiciales de Antioquia y Medellin. En el último trimestre se realizarón Asesorias y asistencias técnicas en la region del Suroeste, en el mmarco del Plan Cosecha  ( Andes Jerdico,Jardin,Pueblo Rico,Concordia,Venecia,Ciudad Bolivar y Betania)</t>
  </si>
  <si>
    <t>Brindar sostenibilidad integral a  los adolescentes que se encuentran en el marco del sistema de SRPA</t>
  </si>
  <si>
    <t>Cupos</t>
  </si>
  <si>
    <t>convenio interadministrativo con IPSICOL y Muncipio de Medellin,para el pago de 30 cupos en el CAE La Acogida,durante el año 2013</t>
  </si>
  <si>
    <t>Dotar y mejorar la capacidad instalada de los centros especializados SRPA</t>
  </si>
  <si>
    <t>Centros especializados SRPA</t>
  </si>
  <si>
    <t>Se dotarón en el segundo semestre 3 CETRAS, debido a los acuerdos municipales( Fredonia, Apartado y Tarazá ) y consistio en entregar los siguientes KIT de bienes muebles: 1 camarote doble,2 colchonetas, 2 almuadas,1 TV, horno microondas,1 gravadora ,botiquin de primeros auxilios, extintor polvo quimico,1 comedor de madera,4 butacos para comedor y dos sillas rimax</t>
  </si>
  <si>
    <t>Realizar formación y capacitacion  en los municipios de Antioquia en  temas de Derechos humanos</t>
  </si>
  <si>
    <t>Muncipios</t>
  </si>
  <si>
    <t>Durante el año 2013, se capacitarón en temas de Derechos Humanos los funcionarios de los siguientes muncipios : Olaya, Peque, Sabanalarga, Burtica, Santa Fé de Antioquia, Liborina, Yarumal, San Andres de Cuerquia, Toledo, Briceño, Anorí, Amalfi, Segovia, Remedios, Vegachi, El Bagre, Zaragoza, Caceres, Taraza, Yondo, San Carlos, Granada, Cocorna, Argelia y San Francisco</t>
  </si>
  <si>
    <t>Relizar acompañamiento y asistencia profesional a la población carcelaria en temas de derechos humanos</t>
  </si>
  <si>
    <t>Se realizaron talleres de derechos humanos con población carcelaria de los centros penitenciarios de los municipios de Itaguí, Anorí, Amalfí, La Estrella, Barbosa y Caldas.</t>
  </si>
  <si>
    <t>Asesoría y acompañamiento y seguimiento en la elaboración de los planes municipales de derechos humanos.</t>
  </si>
  <si>
    <t>Durante el año 2013 se  asesoro y acompaño en la elaboracion de los planes muncipales de Derechos Humanos los siguientes municipios: Segovia, Remedios, Vegachí, Yondó, Anorí, Amalfi, Briceño, Santa Fe de Antioquia, Olaya, Liborina, Buriticá, Peque, Sabanalarga, Toledo, San Francisco, Yarumal, San Andrés de Cuerquia, El Bagre, Zagagoza, San Carlos, Argelia, Granada, Cocorná, Tarazá, Cáceres</t>
  </si>
  <si>
    <t>Aacompañamiento psicosocial y juridico a las familias en proceso de retorno y  reubicación</t>
  </si>
  <si>
    <t>Familias</t>
  </si>
  <si>
    <t>Durante el año 2013 se acompañarón  en los componentes psicosocial y juridico a 78 familias en proceso de retorno y reubicacion de los municipios de Turbo, San Francisco</t>
  </si>
  <si>
    <t>Elaborar planes de contingencias en los municipios para atender situaciones asociadas al desplazamiento forzado</t>
  </si>
  <si>
    <t>Planes</t>
  </si>
  <si>
    <t>Durante el año 2013 se eleboraron planes de contigencia para atender situaciones asociadas  al desplazamiento en los siguientes municipios: Remedios, Segovia, Ituango, Tarazá, Nechí, Zaragoza, Briceño, Vigía del Fuerte, Yondó, Amalfí, Urrao, Itagui, Dabeiba,  El  Santuario, San Andrés de Cuerquia., Anorí, Chigorodó, Yarumal, Turbo, Argelia, Concepción, Guarne, La Ceja, Liborina, Nariño, San Rafael, San Vicente, Apartadó, Carepa, Mutatá, Girradota, Alejandría, Toledo, El Retiro, San Carlos, Puerto Triunfo.</t>
  </si>
  <si>
    <t>Acompañamiento y asesoría a los municipios en la implementación de la ley 1448 de 2011</t>
  </si>
  <si>
    <t>Durante el año 2013 se acompaño y asesoro para la implementación de la Ley 1448 de 2011 a los siguientes municipios: Tarazá, Caucasia, Zaragoza, Cáceres, El Bagre, Nechí, San Francisco, Argelia, San Carlos, Cocorná, Nariño, Yarumal, Ituango, Briceño, San Andrés de cuerquia, Valdivia, Toledo, Remedios, Segovia, Anorí, Apartadó, Turbo, Chigorodó, Vigía del Fuerte, Murindó, San Pedro de Urabá, Necoclí, Dabeiba, Urrao, Frontino, Betulia, Puerto Berrío.</t>
  </si>
  <si>
    <t xml:space="preserve">Implementar la ruta de atencion integral a familias victimas del conflicto </t>
  </si>
  <si>
    <t>En el año 2013 se inicio la implementación de la ruta de atencion integral a las familias victimas del conflicto armado de los siguientes municipios: San Carlos, Cocorná, Turbo-Pueblo Bello, San Francisco, Nariño, Argelia.</t>
  </si>
  <si>
    <t>Educar en el riesgo de en los municipios de Antioquia</t>
  </si>
  <si>
    <t>Nechí, Tarazá, San Francisco, Toledo, San Pedro de Urabá, Argelia, Briceño, Turbo, Yarumal, Dabeiba, San andrés de Cuerquia, San Carlos, Valdivia, Nariño, Anorí, Remedios, Urrao.</t>
  </si>
  <si>
    <t>Atencion y orientación integral  a las vícitmas de MUSE, MAP  y AEI para garantizar el acceso a la rehabilitaciónfiscia y psicologica</t>
  </si>
  <si>
    <t>Victimas de MUSE, MAP y AEI</t>
  </si>
  <si>
    <t xml:space="preserve">En asocio con Handicap se atendierón integramente en el año 2013 a 150 victimas de MUSE, MAP y AEI. Además  con el recurso humano de la Dirección de DDHH se orientarón para el acceso a la Ruta Integral a 100  Victimas </t>
  </si>
  <si>
    <t>Caracterizar las organizaciones de víctimas del conflicto armado</t>
  </si>
  <si>
    <t>Caracterización</t>
  </si>
  <si>
    <t>Se realizó convenio con la Corporación Región para realización de la caracterización de las organizaciones de víctimas inscritas en las mesas municipales de participación, este proceso finaliza en el mes de febrero de 2014</t>
  </si>
  <si>
    <t>Actividades asociadas al fortalecimiento y participación de las organizaciones de víctimas</t>
  </si>
  <si>
    <t>Actividades</t>
  </si>
  <si>
    <t>Se ralizarón actividades asociadas al fortalecimiento y participacion de las organizaciones de victimas ,en los municipios de :San Francisco, Turbo y Cocorná</t>
  </si>
  <si>
    <t>Generar espacios integrales que contribuyen  a la reconstrucción y reconciliación de los actores del conflicto armado</t>
  </si>
  <si>
    <t>Espacios</t>
  </si>
  <si>
    <t>Se realizarón espacios integrales  para la construcción y reconciliación de los actores del conflicto  en los municipios de San Francisco, Turbo y San Carlos</t>
  </si>
  <si>
    <t>Implementar y fortalecer procesos de generacion de ingresos mediante iniciativas de empleabilidad y autogestión</t>
  </si>
  <si>
    <t>Familias de los Municipios de: Nariño, Argelia, Cocorná y San Francisco.</t>
  </si>
  <si>
    <t>Facilitar el proceso de arraigo, interacción  e interacción social entre las familias desplazadas y la población receptora</t>
  </si>
  <si>
    <t>Fortalecer los espacios de concertación entre la comunidad y la institucionalidad para la implementación local de la política de atención integral a la poblacion afectada por el desplazamiento forzado.</t>
  </si>
  <si>
    <t>Municpios</t>
  </si>
  <si>
    <t>Nariño, Argelia, Cocorná y San Francisco.</t>
  </si>
  <si>
    <t>Formalizar la tenecia de tierra de las familias destinatarias del proyecto</t>
  </si>
  <si>
    <t>Predios</t>
  </si>
  <si>
    <t>La Secretaría de Agricultura Departamental contrató el operador CIPS en el mes de noviembre de 2013, por lo cual este proceso finalizará en el 2014.</t>
  </si>
  <si>
    <t xml:space="preserve">Realizar capacitaciones para autoridades y comunidades en cultura de la legalidad y control de las rentas ilicitas </t>
  </si>
  <si>
    <t>Personas</t>
  </si>
  <si>
    <t>Secretaría de Hacienda</t>
  </si>
  <si>
    <t>Realizar procedimientos operativos, administrativos y judiciales  de inspección, vigilancia y control a los sujetos pasivos del monopolio rentistico del Departamento</t>
  </si>
  <si>
    <t>Sujetos pasivos</t>
  </si>
  <si>
    <t>Realizar campañas de sensibilización divulgación y publicidad de la cultura de la legalidad enfocada en prevención de las rentas ilicitas</t>
  </si>
  <si>
    <t>Actualizar y socializar el estatuto de rentas departamentales</t>
  </si>
  <si>
    <t xml:space="preserve">Estatuto </t>
  </si>
  <si>
    <t>Construir  y poner en marcha un sistema de información de rentas deaprtamentales</t>
  </si>
  <si>
    <t>Sistema</t>
  </si>
  <si>
    <t>Apoyo en su logística e inteligencia a la fuerza  publica y organismos de seguridad en Antioquia</t>
  </si>
  <si>
    <t>Adquisición de parque automotor</t>
  </si>
  <si>
    <t>Vehiculos</t>
  </si>
  <si>
    <t xml:space="preserve">Con estos recursos de adquirieron  13 vehiculos y  45 motos 250 cc, para cumplir con las necesidades de la fuerza publica, al igual que se les suministra el  combustible durante todo el año. </t>
  </si>
  <si>
    <t>Apoyar en su logistica e inteligencia ala fuerza pública y organismos de seguridad</t>
  </si>
  <si>
    <t>Entidad</t>
  </si>
  <si>
    <t>Policia, Ejercito, fuerza aérea, Armada Nacional, Fiscalia-CTI</t>
  </si>
  <si>
    <t>Creación de Sedes operativas de Tránsito</t>
  </si>
  <si>
    <t>Por falta de presupuesto no  se crearón las sedes operativas de transito</t>
  </si>
  <si>
    <t xml:space="preserve">Campañas estratégicas de capacitación, regulación y control </t>
  </si>
  <si>
    <t>Se realizarón 5 campañas de seguridad vial en 36 municipios donde estan operando la Policial de Transito , Consiste en sensibilizacion y capacitación a los actores de las vias ( Peatones, pasajeros, conductores, motociclistas, ciclistas)</t>
  </si>
  <si>
    <t xml:space="preserve">Realización Convenios con Policía (DITRA) y Municipios para regulación y Control </t>
  </si>
  <si>
    <t>En el segundo semestre de 2013 se firmo el convenio con la Policia Nacional , para la contratacion de  36 policias , con el fin de que ejerzan las funciones  de regulación control  de la seguridad vial, en cumplimiento con la Ley 769 de 2002 y la Ley 1310 de 2010</t>
  </si>
  <si>
    <t>Creación de un Centro de Información (Observatorio de Tránsito) estudio e inversión</t>
  </si>
  <si>
    <t xml:space="preserve">La primera etapa del observatorio esta siendo ejecutada por la Secretaria de Infraestructura fisica y la Dirección del  Transito Departamental,logrando  un diagonostico de la señalización vial  del Departamento. Por falta de presupuesto no se pudo continuar con  su montaje </t>
  </si>
  <si>
    <t xml:space="preserve">Plan Piloto Antioquia en Bicicleta </t>
  </si>
  <si>
    <t xml:space="preserve">no se realizó por no tener presupuesto </t>
  </si>
  <si>
    <t>Hacienda</t>
  </si>
  <si>
    <t>Fortalecimiento de Hacienda Pública del Departamento de Antioquia</t>
  </si>
  <si>
    <t>2012050000012</t>
  </si>
  <si>
    <t>221143-001</t>
  </si>
  <si>
    <t xml:space="preserve">Fortalecimiento de la Hacienda Pública del Departamento de Antioquia </t>
  </si>
  <si>
    <t>Incremento en el recaudo de las Rentas del Departamento</t>
  </si>
  <si>
    <t>Se incrementó el recaudo de las Rentas del Departamento en 89.695 millones de pesos con relación al año 2012.</t>
  </si>
  <si>
    <t xml:space="preserve">1.4.6 Antioquia juega legal </t>
  </si>
  <si>
    <t>2012050000014</t>
  </si>
  <si>
    <t>221144-001</t>
  </si>
  <si>
    <t>Fortalecimiento de las Rentas Oficiales  como Fuente de Inversión Social en el Departamento de Antioquia</t>
  </si>
  <si>
    <t>Sujetos inspeccionados y vigilados</t>
  </si>
  <si>
    <t>El resultado de semestre 2 es acumulado 2012-2013. Ver indicadores de producto</t>
  </si>
  <si>
    <t>4.1.3 Antioquia Potable, electrificada y limpia</t>
  </si>
  <si>
    <t xml:space="preserve"> Ampliar el servicio de energías y promover nuevas alternativas energéticas y de gas.</t>
  </si>
  <si>
    <t>2010500000013</t>
  </si>
  <si>
    <t>190006-001</t>
  </si>
  <si>
    <t>Capitalización de la Empresa Generadora y Promotora de Energía de Antioquia - EMGEA</t>
  </si>
  <si>
    <t>Sistemas alternativos de energía construidos</t>
  </si>
  <si>
    <t xml:space="preserve">Reforma Estatuto Orgánico de presupuesto </t>
  </si>
  <si>
    <t>Se decidio suspender el proyecto de ordenanza de reforma del estatuto organico con el fin de no ocupar a la Asamblea de otros temas diferentes al presupuesto 2014 y las vigencias futuras. Se propuso proponer la reforma a la Asamblea en el 2014</t>
  </si>
  <si>
    <t>Consolidación de los establecimiento públicos en el Presupuesto General del Departamento de Antioquia.</t>
  </si>
  <si>
    <t>Se expidió la resolución de consolidación de los establecimientos públicos, quedo pendiente la socialización con ellos y la capacitación para que remitan la información a presupuesto. Aún no se ha hecho la primera consolidación.</t>
  </si>
  <si>
    <t>Saneamiento de las situaciones administrativas que tienen término perentorio de decisión, tales como solicitudes de prescripción, derechos de petición, desembargos, devoluciones, recursos, excepciones etc.</t>
  </si>
  <si>
    <t>Al cierre del período se alcanza un equilibrio de respuesta día con día y se da respuesta de acuerdo con el término legal.</t>
  </si>
  <si>
    <t>Adecuación e implementación del procedimiento de cobro coactivo de acuerdo con cada renta en el sistema Mercurio y su adecuación con el Sistema Financiero SAP.</t>
  </si>
  <si>
    <t xml:space="preserve">Vehículos 
Cuotas Partes 
Valorización 
Degüello 
Impoconsumo y Contrabando 
Salud 
Infraestructura 
Minas 
Educación (Fondo Gilberto Echeverry Mejía) </t>
  </si>
  <si>
    <t>Incorporación de las obligaciones tributarias de las diferentes Rentas que no están incluidas en SAP para su correcta revisión y cobro en el Sistema</t>
  </si>
  <si>
    <t>Está pendiente Sustanciación</t>
  </si>
  <si>
    <t>Campaña Cultura Tributaria con las autoridades de Tránsito del departamento.</t>
  </si>
  <si>
    <t>Realización de visitas de fiscalización a los contribuyentes de las diferentes rentas del Departamento.</t>
  </si>
  <si>
    <t xml:space="preserve">Creación de la auditoria a la Contribución especial y de Valorización </t>
  </si>
  <si>
    <t>No se realizó auditoría a la valorización dado que se encontraba en proceso la aprobación del Estatuto de Rentas donde se incorporaría este tema e igualmente no se ejecutaron obras nuevas.</t>
  </si>
  <si>
    <t>Creación de la base de datos de fiscalización, para el seguimiento y control de los procesos de auditoria</t>
  </si>
  <si>
    <t xml:space="preserve">Reforma al Estatuto de Rentas </t>
  </si>
  <si>
    <t>En el año 2014 se presentará nuevamente a la Asamblea la Reforma al Estatuto de Rentas.</t>
  </si>
  <si>
    <t>Estructuración y mejoramiento de los procedimientos de la Secretaría de Hacienda</t>
  </si>
  <si>
    <t>Conciliaciones para sanear cuentas reciprocas, bancarias, cuentas de balance, mandatos, anticipos, fiducias, convenios etc.</t>
  </si>
  <si>
    <t>Conciliación de Fondos desde el punto de vista presupuestal, contable y financiero</t>
  </si>
  <si>
    <t>Total: 63 fondos conciliados en el 2013.</t>
  </si>
  <si>
    <t>Realizar el diagnostico, depuración, y recomendaciones financieras para el manejo de las inversiones no financieras.</t>
  </si>
  <si>
    <t>Construccion de los anexos al Marco Fiscal de Mediano Plazo y actualización de la información soporte.</t>
  </si>
  <si>
    <t>Revisión y depuración de las bases de datos de los diferentes tributos</t>
  </si>
  <si>
    <t>Realización de visitas para control, inspección y vigilancia de las rentas del Departamento</t>
  </si>
  <si>
    <t>Cantidad realizada a Diciembre 15 de 2013</t>
  </si>
  <si>
    <t>Realización de visitas para la socialización de procesos jurídicos con fiscales sub regionales y funcionarios de las alcaldías de Antioquia</t>
  </si>
  <si>
    <t>Transferencias para  capitalización de la Empresa Generadora y Promotora de Energía de Antioquia - EMGEA</t>
  </si>
  <si>
    <t>La fuente de financiación fue con recursos del crédito,aunque el presupuesto inicial aprobado fue de $2.000.000, al proyecto se le asignó un  PAC por $1.500.000.000 que fueron ejecutados en su totalidad.</t>
  </si>
  <si>
    <t>Indeportes</t>
  </si>
  <si>
    <t>2012050000343</t>
  </si>
  <si>
    <t>052343</t>
  </si>
  <si>
    <t xml:space="preserve">Fortalecimiento del Sistema de Gestión de Calidad de INDEPORTES Antioquia. </t>
  </si>
  <si>
    <t>Auditorías externas al sistema de Gestión de Calidad de Indeportes Antioquia</t>
  </si>
  <si>
    <t>Se realizaron las auditorias y la entidad fue recertificada en el Sistema de Gestión de la Calidad</t>
  </si>
  <si>
    <t>2012050000338</t>
  </si>
  <si>
    <t>052338</t>
  </si>
  <si>
    <t>Diseño e implementación del centro de investigación en Indeportes Antioquia</t>
  </si>
  <si>
    <t>Centro de Investigación operando en Indeportes Antioquia</t>
  </si>
  <si>
    <t xml:space="preserve">Se esta formalizando la creación del grupo de investigación ante Colciencias, cuando esto ocurra el Indicador se reportará en 100%. Para esto INDEPORTES ANTIOQUIA realizará contrato con una universidad del departamento para formalizar el grupo y reactivar la publicación. </t>
  </si>
  <si>
    <t>1.4.5 Antioquia juega limpio</t>
  </si>
  <si>
    <t>Deportistas Ejemplares</t>
  </si>
  <si>
    <t>2012050000337</t>
  </si>
  <si>
    <t>052337</t>
  </si>
  <si>
    <t>Apoyo técnico, científico y social para los deportistas y equipos convencionales y paralímpicos del Departamento de Antioquia</t>
  </si>
  <si>
    <t>Deportistas y equipos convencionales con apoyo social, educativo, económico, técnico, médico y logístico en el Departamento de Antioquia</t>
  </si>
  <si>
    <t xml:space="preserve">La cantidad de deportistas convencionales que reciben apoyo son 2014, a continuacion discriminaremos por cada tipo de apoyo la cantidad de deportistas : Apoyo Economico: 340 deportistas, Apoyo Educativo: 234 deportistas, Apoyo Logistico: 123 deportistas, Apoyo Medico: 1067 deportistas, Apoyo Social: 42 deportistas, Apoyo Tecnico: 1028 deportistas. Nota:Alrededor de 631 deportistas reciben mas de un apoyo </t>
  </si>
  <si>
    <t>Deportistas y equipos Paralímpicos con apoyo social, educativo, económico, técnico, médico y logístico en el Departamento de Antioquia</t>
  </si>
  <si>
    <t xml:space="preserve">La cantidad de deportistas con Discapacidad que reciben apoyo son 2014, a continuacion discriminaremos por cada tipo de apoyo la cantidad de deportistas : Apoyo Economico: 29 deportistas, Apoyo Educativo: 7 deportistas, Apoyo Logistico: 29 deportistas, Apoyo Medico: 232 deportistas, Apoyo Social: 1 deportistas, Apoyo Tecnico: 202 deportistas. Nota:Alrededor de 140 deportistas reciben mas de un apoyo </t>
  </si>
  <si>
    <t>Descentralización del deporte, la recreación y la actividad física en Antioquia y promoción de sus buenas prácticas</t>
  </si>
  <si>
    <t>2012050000348</t>
  </si>
  <si>
    <t>052348</t>
  </si>
  <si>
    <t>Fortalecimiento de los organismos deportivos, recreativos, de educación física y actividad física del departamento de Antioquia</t>
  </si>
  <si>
    <t>Organizaciones Deportivas y Recreativas y Entes Deportivos Municipales reconocidas por sus experiencias Exitosas en el Departamento de Antioquia</t>
  </si>
  <si>
    <t xml:space="preserve">No fue posible realizar el reconocimiento a las organizaciones. En el 2014 se reconceran 44 entidades deportivos del sistema nacional del deporte en el departamento. </t>
  </si>
  <si>
    <t>2012050000018</t>
  </si>
  <si>
    <t>052018</t>
  </si>
  <si>
    <t>Apoyo y participación de los deportistas antioqueños en Eventos deportivos de Carácter Nacional e Internacional Departamento de Antioquia</t>
  </si>
  <si>
    <t>Eventos nacionales e internacionales cofinanciados como fortalecimiento de la práctica de alto logro y reserva Deportiva</t>
  </si>
  <si>
    <t>Por la incorporación de mayores recursos al proyecto fue posible alcanzar mayores coberturas en la meta.  Estos eventos hacen parte de la preparación hacia el ciclo olímpico y la preparación para Juegos Nacionales 2015</t>
  </si>
  <si>
    <t>Diseño, Construcción e Implementación de la Política Pública del Sector del Deporte, la Recreación, la Actividad Física y la Educación Física en Antioquia</t>
  </si>
  <si>
    <t>2012050000342</t>
  </si>
  <si>
    <t>052342</t>
  </si>
  <si>
    <t>Formulación e Implementación de la política pública del deporte, la recreación, la actividad física y la educación física en el Departamento de Antioquia</t>
  </si>
  <si>
    <t>Política pública del Sector del Deporte, la Recreación, la Actividad Física y la Educación Física Formulada e Implementada en el Departamento de Antioquia</t>
  </si>
  <si>
    <t>Se realizando la visita a los municipios que aún no tienen plan decenal para a final de año con este insumo construir el plan departamental.</t>
  </si>
  <si>
    <t>2012050000344</t>
  </si>
  <si>
    <t>052344</t>
  </si>
  <si>
    <t xml:space="preserve">Diseño e implementación de Sistemas de información ERP, Misional y de Gestión Documental en INDEPORTES Antioquia. </t>
  </si>
  <si>
    <t>2012050000345</t>
  </si>
  <si>
    <t>052345</t>
  </si>
  <si>
    <t>Apoyo para descentralización de las ligas deportivas en el departamento de Antioquia</t>
  </si>
  <si>
    <t>Ligas con presencia en las regiones del departamento de Antioquia</t>
  </si>
  <si>
    <t>Indeportes Antioquia financió y promovió la descentralización de las ligas deportivas del área metropolitana, haciendo presencia en: Liga de Beisbol - Caucasia,  Liga de Gimnasia - Zaragoza, Liga de Patinaje - Yondó, Liga de  Tenis de campo - Yarumal, Liga de Tenis de Mesa - Cisneros, Liga de Rugby -  Santo Domingo, Liga de Balon Mano - Santa fe de Antioquia   y Liga de futbol de salon - Sabanalarga, apartadó, En ocho municipios de Urabá se descentralizó la Liga de Discapacidada Visual de Antioquia (Arboletes, Carepa, Chigorodó, San Juan de Uraba, San Pedro de Uraba, Turbo, Necoclí, Mutata)</t>
  </si>
  <si>
    <t>Entes Deportivos Municipales de Calidad en el Departamento de Antioquia</t>
  </si>
  <si>
    <t xml:space="preserve">Corresponde a la realización de los primeros y segundos momentos del Plan Decenal de Deporte, Recreación y Actividad Física de cada municipio no certificado </t>
  </si>
  <si>
    <t>2.4 Antioquia en Un Mismo Equipo</t>
  </si>
  <si>
    <t>2.4.1 Iniciación y especialización para la cultura deportiva</t>
  </si>
  <si>
    <t xml:space="preserve"> Centros de Iniciación, enriquecimiento motriz y desarrollo deportivo.</t>
  </si>
  <si>
    <t>2012050000316</t>
  </si>
  <si>
    <t>052316</t>
  </si>
  <si>
    <t>Fortalecimeinto Centros de Desarrollo Deportivo subregiones del Departamento de Antioquia</t>
  </si>
  <si>
    <t>Centros de desarrollo deportivo operando</t>
  </si>
  <si>
    <t>Los centros de desarrollo deportivo estan operando  en las subregiones de Suroeste, Uraba y valle de aburra.</t>
  </si>
  <si>
    <t>2.4.3 Infraestructura deportiva y recreativa para la calidad de vida, la educación y la actividad física</t>
  </si>
  <si>
    <t xml:space="preserve"> Apropiación de escenarios deportivos y recreativos.</t>
  </si>
  <si>
    <t>2012050000340</t>
  </si>
  <si>
    <t>052340</t>
  </si>
  <si>
    <t>Mejoramiento de la apropiación de escenarios deportivos y recreativos en los municipios del Departamento de Antioquia</t>
  </si>
  <si>
    <t>Escenarios deportivos Intervenidos con acciones de apropiación</t>
  </si>
  <si>
    <t xml:space="preserve">Del contrato con la Universidad de Antioquia,se han intervenido alrededor de 198 escenarios y se ha hecho entrega de  130 soportes  integradas para futbol salon, baloncesto y voleibol y 12 canchas. </t>
  </si>
  <si>
    <t xml:space="preserve"> Fortalecimiento del deporte, la recreación, la actividad física y la educación física en el sector escolar.</t>
  </si>
  <si>
    <t>2012050000347</t>
  </si>
  <si>
    <t>052347</t>
  </si>
  <si>
    <t>Fortalecimiento del deporte la recreación, la actividad física y la educación en el sector escolar en el Departamento de Antioquia</t>
  </si>
  <si>
    <t>Mesas Municipales de Educación Física apoyadas para su funcionamiento</t>
  </si>
  <si>
    <t>Establecimientos Educativos del departamento de Antioquia que reciben apoyo para la participación en los eventos deportivos del Sector Escolar</t>
  </si>
  <si>
    <t>En juegos escolares participaron 895 instituciones y para juegos intercolegiados 738 instituciones.</t>
  </si>
  <si>
    <t xml:space="preserve"> Construcción, mantenimiento, adecuación y dotación de escenarios deportivos y recreativos</t>
  </si>
  <si>
    <t>2012050000341</t>
  </si>
  <si>
    <t>052341</t>
  </si>
  <si>
    <t>Construcción, adecuación, manteniemiento y dotación de escenarios deportivos y recreativos en los municipios del Departamento de Antioquia</t>
  </si>
  <si>
    <t>Metros cuadrados de infraestructura deportiva y recreativa construidos</t>
  </si>
  <si>
    <t>Los municipios beneficiados para la construccion de infraestructura deportiva y recreativa son: Caramanta, Cocorná, Concordia, Guarne, Guatapé, Puerto Berrío, Santo Domingo, Támesis, Turbo, Uramita, Vigía del Fuerte.</t>
  </si>
  <si>
    <t>Metros cuadrados de infraestructura deportiva y recreativa existentes intervenidos con mantenimiento, remodelación, adecuación y dotación</t>
  </si>
  <si>
    <t>Los municipios beneficiados para la adecuacion de infraestructura deportiva y recreativa ya existente son: Abejorral, Amagá, Andes, Anzá, Apartadó, Arboletes, Barbosa, Bello, Briceño, Cáceres, Caicedo, Campamento, Cañasgordas, Chigorodó, Dabeiba, El Retiro, El Santuario, Envigado, Fredonia, Giraldo, Granada, Guadalupe, Guarne, Guatapé, Heliconia, Ituango, Jardín, La Estrella, Liborina, Maceo, Marinilla, Nariño, Necoclí, Olaya, Puerto Triunfo, Remedios, Sabanalarga, Salgar, San Andrés de Cuerquia, San Carlos, San Francisco, San Jerónimo, San José de la Montaña, San Rafael, Santa Fe de Antioquia, Tarazá, Tarso, Titiribí, Turbo, Vegachí, Yalí, Yarumal, Yolombó, Zaragoza</t>
  </si>
  <si>
    <t>2.4.2 Sistema Departamental de capacitación del deporte, la recreación, la actividad física y la educación física</t>
  </si>
  <si>
    <t>Capacitación del sector del deporte, la recreación, la actividad física y la educación física en Antioquia.</t>
  </si>
  <si>
    <t>2012050000289</t>
  </si>
  <si>
    <t>052289</t>
  </si>
  <si>
    <t>Capacitación presencial en deporte, recreación, educación física y actividad física en el Departamento de Antioquia</t>
  </si>
  <si>
    <t>Personas del sector del deporte, la recreación, la actividad física y la educación física capacitadas</t>
  </si>
  <si>
    <t>Sistema departamental virtual de capacitación del sector del deporte, la recreación y la actividad física en Antioquia.</t>
  </si>
  <si>
    <t>2012050000339</t>
  </si>
  <si>
    <t>052339</t>
  </si>
  <si>
    <t>Capacitación virtual en deporte, recreación, educación física y actividad física en el Departamento de Antioquia</t>
  </si>
  <si>
    <t>Sistema de Capacitación Virtual Implementado</t>
  </si>
  <si>
    <t>Se realiza en conjunto con el Software Misional de INDEPORTES ANTIOQUIA, el contará con un modulo de capacitación y formación</t>
  </si>
  <si>
    <t>2012050000286</t>
  </si>
  <si>
    <t>052286</t>
  </si>
  <si>
    <t>Fortalecimiento de los centros de enriquecimiento motriz, inciación, formación y especialización deportiva en los Municipios del Departamento de Antioquia</t>
  </si>
  <si>
    <t>Centros de Iniciación y Formación deportiva apoyados para su operación en las subregiones</t>
  </si>
  <si>
    <t>4.5.5 Cerrando brechas</t>
  </si>
  <si>
    <t xml:space="preserve"> Deporte y Recreación para la inclusión y la interculturalidad</t>
  </si>
  <si>
    <t>2012050000287</t>
  </si>
  <si>
    <t>052287</t>
  </si>
  <si>
    <t>Apoyo y fortalecimiento de las ludotecas en el departamento de Antioquia</t>
  </si>
  <si>
    <t>Ludotecas apoyadas para su funcionamiento en los municipios del departamento de Antioquia</t>
  </si>
  <si>
    <t xml:space="preserve">Amagá, Angostura, Anorí, Anzá, Apartadó, Arboletes, Belmira, Betania, Betulia, Briceño, Buriticá, Cáceres, Caicedo, Campamento, Cañasgordas, Caucasia, Cocorná, Concordia, Dabeiba, El Bagre, Entrerrios, Frontino, Guadalupe, Heliconia, Ituango, Murindó, Mutatá, Nariño, Nechí, Necoclí, Peque, Pueblorrico, Remedios, Sabanalarga, San Francisco, San Juan de Urabá, San Pedro de Urabá, San Roque, Santa Barbara, Tarazá, Tarso, Toledo, Turbo, Uramita, Valdivia, Vegachí, Vigía del Fuerte, Yalí, Yondó, Zaragoza. </t>
  </si>
  <si>
    <t>2011050000112</t>
  </si>
  <si>
    <t>051000</t>
  </si>
  <si>
    <t>Fortalecimiento proyecto por su salud muévase pues en los municipios del Departamento de Antioquia</t>
  </si>
  <si>
    <t>Se considera la participación en el programa XSSMP incluyendo los  participantes en los megaeventos que se realizan en el marco del proyecto</t>
  </si>
  <si>
    <t>2012050000291</t>
  </si>
  <si>
    <t>052291</t>
  </si>
  <si>
    <t>Apoyo y promoción de eventos recreativos para la población situación de discapacidad, campesinos e indígenas en el Departamento de Antioquia</t>
  </si>
  <si>
    <t>Personas de la población Indígena, campesina y en situación de discapacidad apoyados para la participación en sus eventos recreativos</t>
  </si>
  <si>
    <t>Se realizarón 6 zonales de los Juegos campesinos en diferentes Subregiones del departamento y 5 zonales de los Juegos Indigenas de Antioquia. Tambien se dotaron 6 Centros Pilotos para la discapacidad (Ciudad Bolivar, Amalfí, Turbo, Salgar, Carmen de Viboral e Ituango)</t>
  </si>
  <si>
    <t>2012050000290</t>
  </si>
  <si>
    <t>052290</t>
  </si>
  <si>
    <t>Apoyo y fortalecimiento a las estrategias recreativas en el Departamento de Antioquia</t>
  </si>
  <si>
    <t>Municipios apoyados para la implementación de por lo menos una estrategia recreativa</t>
  </si>
  <si>
    <t>Los municipios que fueron beneficiados con estrategia recreativa como los Juegos Tradicionales y de la Calle, los Campamentos y las Vacaciones recreativas son: Angostura, Anzá, Arboletes, Armenia, Betania, Betulia, Briceño, Buriticá, Cáceres, Caicedo, Campamento, Cañasgordas, Dabeiba, El Bagre, Guadalupe, Ituango, Murindó, Mutatá, Nariño, Nechí , Necoclí, Peque, Puerto Triunfo, Sabanalarga, San Francisco, San Juan de Urabá, San Pedro de Urabá, Tarazá, Tarso, Turbo, Uramita, Valdivia, Vigía del Fuerte, Yondó, Zaragoza</t>
  </si>
  <si>
    <t>Antioquia es segura y previene la violencia</t>
  </si>
  <si>
    <t>Entornos protectores que previenen la violencia</t>
  </si>
  <si>
    <t>Construyendo ciudadanía prevenimos la violencia</t>
  </si>
  <si>
    <t>Juegos Municipales, Regionales, Departamentales y fronterizos para el encuentro y la convivencia</t>
  </si>
  <si>
    <t>052346</t>
  </si>
  <si>
    <t>Apoyo y realización de los Juegos deportivos municipales, subregionales, departamentales y fronterizos para el encuentro y la convivencia en el departamento de Antioquia</t>
  </si>
  <si>
    <t>Personas participando con apoyo de Indeportes en los Juegos Municipales, Regionales, Departamentales y de Frontera</t>
  </si>
  <si>
    <t>Asesoría para la Construcción de los Flujos de trabajo en el sistema de información</t>
  </si>
  <si>
    <t xml:space="preserve">Se implemento ruta de PQRS por sistema de Gestión Documental y se implemento la radicación WEB para ligas y Clubes </t>
  </si>
  <si>
    <t>Auditorias Externas al sistema de Gestión de la Calidad</t>
  </si>
  <si>
    <t>Se realizó auditoria de Recertificación Durante el mes de Septiembre de 2013.</t>
  </si>
  <si>
    <t>Capacitación en el Sistema de Información</t>
  </si>
  <si>
    <t>NUmero</t>
  </si>
  <si>
    <t>Conformación de Alianzas y del Grupo de Investigación en Indeportes Antioquia</t>
  </si>
  <si>
    <t>No se realizó dado que no se alcanzó suscribir contrato de Prestación de servicios con la Universidad UPB</t>
  </si>
  <si>
    <t xml:space="preserve">Asesoría y Capacitación </t>
  </si>
  <si>
    <t>Apoyo técnico deportistas convencionales (entrenadores y seguimiento)</t>
  </si>
  <si>
    <t>Se garantizaron recursos para entrenadores durante todo el año, lo cual posibilito la continuidad en el proceso para el segundo semestre</t>
  </si>
  <si>
    <t>Apoyo técnico deportistas Paranacionales (entrenadores y seguimiento)</t>
  </si>
  <si>
    <t>Apoyo social deportistas convencionales</t>
  </si>
  <si>
    <t xml:space="preserve">Se garantizaron recursos para la cobertura del apoyo social para el segundo semestre de 2013. Este apoyo incluyo: Apoyo en dinero, apoyo en alimentación, apoyo en alojamiento, apoyo en manutención, apoyo en Kit de Aseo. </t>
  </si>
  <si>
    <t>Apoyo social deportistas paranacionales</t>
  </si>
  <si>
    <t xml:space="preserve">Apoyo en medicina Deportiva a deportistas convencionales </t>
  </si>
  <si>
    <t>Se realizó cubertura en el servicio medico de INDEPORTES ANTIOQUIA durante toda la vigencia 2013</t>
  </si>
  <si>
    <t>Apoyo en medicina Deportiva a deportistas paranacionales</t>
  </si>
  <si>
    <t>Asesoría a Entes Deportivos Municipales en Procesos de Calidad</t>
  </si>
  <si>
    <t>Reconocimiento a Organizaciones Deportivas por Experiencias Exitosas</t>
  </si>
  <si>
    <t>Cofinanciaciones a Ligas Deportivas para la participación en Eventos Deportivos</t>
  </si>
  <si>
    <t xml:space="preserve">Los recursos para la participación en eventos de deportistas Antioqueños se incrementaron en el segundo semestre, logrando cubrir mayor numero de eventos de los que inicialmente estaban planeados. </t>
  </si>
  <si>
    <t>Asesoría para la formulación de la política pública</t>
  </si>
  <si>
    <t>Se logran realizar talleres en 43 municipios del departamento como parte del desarrollo del plan de desarrollo municipal y como insumo para la política pública departamental. Para el desarrollo de esta actividad no fue necesario la utilización de recursos propios de INDEPORTES ANTIOQUIA, ya que cada municipio facilitaba los recursos logísticos para el desarrollo de los talleres</t>
  </si>
  <si>
    <t>Mantenimiento al sistema de gestión documental de Indeportes Antioquia</t>
  </si>
  <si>
    <t>Se realizó por medio de la contratación con la empresa Servisoft quien finalizo la implementación del software por medio la implementación de tramites en línea y radicación para Ligas Deportivas y Municipios</t>
  </si>
  <si>
    <t>Implementación del ERP en Indeportes Antioquia</t>
  </si>
  <si>
    <t>No se logro ejecución alguna, ya que existieron complicaciones en la celebración del contrato Interadministrativo con UNE para el desarrollo del contrato. La Departamento de Planeación Departamental prepara una licitación en donde se licitaran de manera conjunta un software para diferentes dependencias del orden departamental</t>
  </si>
  <si>
    <t>Implementación del Sistema de Información Misional</t>
  </si>
  <si>
    <t xml:space="preserve">Se puso en marcha durante la final de los Juegos Departamentales en el mes de diciembre. </t>
  </si>
  <si>
    <t>Cofinanciación de proyectos a las Ligas para la descentralización</t>
  </si>
  <si>
    <t>No fue posible suscribir convenio antes del mes de diciembre con la Liga de Atletismo  y Bádminton para la descentralización en los municipios de Puerto Berrio y Santa Rosa de Osos respectivamente, por lo cual estos convenios no fueron incluidos en el logro de la actividad</t>
  </si>
  <si>
    <t>Los proyectos fueron suscritos con las ligas de Vela, Canotaje, Ciclismo (2), Levantamiento de Pesas (2), Atletismo y Béisbol.</t>
  </si>
  <si>
    <t>Dotaciones entregadas a los municipios para la apropiación de escenarios</t>
  </si>
  <si>
    <t>Se entregaron Integrados y Arcos de Futbol para 89 Municipios del Departamento</t>
  </si>
  <si>
    <t>Municipios con escenarios embellecidos</t>
  </si>
  <si>
    <t>Se realizó a través de contrato interadministrativo suscrito con la Universidad de Antioquia. En este convenio fueron intervenidos 139 escenarios.</t>
  </si>
  <si>
    <t>Zonales de los Juegos del Sector Escolar Realizados</t>
  </si>
  <si>
    <t>Finales de los Juegos del Sector Escolar Realizadas</t>
  </si>
  <si>
    <t>Dotaciones entregadas a las Mesas Municipales</t>
  </si>
  <si>
    <t>Las dotaciones se adquirieron y las resoluciones se encuentran emitidas, pero los municipios aun no han sido citados a reclamar la dotación donde el proveedor</t>
  </si>
  <si>
    <t>Desarrollo de los Juegos Supérate</t>
  </si>
  <si>
    <t>Municipios con Infraestructura Mejorada o construida para el desarrollo deportivo</t>
  </si>
  <si>
    <t>Se realizaron intervenciones en los Municipios de Arboletes, Necoclí, Turbo, Apartado, Chigorodó, Carepá y Vigía del Fuerte</t>
  </si>
  <si>
    <t>Proyectos Cofinanciados a Municipios para el mejoramiento</t>
  </si>
  <si>
    <t>Son 46 intervenciones en los 45 municipios del departamento. El aumento de la meta se da por el incremento de los recursos asignados para el proyecto y por las gestiones realizadas que permitieron ampliar la cantidad de socios a la actividad y al proyecto.</t>
  </si>
  <si>
    <t>Mejoramiento a la Infraestructura de los Centros de Desarrollo Deportiva</t>
  </si>
  <si>
    <t>Capacitaciones realizadas</t>
  </si>
  <si>
    <t>Se activaron estrategias para cubrir la meta de 5000 personas capacitadas, pero lograr mayor descentralización de las capacitaciones en el departamento</t>
  </si>
  <si>
    <t>Asesoría para el diseño del Sistema de Información Misional</t>
  </si>
  <si>
    <t>Se lograron economías al empaquetar el sistema de información misional con el sistema de información para la capacitación virtual</t>
  </si>
  <si>
    <t>Desarrollo de la Plataforma para capacitación virtual</t>
  </si>
  <si>
    <t>Se diseño la plataforma que alojará el todo el sistema de información de la entidad, para alcanzar el 60% y lograr insertar contenidos en la plataforma, se contratará  mayor tiempo de desarrollo durante el 2014</t>
  </si>
  <si>
    <t>Adquisición de Dotación para los Centros de Iniciación</t>
  </si>
  <si>
    <t>Se realizó la subasta para los suministros y la dotación fue entregada en el mes de diciembre. Esta pendiente la entrega a los municipios mediante resolución</t>
  </si>
  <si>
    <t>Cofinanciación a Municipios para contratación de Monitores</t>
  </si>
  <si>
    <t>Los monitores fueron contratados a través de contrato con la Universidad de Antioquia</t>
  </si>
  <si>
    <t>Convenios de Asociación para la Operación de los CIFD de Urabá</t>
  </si>
  <si>
    <t>En los 11 municipios se esta realizando la intervención, aunque el convenio de asociación solo fue firmado con el Corbanacol, fueron firmados documentos de acuerdo con cada uno de los 11 municipios de Urabá.</t>
  </si>
  <si>
    <t>2012050000346</t>
  </si>
  <si>
    <t xml:space="preserve">Apoyo y realización de los juegos deportivos municipales, subregionales, departamentales y fronterizos para el encuentro y la convivencia en el Departamento de Antioquia. </t>
  </si>
  <si>
    <t>Zonales de Juegos Departamentales</t>
  </si>
  <si>
    <t>Final de los Juegos Departamentales</t>
  </si>
  <si>
    <t>Adquisición de Implementación para las Ludotecas del Departamento</t>
  </si>
  <si>
    <t>Municipios Cofinanciados con Ludotecarios</t>
  </si>
  <si>
    <t>Se cofinancio el ludotecario para los municipios en los que el año 2012 se había dotado la ludoteca por medio de convenio interadministrativo</t>
  </si>
  <si>
    <t>Investigación Evaluación de Impacto</t>
  </si>
  <si>
    <t>La investigación no fue posible realizarla; se realizará durante el 2014</t>
  </si>
  <si>
    <t>Seminarios Subregionales</t>
  </si>
  <si>
    <t xml:space="preserve">Mega eventos de Actividad Física </t>
  </si>
  <si>
    <t>Evento para población Vulnerable</t>
  </si>
  <si>
    <t>Adquisición de Dotación de Entornos Saludables</t>
  </si>
  <si>
    <t>Se adquirieron 14 Kit para el fortalecimiento de los Centros de Promoción de igual numero de municipios y se cofinancio la instalación de dos parques activos Saludables (Yondo y Maceo). Adicionalmente se doto el gimnasio del municipio de Caldas</t>
  </si>
  <si>
    <t>Eventos Zonales</t>
  </si>
  <si>
    <t xml:space="preserve">Se realizaron durante el año 6 zonales de los Juegos Campesinos y se gestionaron recursos para la realización 5 zonales de los Juegos Indígenas </t>
  </si>
  <si>
    <t>Cofinanciación a municipios para la realización de estrategias recreativas</t>
  </si>
  <si>
    <t>Gerencia Indígena</t>
  </si>
  <si>
    <t>1.1.2 Municipio Transparente y Legal</t>
  </si>
  <si>
    <t xml:space="preserve"> Fortalecimiento de las formas propias de gobierno de los territorios indígenas (Fondo Especial de Desarrollo indígena FEDI)</t>
  </si>
  <si>
    <t>2012050000133</t>
  </si>
  <si>
    <t>072133-001</t>
  </si>
  <si>
    <t>Fortalecimiento Formas Propias De Gobierno Indígena En Antioquia</t>
  </si>
  <si>
    <t>Cabildos indígenas fortalecidos en gestión administrativa de sus gobiernos</t>
  </si>
  <si>
    <t xml:space="preserve">Convenio culminado satisfactoriamente para cumplimiento de objetivo del proyecto y su indicador. </t>
  </si>
  <si>
    <t>4.5.1  Antioquia indígena y con minorías étnicas</t>
  </si>
  <si>
    <t xml:space="preserve"> Política Pública para Antioquia Indígena</t>
  </si>
  <si>
    <t>2012050000044</t>
  </si>
  <si>
    <t>072044-001</t>
  </si>
  <si>
    <t xml:space="preserve">Implementación De Políticas Públicas Indígenas Y Room En Antioquia </t>
  </si>
  <si>
    <t>Acciones de política pública indígena implementadas</t>
  </si>
  <si>
    <t>Convenios culmiandos satisfactoriamente  para el cumplimiento del objetivo e indicadores.</t>
  </si>
  <si>
    <t xml:space="preserve"> Territorialidad Indígena</t>
  </si>
  <si>
    <t>2012050000054</t>
  </si>
  <si>
    <t>072054-001</t>
  </si>
  <si>
    <t>Apoyo En La Gestión Territorial Para Las Comunidades Indígenas  Del Departamento De Antioquia</t>
  </si>
  <si>
    <t>Comunidades indígenas beneficiada con tramites territoriales</t>
  </si>
  <si>
    <t>Culminado satisfactoriamente el convenio para  para cumplimiento de objetivo del proyecto y su indicador.</t>
  </si>
  <si>
    <t xml:space="preserve"> Comunicación Intercultural Indígena y de las minorías étnicas (Rom)</t>
  </si>
  <si>
    <t>2012050000053</t>
  </si>
  <si>
    <t>072053-001</t>
  </si>
  <si>
    <t>Divulgación Y Comunicación Intercultural Indígena Y Room En El Departamento De Antioquia</t>
  </si>
  <si>
    <t>Acciones de promoción intercultural, lúdica, y artística apoyadas</t>
  </si>
  <si>
    <t xml:space="preserve">Se superada la meta con los convenios culminados satisfactoriamente  para cumplimiento del objetivo e indicadores. </t>
  </si>
  <si>
    <t>Eventos regionales y municipales</t>
  </si>
  <si>
    <t>Apoyo en Gestión organizacional y administrativa de las autoridades y organizaciones indígenas</t>
  </si>
  <si>
    <t>Estrategias de atención a población vulnerable</t>
  </si>
  <si>
    <t>Eventos de capacitación y formación de líderes y apoyo a formas propias de gobierno</t>
  </si>
  <si>
    <t>Propuesta de emprendimiento social y mejoramiento de calidad de vida</t>
  </si>
  <si>
    <t>Realización de estudios demográficos y socioculturales</t>
  </si>
  <si>
    <t>Eventos comunitarios y de concertación</t>
  </si>
  <si>
    <t>Concertación para la atención diferencial en APS y atención extrahospitalaria</t>
  </si>
  <si>
    <t>Apoyo a proyectos de infraestructura social y omunitaria</t>
  </si>
  <si>
    <t>Estudios de diseño de inversión y prefactibilidad</t>
  </si>
  <si>
    <t>Gestión de trámites y adquisición de predios y mejoras para la constitución, ampliación y saneamiento de Resguardos</t>
  </si>
  <si>
    <t>Estudios socioeconómicos, jurídicos, ambientales, de tenencia de tierras y uso de suelos de los Resguardos Indígenas</t>
  </si>
  <si>
    <t>Reconocimiento de expresiones lúdicas, artísticas, culturales y patrimoniales</t>
  </si>
  <si>
    <t>Fomento y estímulo a los gestores culturales y comunitarios</t>
  </si>
  <si>
    <t>Actividades de promoción y divulgación de la riqueza cultural étnica</t>
  </si>
  <si>
    <t>MANA</t>
  </si>
  <si>
    <t>4.1.2  Antioquia con seguridad alimentaria y nutricional - MANA</t>
  </si>
  <si>
    <t xml:space="preserve"> Gestión de políticas públicas en seguridad alimentaria y nutricional</t>
  </si>
  <si>
    <t>2012050000220</t>
  </si>
  <si>
    <t>012220-001</t>
  </si>
  <si>
    <t xml:space="preserve">Asesoría a los actores municipales para la formulación e implementación del plan local de SAN, fortalecimiento de la mesa SAN y promoción del control social en los 125 municipios del Departamento de Antioquia </t>
  </si>
  <si>
    <t>Actores municipales con certificado de capacitación SAN</t>
  </si>
  <si>
    <t>El proyecto  recibió adición del presupuesto para realizar la ejecución en el segundo semestre de 2013</t>
  </si>
  <si>
    <t>Jornadas municipales de Promoción y Prevención en SAN Municipales</t>
  </si>
  <si>
    <t>Municipios con Plan Local de Seguridad Alimentaria y Nutricional</t>
  </si>
  <si>
    <t xml:space="preserve"> Atención y prevención para disminuir el riesgo de inseguridad alimentaria en familias vulnerables</t>
  </si>
  <si>
    <t>2012050000222</t>
  </si>
  <si>
    <t>012222-001</t>
  </si>
  <si>
    <t xml:space="preserve">Suministro de complemento  alimentario a niños y niñas entre 6 y 71 meses de edad, niveles 1 y 2 del sisben, indígenas, desplazados y discapacitados en los 125 municipios del Departamento de Antioquia </t>
  </si>
  <si>
    <t>Niños y niñas entre 6 y 71 meses de edad, SISBEN 1 y 2, indígenas y desplazados que consumen diariamente el complemento alimentario</t>
  </si>
  <si>
    <t>2012050000224</t>
  </si>
  <si>
    <t>012224-001</t>
  </si>
  <si>
    <t xml:space="preserve">Recuperación nutricional con niños en malnutrición y atención integral a las familias gestantes y lactantes en el departamento de Antioquia </t>
  </si>
  <si>
    <t>Gestantes y lactantes del nivel 1 y 2 del Sisben, indígenas y desplazados atendidas con complementación alimentaria</t>
  </si>
  <si>
    <t>Resultado 2013: 953 Corresponde a una cifra preliminar, dado que el reporte del mes de diciembre se realiza durante el mes de enero de 2014, para incluir los ingresos y atenciones  hasta 31 de diciembre de 2013</t>
  </si>
  <si>
    <t>Niños y niñas con desnutrición aguda recuperados</t>
  </si>
  <si>
    <t>Resultado 2013: 2982 Corresponde a una cifra preliminar, dado que el reporte del mes de diciembre se realiza durante el mes de enero de 2014, una vez se da de alta de los niños y niñas ingresados hasta 31 de diciembre de 2013</t>
  </si>
  <si>
    <t>2012050000225</t>
  </si>
  <si>
    <t>012225-001</t>
  </si>
  <si>
    <t xml:space="preserve">Suministro de la modalidad de restaurantes para niños y niñas matriculados en prescolar y básica primaria en establecimientos oficiales en 117 municipios no certififcados y 2 certiicados en educación del Departamento de Antioquia </t>
  </si>
  <si>
    <t>Niños y niñas matriculados en pre-escolar y básica primaria (Transición a 5º grado), en establecimientos oficiales, que consumen diariamente durante el calendario escolar raciones alimentarias</t>
  </si>
  <si>
    <t>2012050000226</t>
  </si>
  <si>
    <t>142226-001</t>
  </si>
  <si>
    <t>Implementación de huertas familiares de autoconsumo en 124 municipios de Antioquia</t>
  </si>
  <si>
    <t>Familias SISBEN 1 y 2, indígenas y desplazados que establecen huertas para autoconsumo</t>
  </si>
  <si>
    <t>La ejecución de esta actividad se llevará a cabo durante el segundo semestre de 2013</t>
  </si>
  <si>
    <t>2012050000223</t>
  </si>
  <si>
    <t>012223-001</t>
  </si>
  <si>
    <t>Actualización de planes educativos municipales, proyectos educativos institucionales y proyectos de aula en SAN para 124 municipios del Departamento de Antioquia</t>
  </si>
  <si>
    <t>Planes Educativos Institucionales (PEI) con componente de SAN</t>
  </si>
  <si>
    <t xml:space="preserve"> Sistema Departamental de Vigilancia Alimentaria y Nutricional</t>
  </si>
  <si>
    <t>2012050000221</t>
  </si>
  <si>
    <t>012221-001</t>
  </si>
  <si>
    <t xml:space="preserve">Implementacion del sistema departamental de vigilancia alimentaria y nutricional en los 125 municipios del Departamento de Antioquia </t>
  </si>
  <si>
    <t>Municipios operando sistema de vigilancia alimentaria y nutricional</t>
  </si>
  <si>
    <t>Modelo de Plan departamental de abastecimiento de alimentos</t>
  </si>
  <si>
    <t>Evaluación de impacto de estrategias de Recuperación Nutricional y Complementación alimentaria</t>
  </si>
  <si>
    <t>Se trasladaron $10.000.000 para la Secretaría de Talento Humano - Linea de Atención a la Ciudadanía, se trasladaron $110.000.000 a la Dirección de Comunicaciones y se trasladaron $124.000.000 a la Secretaría General para compra de equipos de computo.</t>
  </si>
  <si>
    <t>Brindar asesoría a los actores municipales para la formulación del Plan Local de SAN</t>
  </si>
  <si>
    <t>Capacitar y certificar actores municipales en SAN</t>
  </si>
  <si>
    <t>Realizar jornadas de promoción y prevención en SAN</t>
  </si>
  <si>
    <t>El presupuesto inicial real fue de $26.247.820.000 y no de $24.247.620.000. Se realizó traslado de recursos al proyecto de huertas productivas por valor de $1.500.000.000 y se realizó devolución de recursos por valor de $1.344.293.971.</t>
  </si>
  <si>
    <t xml:space="preserve">Suministrar complemento  alimentario a niños y niñas entre 6 y 71 meses de edad, niveles 1 y 2 del sisben, indígenas, desplazados y discapacitados en los 125 municipios del Departamento de Antioquia </t>
  </si>
  <si>
    <t>Se trasladaron $8.842.500 para la Secretaria de Talento Humano para el servicio de 2 practicantes de excelencia, se trasladaron $4.384.800 para la secretaría general para la adquisición de kits de legalización de licencias y se realizó devolución de recursos a la secretaría de hacienda por valor de $1.629.807.424.</t>
  </si>
  <si>
    <t>Brindar atención integral a niños y niñas en malnutrición en los diferentes CRN del Departamento</t>
  </si>
  <si>
    <t>Suministrar complemento alimentario a madres gestantes y lactantes del nivel 1 y 2 del SISBEN, Indigenas y desplazadas</t>
  </si>
  <si>
    <t>A la fecha el programa se esta llevando a cabo en 32 municipios del Departamento, priorizando las madres gestantes de bajo peso pregestacional, para el año 2014 y 2015 se esperan incrementar las atenciones incluyendo otros municipios  donde se pueda garantizar el acompañamiento y la implementación de la estrategia.</t>
  </si>
  <si>
    <t>Se realizó devolución de recursos a la secretaría de hacienda por valor de $17.847.847.192</t>
  </si>
  <si>
    <t xml:space="preserve">Atender a través del Programa de Alimentación Escolar niños y niñas matriculados en prescolar y básica primaria en establecimientos oficiales en 117 municipios no certififcados y 2 certiicados en educación del Departamento de Antioquia </t>
  </si>
  <si>
    <t>Este proyecto recibio una adición en el presupuesto por valor de $1.500.000.00</t>
  </si>
  <si>
    <t xml:space="preserve">Establecer huertas familiares para autoconsumo </t>
  </si>
  <si>
    <t>Se trasladaron $90.000.000 para la Dirección de Comunicaciones.</t>
  </si>
  <si>
    <t>Brindar acompañamiento a instituciones educativas priorizadas para la formulación e implementación de planes educativos institucionales con componente de SAN</t>
  </si>
  <si>
    <t>Implementar el sistema departamental de Vigilancia Alimentaria y Nutricional</t>
  </si>
  <si>
    <t>Se dio inicio a la conceptualización y desarrollo del sistema. La implementación se llevará a cabo en el primer semestre de 2014</t>
  </si>
  <si>
    <t>Elaborar el modelo del Plan Departamental de Abastecimiento de Alimentos</t>
  </si>
  <si>
    <t>Porcetaje</t>
  </si>
  <si>
    <t>Se dio inicio al proyecto, se encuentra en proceso de conceptualización, se dará inicio al estudio de oferta y demanada de alimentos en el primer trimestre de 2014</t>
  </si>
  <si>
    <t>Evaluar el impacto de las estrategias de complementación alimentaria y recuperación nutricional</t>
  </si>
  <si>
    <t>Secretaría del Medio Ambiente</t>
  </si>
  <si>
    <t xml:space="preserve">Meta vigencia Plan de acción semestre 1 </t>
  </si>
  <si>
    <t>1118</t>
  </si>
  <si>
    <t>2012050000114</t>
  </si>
  <si>
    <t>222114-001</t>
  </si>
  <si>
    <t xml:space="preserve">Diseño Sistema De Información Ambiental Departamento De Antioquia </t>
  </si>
  <si>
    <t>Diseño y modelaminento de la base de datos alfanumérica</t>
  </si>
  <si>
    <t>Se cuenta con una base datos alfanumerica a partir del levantamiento de información de diversas fuentes, la cual se espera articular con el Sistema de iInformación Departamental.</t>
  </si>
  <si>
    <t>1.4.4 Legalidad para el medio ambiente</t>
  </si>
  <si>
    <t>1441</t>
  </si>
  <si>
    <t>2012050000116</t>
  </si>
  <si>
    <t>212116-001</t>
  </si>
  <si>
    <t xml:space="preserve">Fortalecimiento De Actores Institucionales Para El Cumplimiento Normativo Y La Protección De Los Recursos Naturales Y Del Medio Ambiente. </t>
  </si>
  <si>
    <t>Procesos de información y sensibilización para el cumplimiento normativo en recursos naturales y el ambiente</t>
  </si>
  <si>
    <t>* Capacitación a funcionarios de la rama judicial y fiscales en el marco del CIFFA en temas de normatividad y legalidad ambiental en articulación con las Autoridades Ambientales.
* Educación ambiental a través del portal del agua - micrositio: http://antioquia.gov.co/index.php/defensores-del-agua-multimedia. El micrositio se ha divulgado en diferentes espacios como: Feria de las Oportunidades, el programa Enlace de Teleantioquia y a los grupos defensores del agua, de los cuales a 30 grupos de les ha brindado capacitación en normatividad y predios que abastecen acueductos municipales.</t>
  </si>
  <si>
    <t>5.1.1 Articulación de actores para la gestión ambiental</t>
  </si>
  <si>
    <t>5111</t>
  </si>
  <si>
    <t>2012050000117</t>
  </si>
  <si>
    <t>212117-001</t>
  </si>
  <si>
    <t xml:space="preserve">Fortalecimiento Del Pacto Verde Para Antioquia </t>
  </si>
  <si>
    <t>Pacto Verde para Antioquia firmado, vigente e implementado</t>
  </si>
  <si>
    <t>Del Plan de Acción del Pacto Verde se precisaron las metas a cumplirse en el 2013.  Se realizó seguimiento y balance de la ejecución de las acciones conjuntas haciendo una homologación de las metas del 2013. Hasta el momento el acumulado es de  48.06 % del plan de acción.</t>
  </si>
  <si>
    <t>5.1.2 Gestión Integral del recurso hídrico</t>
  </si>
  <si>
    <t>5121</t>
  </si>
  <si>
    <t>2012050000110</t>
  </si>
  <si>
    <t>212110-001</t>
  </si>
  <si>
    <t>Fortalecimiento De Áreas Naturales Protegidas Y De Ecosistemas Estratégicos (Alianza Medellín Antioquia)</t>
  </si>
  <si>
    <t>Plan de acción de la Secretaría Técnica del SIDAP implementado</t>
  </si>
  <si>
    <t>Respaldo de avance en plan de acción en documentación del SIDAP.
Firma del Convenio PCA y Secretaria Técnica del SIDAP</t>
  </si>
  <si>
    <t>5122</t>
  </si>
  <si>
    <t>2012050000115</t>
  </si>
  <si>
    <t>212115-001</t>
  </si>
  <si>
    <t xml:space="preserve">Adquisición Y Mantenimiento De Hectareas En Ecosistemas Estratégicos Para Protección Y Abastecimiento De Agua En Los Acueductos Del Departamento De Antioquia </t>
  </si>
  <si>
    <t>Áreas protegidas del Parque Central de Antioquia para la protección de microcuencas abastecedoras de acueductos</t>
  </si>
  <si>
    <t>Resultados a 31 de Diciembre de 2013…….</t>
  </si>
  <si>
    <t>Áreas protegidas de Ecosistemas Estratégicos para la protección de microcuencas abastecedoras de acueductos</t>
  </si>
  <si>
    <t>5155</t>
  </si>
  <si>
    <t>2012050000112</t>
  </si>
  <si>
    <t>212112-001</t>
  </si>
  <si>
    <t xml:space="preserve">Prevención Y Reducción Del Riesgo En Torno Al Cambio Climatico Departamento De Antioquia </t>
  </si>
  <si>
    <t>Territorio departamental con herramientas de diagnóstico para la Gestión del Riesgo y Planes de Adaptación</t>
  </si>
  <si>
    <t>Se trasladaron $ 10.000.000 más $4.036.878 (provenientes de una incorporacion mediante ordenanza de 2011) al DAPARD para el fortalecimiento de las capacidades de respuesta de la población ribereña del magdalena medio Antioqueño, frente al riesgo por inundación y vulnerabilidad climatica.  La Secretaría del Medio Amebiente hará acompañamiento y monitoreo del proceso.</t>
  </si>
  <si>
    <t>5.2.1 Cultura de la sostenibilidad en Antioquia</t>
  </si>
  <si>
    <t>5211</t>
  </si>
  <si>
    <t>2012050000074</t>
  </si>
  <si>
    <t>212074-001</t>
  </si>
  <si>
    <t xml:space="preserve">Fortalecimiento Educación Y Cultura Ambiental, Todos Los Municipios Del Departamento De Antioquia </t>
  </si>
  <si>
    <t>Acciones de educación y sensibilización en consumo sostenible ejecutadas</t>
  </si>
  <si>
    <t xml:space="preserve">* La Estrategia de Caravana: 27mpios.
* Defensores del Agua:
Portafolio: 30 mpios; Coodesarrollo: 9 mpios; Santo Tomas, Corantioquia y Gobernación: 18 mpios </t>
  </si>
  <si>
    <t>5212</t>
  </si>
  <si>
    <t>2012050000109</t>
  </si>
  <si>
    <t>212109-001</t>
  </si>
  <si>
    <t xml:space="preserve">Fortalecimiento De La Gestión Ambiental De Actores Públicos En El Departamento De Antioquia </t>
  </si>
  <si>
    <t>Actores públicos participantes en procesos de fortalecimiento</t>
  </si>
  <si>
    <t xml:space="preserve">Se ha llegado a 86 municipios a través de capacitación en compra de predios, a 13 municipios se ha llegado con asesoría en temas de predios, agua y comparendo). Igualmente se realizó una Capacitación a funcionarios públicos de 32 municipios en manejo de suelos, dentro de la 17° Conferencia de la Organización Internacional de Conservación de Suelos </t>
  </si>
  <si>
    <t>Implementación de una política de sostenibilidad en la Gobernación de Antioquia</t>
  </si>
  <si>
    <t xml:space="preserve">Se ha realizado el Diseño de la primer version del Plan de Manejo Ambiental del CAD (Politica de Sostenibilidad) y el informe anual  de evaluación. </t>
  </si>
  <si>
    <t>5213</t>
  </si>
  <si>
    <t>2012050000113</t>
  </si>
  <si>
    <t>212113-001</t>
  </si>
  <si>
    <t xml:space="preserve">Apoyo De Proyectos De Investigación, Desarrollo E Innnovación Para la Sostenibilidad Departamento De Antioquia </t>
  </si>
  <si>
    <t>Iniciativas de investigación, desarrollo e innovación apoyadas buscando soluciones a problemas ambientales</t>
  </si>
  <si>
    <t xml:space="preserve">Categoria Biocomercio, Antioquia E </t>
  </si>
  <si>
    <t>Se cuenta con una base datos alfanumerica a partir del levantamiento de información de diversas fuentes, la cual se espera articular con el Sistema de iInformación Departamental.
Del total: $123.529.999 se trasladaron para el DAPARD y $ 10.000.000 para la Gerencia de Comunicaciónes para trabajar la estrategia comunicacional del proyecto.</t>
  </si>
  <si>
    <t>Diseño y modelamiento de la base de datos espacial y alfanumérica de la Secretaría de Medio Ambiente</t>
  </si>
  <si>
    <t>Estudios e investigaciones que provean información de aplicabilidad en la gestión del territorio</t>
  </si>
  <si>
    <t>#</t>
  </si>
  <si>
    <t>Los $ 70.000.000 se trasladaron para Gerencia de Comunicaciones para trabajar toda la estrategia comunicativa del proyecto.</t>
  </si>
  <si>
    <t>Procesos de fortalecimiento del CIFFA</t>
  </si>
  <si>
    <t xml:space="preserve">* Capacitación a funcionarios de la rama judicial y fiscales en el marco del CIFFA en temas de normatividad y legalidad ambiental en articulación con las Autoridades Ambientales.
</t>
  </si>
  <si>
    <t>Procesos de educación en normatividad ambiental</t>
  </si>
  <si>
    <t>Trabajo de articulacion y reforzamiento de los siguientes Comites: CIDEA, CIFFA, SIDAP, Minero Ambiental, Grupos de jovenes defensores del agua, otros.</t>
  </si>
  <si>
    <t xml:space="preserve">Se trasladaron $ 25.000.000 a Gerencia de Comunicaciones para la estrategia comunicacional del proyecto.
</t>
  </si>
  <si>
    <t>Estrategia Comunicacional</t>
  </si>
  <si>
    <t>Se trasladaron $ 25.000.000 a Gerencia de Comunicaciones para la estrategia comunicacional del proyecto.</t>
  </si>
  <si>
    <t>Diseño y puesta en marcha del sistema de evaluación y presentación de resultados</t>
  </si>
  <si>
    <t>.</t>
  </si>
  <si>
    <t xml:space="preserve">Se incorporaron $120.000.000 producto de la suscripción de lun convenio con los integrantes del SIDAP para aunar esfuerzos tecnicos, administrativos y financieros para la implementacion de actividades orientadas al fortalecimeinto del Sistama Departamental de Areas Protegidas - SIDAP Antioquia - y a la difusion, conocimeinto y gestión de las areas protegidas existentes en el Departaemnto., Más $ 12.759.641 corespondientes al convenio que venía del SIDAP de años anteriores 2012.  </t>
  </si>
  <si>
    <t>Fortalecer la educación y la participación ciudadana en iniciativas sociales de conservación</t>
  </si>
  <si>
    <t>Apoyar la operatividad y la implementación del Plan de Acción de SIDAP</t>
  </si>
  <si>
    <t>Convenio Parque Central de Antioquia</t>
  </si>
  <si>
    <t>Procesos de fortalecimiento de la capacidad técnica institucional</t>
  </si>
  <si>
    <t>Correponde a compra y mantenimiento de predios, más levantamientos planimetricos, más estudios legales de predios y movilización de jovenes para apropiación social en el mantenimeinto de los predios adquiridos que abastecen los acueductos municipales.</t>
  </si>
  <si>
    <t>Adquisición de predios con fines de protección y regulación hídrica para el abastecimiento de agua en los acueductos del Departamento de Antioquia.</t>
  </si>
  <si>
    <t xml:space="preserve">Ha. </t>
  </si>
  <si>
    <t>Ver tabla de predios</t>
  </si>
  <si>
    <t>Mantenimieto e intervención de predios</t>
  </si>
  <si>
    <t xml:space="preserve">Fortalecimiento de las capacidades de respuesta de la población ribereña del magdalena medio Antioqueño, frente al riesgo por inundación y vulnerabilidad climatica.  </t>
  </si>
  <si>
    <t>Región</t>
  </si>
  <si>
    <t>Se han trasladado recursos al DAPARD para el fortalecimiento de las capacidades de respuesta de la población ribereña del magdalena medio Antioqueño, frente al riesgo por inundación y vulnerabilidad climatica.  La Secretaría del Medio Amebiente hará acompañamiento y monitoreo del proceso.</t>
  </si>
  <si>
    <t>Se incorporaron $ 620.000.000 de un convenio suscrito con Corantioquia para aunar esfuerzos tecnicos, administrativos, economicos y financierons para la dinamizacion de procesos educativos ambientales en los Parques Educativos y Ecosistemas del Parque Central de Antioquia; convenio que operó la Universidad Santo Tomas.  De los recursos del Departamento que inicialmente eran $376.000.000, se trasladaron $20.637.099 para comunicaciones y $ 33.660.000 para el proyecto de fortalecimeinto de actores publicos, quedando de los recursos del departamento $ 321.702.901, para un presupuesto total real del semestre dos (2) de 941.702.901, lo cual restado al presupuesto incial que eran 376.000.000  nos da una variación postiva de $ 565.702.901.</t>
  </si>
  <si>
    <t>Convenio CIDEA en operación</t>
  </si>
  <si>
    <t>convenio</t>
  </si>
  <si>
    <t>Procesos de sensibilización ambiental con grupos juveniles y otros públicos</t>
  </si>
  <si>
    <t>municipios</t>
  </si>
  <si>
    <t>Diseño e implementación de las caravanas Defensores del Agua</t>
  </si>
  <si>
    <t xml:space="preserve">$ 33.660.000 fueron trasladados del proyecto de Educación  y Cultura Ambiental para este proyecto, los cuales se ejecutaron en el marco de la Implementación del Plan de Manejo Ambiental en el CAD (política de sostenibilidad) de la Gobernación de Antioquia. </t>
  </si>
  <si>
    <t>Realizar evento anual donde se desarrolle a profundidad un tema ambiental</t>
  </si>
  <si>
    <t>Desarrollo de una cultura ambiental en los funcionarios de la Gobernación</t>
  </si>
  <si>
    <t>Convenio con SPC para emprendimientos verdes</t>
  </si>
  <si>
    <t>Incentivo a emprendimientos en beneficio del medio ambiente</t>
  </si>
  <si>
    <t>Se premiaron 31 empresas en Antioquia.</t>
  </si>
  <si>
    <t>Apoyar proyectos de innovación e investigación en baneficio del medio ambiente</t>
  </si>
  <si>
    <t>0</t>
  </si>
  <si>
    <t>Secretaría  de  Participación</t>
  </si>
  <si>
    <t>1.4.1 Organizaciones de la sociedad civil y política defensoras de lo público</t>
  </si>
  <si>
    <t>Control social a la gestión pública (Alianza Medellín Antioquia)</t>
  </si>
  <si>
    <t>2012050000064</t>
  </si>
  <si>
    <t>072064-001</t>
  </si>
  <si>
    <t xml:space="preserve">Apoyo Control Social A La Gestión Pública En El Departamento De Antioquia </t>
  </si>
  <si>
    <t>Territorios con experiencias activas de veeduría o control social</t>
  </si>
  <si>
    <r>
      <t xml:space="preserve">Los resultados alcanzados en este indicador  se lograron por medio de siete acciones integradas en el  proyecto  de implementación del </t>
    </r>
    <r>
      <rPr>
        <b/>
        <sz val="10"/>
        <rFont val="Arial"/>
        <family val="2"/>
      </rPr>
      <t xml:space="preserve">Sistema Departamental de Participación Ciudadana y Control Social. </t>
    </r>
    <r>
      <rPr>
        <sz val="10"/>
        <rFont val="Arial"/>
        <family val="2"/>
      </rPr>
      <t xml:space="preserve">las acciones implementadas son:  </t>
    </r>
    <r>
      <rPr>
        <b/>
        <sz val="10"/>
        <rFont val="Arial"/>
        <family val="2"/>
      </rPr>
      <t>1</t>
    </r>
    <r>
      <rPr>
        <sz val="10"/>
        <rFont val="Arial"/>
        <family val="2"/>
      </rPr>
      <t xml:space="preserve">) Reconocimiento a  cinco experiencias de Control Social y Rendición de Cuentas,  </t>
    </r>
    <r>
      <rPr>
        <b/>
        <sz val="10"/>
        <rFont val="Arial"/>
        <family val="2"/>
      </rPr>
      <t xml:space="preserve">2) </t>
    </r>
    <r>
      <rPr>
        <sz val="10"/>
        <rFont val="Arial"/>
        <family val="2"/>
      </rPr>
      <t>Acompañamiendo y capacitación a Veedurias Ciudadanas y Control Social,</t>
    </r>
    <r>
      <rPr>
        <b/>
        <sz val="10"/>
        <rFont val="Arial"/>
        <family val="2"/>
      </rPr>
      <t xml:space="preserve"> 3)</t>
    </r>
    <r>
      <rPr>
        <sz val="10"/>
        <rFont val="Arial"/>
        <family val="2"/>
      </rPr>
      <t xml:space="preserve"> Talleres de formación en Control Social a jóvenes que contribuyeron a la revisión de la Política Pública de Juventud, </t>
    </r>
    <r>
      <rPr>
        <b/>
        <sz val="10"/>
        <rFont val="Arial"/>
        <family val="2"/>
      </rPr>
      <t>4)</t>
    </r>
    <r>
      <rPr>
        <sz val="10"/>
        <rFont val="Arial"/>
        <family val="2"/>
      </rPr>
      <t xml:space="preserve"> Conformación de los Consejos Municipales de Participación Ciudadana y Control Social, </t>
    </r>
    <r>
      <rPr>
        <b/>
        <sz val="10"/>
        <rFont val="Arial"/>
        <family val="2"/>
      </rPr>
      <t xml:space="preserve">5) </t>
    </r>
    <r>
      <rPr>
        <sz val="10"/>
        <rFont val="Arial"/>
        <family val="2"/>
      </rPr>
      <t xml:space="preserve"> Asesoría para la realización de audiencias públicas de rendición de cuentas de Administraciones y organizaciones Sociales, </t>
    </r>
    <r>
      <rPr>
        <b/>
        <sz val="10"/>
        <rFont val="Arial"/>
        <family val="2"/>
      </rPr>
      <t xml:space="preserve">6)  </t>
    </r>
    <r>
      <rPr>
        <sz val="10"/>
        <rFont val="Arial"/>
        <family val="2"/>
      </rPr>
      <t>Realización con la Red de Apoyo al Control Social de 12 Diplomados en Control Social y</t>
    </r>
    <r>
      <rPr>
        <b/>
        <sz val="10"/>
        <rFont val="Arial"/>
        <family val="2"/>
      </rPr>
      <t xml:space="preserve"> 7)</t>
    </r>
    <r>
      <rPr>
        <sz val="10"/>
        <rFont val="Arial"/>
        <family val="2"/>
      </rPr>
      <t xml:space="preserve"> Realización de 8 encuentros subregionales  con promotores sociales y personeros municipales para fortalecer el Control Social.   </t>
    </r>
  </si>
  <si>
    <t>4.2.1 Sociedad civil fortalece sus capacidades para la gestión pública, democrática y concertada</t>
  </si>
  <si>
    <t xml:space="preserve"> Fortalecimiento de las organizaciones comunales y sociales para el Desarrollo Territorial.</t>
  </si>
  <si>
    <t>20120500000107</t>
  </si>
  <si>
    <t>072107-001</t>
  </si>
  <si>
    <t xml:space="preserve">Fortalecimeinto De Las Organizaciones Comunales Y Sociales Para El Desarrollo Territorial En 125 Municipios Del Departamento De Antioquia </t>
  </si>
  <si>
    <t>Personas con continuidad en ciclos de formación y articuladas a procesos de desarrollo territorial</t>
  </si>
  <si>
    <t xml:space="preserve">Se consideran como proceso  continuo, permanente y participativo que busca desarrollar armónica y coherentemente todas y cada una de las competencias de los lideres, incluye procesos de formación en elección de dignatarios, formación para formulación de iniciativas comunitarias, manejo de libros, e información contable y tributaria de Organismos comunales y  organizaciones sociales. 
Nota: De la variación de recursos, $1.199.760.000 corresponden al taslado de recursos al fondo de emprendimiento comunal, las acciones realizadas en el marco de este proyecto aportan al logro de las metas de los indicadores de producto. </t>
  </si>
  <si>
    <t>Organizaciones que han adoptado un Plan de Mejoramiento</t>
  </si>
  <si>
    <t xml:space="preserve"> A la fecha, en el marco del concurso de iniciativas se adoptan y formulan planes de mejoramiento, esto con el fin de contribuir al fortalecimiento de las organizaciones comunales y sociales. Está en proyecto la creación del banco de iniciativas comunitarias. </t>
  </si>
  <si>
    <t>Organizaciones con actividades de trabajo asociativo vinculadas en red</t>
  </si>
  <si>
    <t>De acuerdo al trabajo de construcción de agenda de política publica para el sector solidario en Antioquia se desarrollaron encuentros subregionales y un encuentro departamental para tal fin; donde las organizaciones reportadas se encuentran trabajando para el proceso final de formulación de la política publica de economía solidaria</t>
  </si>
  <si>
    <t xml:space="preserve"> Organización del Sistema Departamental de Participación</t>
  </si>
  <si>
    <t>2012050000062</t>
  </si>
  <si>
    <t>072062-001</t>
  </si>
  <si>
    <t xml:space="preserve">Implementación De Un Sistema Departamental De Participación En El Departamento De Antioquia </t>
  </si>
  <si>
    <t>Territorios con instancias ciudadanas de deliberación pública y con espacios de participación articulados (Local-Zonal o Subregional)</t>
  </si>
  <si>
    <t xml:space="preserve">Por medio del proyecto de Sistema Departamental de Participación Ciudadana y Control Social, se avanzó significativamente en la  conformación, capacitación y presentación oficial de 49 Consejos Municipales de Participación Ciudadana y Control Social, dichos Consejos  contemplan dentro de sus funciones propiciar procesos de articulación  entre las diferentes instancias de participación ciudadana y mejorar las dinámicas de participación en control social, rendición de cuentas y los procesos de planeación y presupuesto participativo.  </t>
  </si>
  <si>
    <t xml:space="preserve"> Gestión eficiente y transparente de las entidades sin ánimo de lucro</t>
  </si>
  <si>
    <t>2012050000106</t>
  </si>
  <si>
    <t>122106-001</t>
  </si>
  <si>
    <t xml:space="preserve">Fortaleciemiento Del Sistema De Inspección, Vigilancia Y Control De La Gobernación De Antioquia Para Las Esals Departamento De Antioquia </t>
  </si>
  <si>
    <t>Cobertura de entidades vigiladas en el Departamento de Antioquia</t>
  </si>
  <si>
    <t>En el Plan de desarrollo este indicador está asignado a la secretaría General</t>
  </si>
  <si>
    <t>Cobertura de entidades inspeccionadas</t>
  </si>
  <si>
    <t>4.2.2 Alianza Antioquia por la equidad</t>
  </si>
  <si>
    <t xml:space="preserve"> Concertar alianzas público privadas para la investigació, la generación de políticas y la innovación social</t>
  </si>
  <si>
    <t>2012050000105</t>
  </si>
  <si>
    <t>222105-001</t>
  </si>
  <si>
    <t xml:space="preserve">Administración Alianzas Público - Privadas Para La Investigación , La Innnovación Social Departamento De Antioquia </t>
  </si>
  <si>
    <t>Alianzas público privadas concertadas parala Investigación la Comunicación y  la innovación social</t>
  </si>
  <si>
    <r>
      <rPr>
        <sz val="9"/>
        <rFont val="Arial"/>
        <family val="2"/>
      </rPr>
      <t xml:space="preserve">Se han realizado Alianzas público-privadas con:
</t>
    </r>
    <r>
      <rPr>
        <b/>
        <sz val="9"/>
        <rFont val="Arial"/>
        <family val="2"/>
      </rPr>
      <t>1</t>
    </r>
    <r>
      <rPr>
        <sz val="9"/>
        <rFont val="Arial"/>
        <family val="2"/>
      </rPr>
      <t xml:space="preserve">. PROANTIOQUIA, para el análisis de Indicadores de la AAE y ODM
</t>
    </r>
    <r>
      <rPr>
        <b/>
        <sz val="9"/>
        <rFont val="Arial"/>
        <family val="2"/>
      </rPr>
      <t>2</t>
    </r>
    <r>
      <rPr>
        <sz val="9"/>
        <rFont val="Arial"/>
        <family val="2"/>
      </rPr>
      <t xml:space="preserve">. U de A, Escuela de Gobierno y Políticas Públicas, para el acompañamiento académico y profesional al fomento de Alianzas público privadas para la innovación social
</t>
    </r>
    <r>
      <rPr>
        <b/>
        <sz val="9"/>
        <rFont val="Arial"/>
        <family val="2"/>
      </rPr>
      <t>3</t>
    </r>
    <r>
      <rPr>
        <sz val="9"/>
        <rFont val="Arial"/>
        <family val="2"/>
      </rPr>
      <t xml:space="preserve">. Alcaldía de Medellín, (Planeación Municipal) en el marco de la Alianza AMA para la ruta de acompañamiento y  fortalecimiento de los COMPOS (Aliados estrátegicos: PNUD, ANSPE, ICBF, DPS, U de A., Proantiouia. FAONG, Planes Estratégiso Aburrá Norte y Sur).
</t>
    </r>
    <r>
      <rPr>
        <b/>
        <sz val="9"/>
        <rFont val="Arial"/>
        <family val="2"/>
      </rPr>
      <t>4</t>
    </r>
    <r>
      <rPr>
        <sz val="9"/>
        <rFont val="Arial"/>
        <family val="2"/>
      </rPr>
      <t xml:space="preserve">. Ministerio de Trabajo, Alianza para el fortalecimiento del teletrabajo y formalización como modalidad laboral”, 
</t>
    </r>
    <r>
      <rPr>
        <b/>
        <sz val="9"/>
        <rFont val="Arial"/>
        <family val="2"/>
      </rPr>
      <t>5</t>
    </r>
    <r>
      <rPr>
        <sz val="9"/>
        <rFont val="Arial"/>
        <family val="2"/>
      </rPr>
      <t xml:space="preserve">. ICBF-PNUD para la implementación del esquema de seguimiento a la gestión de los COMPOS, a través de la inclusión del Consejo Departamental de Política Social y Equidad como Piloto.
</t>
    </r>
    <r>
      <rPr>
        <b/>
        <sz val="9"/>
        <rFont val="Arial"/>
        <family val="2"/>
      </rPr>
      <t>6</t>
    </r>
    <r>
      <rPr>
        <sz val="9"/>
        <rFont val="Arial"/>
        <family val="2"/>
      </rPr>
      <t xml:space="preserve">. MAPPA Mesa de Alianzas Público Privadas de Antioquia - Acompañamiento al programa ZOLIP en el municipio de Buriticá
</t>
    </r>
    <r>
      <rPr>
        <b/>
        <sz val="9"/>
        <rFont val="Arial"/>
        <family val="2"/>
      </rPr>
      <t>7</t>
    </r>
    <r>
      <rPr>
        <sz val="9"/>
        <rFont val="Arial"/>
        <family val="2"/>
      </rPr>
      <t xml:space="preserve">. Corporación Buena Nota  - Acompañamiento académico y profesional para la conformación del nodo de innovación capítulo Antioquia y mapeo de programas de la Gobernación da Antioquia con componente de innovación social.                                                               </t>
    </r>
    <r>
      <rPr>
        <b/>
        <sz val="9"/>
        <rFont val="Arial"/>
        <family val="2"/>
      </rPr>
      <t xml:space="preserve"> 8</t>
    </r>
    <r>
      <rPr>
        <sz val="9"/>
        <rFont val="Arial"/>
        <family val="2"/>
      </rPr>
      <t xml:space="preserve">. Alianza ANSPE-UPB-RUTA N. para la constitución del Nodo Antioquia de Innovación Social y para contribuir al proceso de formulación de la política pública nacional de innovación social.                                                </t>
    </r>
    <r>
      <rPr>
        <b/>
        <sz val="9"/>
        <rFont val="Arial"/>
        <family val="2"/>
      </rPr>
      <t>9</t>
    </r>
    <r>
      <rPr>
        <sz val="9"/>
        <rFont val="Arial"/>
        <family val="2"/>
      </rPr>
      <t xml:space="preserve">.Municipio de Buriticá-Fundación Mi Sangre-Fundación Golondrinas y Prevenir es Mejor. Alianza para la realización de la Pasantía de Innovación Social en el municipio de Buriticá con el objetivo de convertir a 20 jóvenes buritiqueños en multiplicadores de procesos de prevención y oportunidades a través de la metodología “Pazalobien” que trabaja el desarrollo de habilidades ciudadanas y de convivencia para la construcción de paz desde el arte y la lúdica, con el fin de fortalecer el entorno familiar y el tejido social. </t>
    </r>
    <r>
      <rPr>
        <b/>
        <sz val="9"/>
        <rFont val="Arial"/>
        <family val="2"/>
      </rPr>
      <t xml:space="preserve"> 10</t>
    </r>
    <r>
      <rPr>
        <sz val="9"/>
        <rFont val="Arial"/>
        <family val="2"/>
      </rPr>
      <t xml:space="preserve">. Secretaría de Gestión Humana y Desarrollo Organizacional, con más de 25 dependencias de la Gobernación y entidades descentralizadas para la constitución de una Comunidad de práctica de Innovación Social dentro del Sistema Integrado de Gestión en el proceso “Gestión del Conocimiento”. </t>
    </r>
    <r>
      <rPr>
        <b/>
        <sz val="9"/>
        <rFont val="Arial"/>
        <family val="2"/>
      </rPr>
      <t>11</t>
    </r>
    <r>
      <rPr>
        <sz val="9"/>
        <rFont val="Arial"/>
        <family val="2"/>
      </rPr>
      <t xml:space="preserve">. Fundación Saldarriaga Concha. Alianza para acompañar a la Mesa Técnica de Indicadores de la Gobernación de Antioquia con el fin de realizar un piloto de diseño de  instrumentos para evaluar el impacto de los procesos de inclusión social; realizar la medición del Consejo temático Población Incluida con enfoque diferencial;  realizar un taller sobre Diseño, Puesta en Marcha y Evaluación de Políticas de Inclusión Social y  trabajar modelos de postconflicto especialmente a través de población en situación de discapacidad por causas violentas.  </t>
    </r>
    <r>
      <rPr>
        <b/>
        <sz val="9"/>
        <rFont val="Arial"/>
        <family val="2"/>
      </rPr>
      <t>12</t>
    </r>
    <r>
      <rPr>
        <sz val="9"/>
        <rFont val="Arial"/>
        <family val="2"/>
      </rPr>
      <t xml:space="preserve">. Alianza con el Parque Explora, Buena Nota  y la Secretaría de Educación para apoyar Colegios de Innovación de en las 9 subregiones de Antioquia. </t>
    </r>
    <r>
      <rPr>
        <b/>
        <sz val="9"/>
        <rFont val="Arial"/>
        <family val="2"/>
      </rPr>
      <t>13</t>
    </r>
    <r>
      <rPr>
        <sz val="9"/>
        <rFont val="Arial"/>
        <family val="2"/>
      </rPr>
      <t xml:space="preserve">. Fundación Colombia Accesible y VIVA para la realización de diálogos de inclusión,  dirigidos a arquitectos de Parques Educativos, Infraestructura Educativa, Secretaría de Infraestructura, y en general, población en situación de discapacidad, para que conozcan cómo diseñar estos equipamientos de manera amigable con la población en situación de discapacidad. </t>
    </r>
    <r>
      <rPr>
        <b/>
        <sz val="9"/>
        <rFont val="Arial"/>
        <family val="2"/>
      </rPr>
      <t>14</t>
    </r>
    <r>
      <rPr>
        <sz val="9"/>
        <rFont val="Arial"/>
        <family val="2"/>
      </rPr>
      <t xml:space="preserve">. Fundación Antioqueña de ONG’s, para la socialización y fortalecimiento  de la ruta de trabajo en torno a las políticas sociales del departamento para concertar alianzas público privadas y realizar un trabajo conjunto con las organizaciones sociales de la Federación y el Grupo de Inclusión Social de la Gobernación. </t>
    </r>
    <r>
      <rPr>
        <b/>
        <sz val="9"/>
        <rFont val="Arial"/>
        <family val="2"/>
      </rPr>
      <t>15</t>
    </r>
    <r>
      <rPr>
        <sz val="9"/>
        <rFont val="Arial"/>
        <family val="2"/>
      </rPr>
      <t>. Plan Integral para Urabá, IDEA (Banco de las Oportunidades), Secretaría de Productividad y Competitividad, COMFAMA, COMFENALCO, Fundauniba y Corbanacol, para la realización de la Feria de Innovación Social en Urabá para identificar y promover  iniciativas sociales innovadoras para mejorar las condiciones de vida de la población más vulnerable y realizar un mapeo de actores e iniciativas de innovación social en esa subregión.</t>
    </r>
    <r>
      <rPr>
        <sz val="10"/>
        <rFont val="Arial"/>
        <family val="2"/>
      </rPr>
      <t xml:space="preserve"> </t>
    </r>
  </si>
  <si>
    <t xml:space="preserve"> Lucha contra la pobreza extrema</t>
  </si>
  <si>
    <t>2012050000063</t>
  </si>
  <si>
    <t>072063-001</t>
  </si>
  <si>
    <t xml:space="preserve">Asistencia A Familias En Condición De Pobreza Extrema Para Acceder A Las Ferias Del Estado En El Departamento De Antioquia </t>
  </si>
  <si>
    <t>Familias atendidas en el Departamento de Antioquia en forma conjunta con la Red Unidos de la Presidencia de la República</t>
  </si>
  <si>
    <t>Se realizaron acciones de oferta de servicios en 55 municipios del departamento, obteniendo una participación de 8204 familias.  Estas actividades se realizaron en dos períodos, prorroga del Contrato del 2012  entre febrero y abril de 2013, en enero no se realizaron ya que la programación concertada fue cancelada por parte de los operadores de la ANSPE en Antioquia.
En el mes de junio se apoyó con el contact center la convocatoria para la jornada que se realizó en Amalfi con una participación de 331 familias.  El Contrato del 2013 se comenzó  a ejecutar a partír del 12 de agosto, teniendo en cuenta que dicha contratación tuvo dificultades pues fue declarada desierta en 2 oportunidades, lo cual disminuye significativamente la manera en que podemos apoyar las jornadas programadas desde la ANSPE, así que con el nuevo Contrato hasta el 31 de diciembre se realizaron 62 jornadas, con atención a  21.964 familias.  Como puede verse la meta de 2014 no se Cumplió.</t>
  </si>
  <si>
    <t>Secretaría de Participación</t>
  </si>
  <si>
    <t>Cantidad realizada semestre 2</t>
  </si>
  <si>
    <t>•Alianza con el Programa radial ALÓ EPM para la transmisión de notas de formación ciudadana de 4 minutos una vez a la semana, en 56 emisoras de los las regiones de Oriente, Suroeste, Nordeste, Magdalena Medio, Norte y Occidente. valor : $ 12.000.000 mensual.
•12 diplomados en control social de 80 horas en 12 zonas,  gestionados con la Red de Control Social a 12 millones cada uno (se ha ejecutado el 50%)</t>
  </si>
  <si>
    <t>Nro</t>
  </si>
  <si>
    <t>Se avanza en el apoyo al Control Social en los diferentes municipios del Departamento de Antioquia.</t>
  </si>
  <si>
    <t>Mano de Obra Califida (Temp)</t>
  </si>
  <si>
    <t>Adquisición de materiales y equipos</t>
  </si>
  <si>
    <t xml:space="preserve">Estamos a la espera de la entrega de los equipos de cómputo </t>
  </si>
  <si>
    <t>Actividades de difusión y comunicación</t>
  </si>
  <si>
    <t xml:space="preserve">Iniciativas comunitarias apoyadas </t>
  </si>
  <si>
    <t>Se realizó desembolso a 96 iniciativas que cumplieron con los requisitos administrativos y legales para el apoyo económico, a las 26 iniciativas ganadoras restantes se les realizará el pago durante el primer semestre del 2014 una vez completen los requisitos necesarios para el desembolso. Se reitera que el no cumplimiento total de esta actividad es por razones externas a la entidad ya las organizaciones ganadoras deben completar los requisitos legales para el pago.</t>
  </si>
  <si>
    <t>Realizar la operación del Concurso de Iniciativas Comunitarias</t>
  </si>
  <si>
    <t xml:space="preserve">El contrato con el operador del concurso terminó el 20 de noviembre de 2013, no se realizó prorroga o ampliación al contrato por tanto la última fase del concurso (Rendición de cuentas)  fue asumido por al interventoría del concurso y servidores de la Dirección de Organismos Comunales. Esto debido a diferentes retrasos en la entrega de documentación para posterior desembolso de recursos </t>
  </si>
  <si>
    <t>Interventoria al concurso de iniciativas comunitarias</t>
  </si>
  <si>
    <t>Se cumple parcialmente con esta actividad debido a  inconvenientes con los contratistas, inicialmente se realizó un concurso de méritos donde se seleccionó la empresa Gestión y Acción la cual firma contrato el 19 de abril de 2013 con una duración de 8 meses, el contratista desarrolla su labor adecuadamente durante los dos primeros meses pero al tercer mes renuncia el interventor técnico y posteriormente renuncia el interventor jurídico, el contratista al no poder cumplir con los requerimientos de nuevo personal solicita la liquidación anticipada del contrato. Se realiza un nuevo concurso de méritos y se selecciona al contratista José Alejandro Gómez quien firma contrato el 6 de noviembre de 2013 y termina el 15 de diciembre de 2013, quien en este momento se encuentra en un proceso de incumplimiento parcial del contrato por presuntas inconsistencias presentadas durante la labor de interventoría.</t>
  </si>
  <si>
    <t>Prestar servicios de Asesoría y Asistencia Técnica orientados al fortalecimiento de  las organizaciones comunales y sociales de las diferentes subregiones del Departamento de Antioquia.</t>
  </si>
  <si>
    <t>Es un proceso continuo en las Subregiones.</t>
  </si>
  <si>
    <t>Aunar esfuerzos para el fortalecimiento de las organizaciones de personas en situación de discapacidad en el departamento de Antioquia</t>
  </si>
  <si>
    <t xml:space="preserve">Se desarrolló convenio de asociación con el Comité  Regional de Rehabilitación y la Secretaría Seccional de Salud de Antioquia. 
Se ejecuta el 97% de las actividades en sus cuatro fases en cada uno de los 35 municipios priorizados para el proyecto. Solo en caso de Buriticá y Anorí no logran desarrollarse las fases antes descritas por problemas referidos a calamidad y alteración en el orden público.  Se cuenta con la participación de 6567 personas a los largo de todo el proyecto, se realiza el acompañamiento técnico a 36 Asociaciones y  32 Comités Locales de Discapacidad buscando la articulación de acciones que favorezca en el desarrollo local inclusivo. Se hace entrega de modems, cámaras web y dispositivos de audio a 15 asociaciones y se consolida el diseño del blog de las Organizaciones de Base Comunitaria, promoviendo así dos encuentros virtuales entre 17 Asociaciones de los diferentes municipios del proyecto. Se espera en este 2014 cubrir los 45 municipios que no han recibido el acompañamiento a sus organizaciones de personas con discapacidad por parte de este proyecto y diseñar una estategía de acompañamiento no presencial con el resto de municipios que ya han sido intervenidos. </t>
  </si>
  <si>
    <t>Realizar la interventoría integral a los contratos orientados al fortalecimiento de  las organizaciones comunales y sociales del Departamento de Antioquia</t>
  </si>
  <si>
    <t>El contrato  inició el segundo semestre.</t>
  </si>
  <si>
    <t>Aunar esfuerzos  para el fortalecimiento de los procesos de participación, etnodesarrollo, etnoeducación, autoreconocimiento y emprendimiento de los Consejos Comunitarios, organizaciones y comunidades afro en 50 municipios del Departamento de Antioquia, aplicando en enfoque diferencial.  (Traslado Gerencia de Negritudes)</t>
  </si>
  <si>
    <t xml:space="preserve">Se trasladaron recursos a la Gerencia de Negritudes por ser la Competente para el fortalecimiento de la Organización.
Este proceso inició a partir del segundo semestre por temas de articulación en la contratación y concertación entre la Secretaría de Participación y la Gerencia de Negritudes en cumplimento de los indicadores misionales de ambas secretarias. </t>
  </si>
  <si>
    <t>Acompañamiento en la conformación y fortalecimiento al proceso organizativo de víctimas en el marco de la Ley 1448 en el Depto de Antioquia (Traslado Gobierno)</t>
  </si>
  <si>
    <t>mesas municipales de los municipios priorizados con Sria de Gobierno</t>
  </si>
  <si>
    <t>Se caracterizaron las organizaciones de víctimas inscritas en las mesas departamentales de participación y para el 2014 se avanzará en el fortalecimiento de la mesa departamental de victimas con el tema específico de enfoque de paz</t>
  </si>
  <si>
    <t>Organización y digitalización archivos (400.000 folios), incorporación a mercurio (1.000.000). Traslado a tecnologia de la información</t>
  </si>
  <si>
    <t>Se realizó la digitalización de 400,000 folios, los cuales están siendo incorporados a mercurio.</t>
  </si>
  <si>
    <t>Prestación de Serviocios para la SPCyDS, consistentes en actividades de sustanciación de procesos de vigilancia, inspección y control de los Organismos Comunales</t>
  </si>
  <si>
    <t>No se realizó la contratación por directrices del Comité de Orientación y Seguimiento.  Se solicitó la creación de cargos de naturaleza temporal para desarrollar las acciones.</t>
  </si>
  <si>
    <t>Adición al contrato cuyo objeto es "Prestación de servicios de BPO para la SPCyDS consistentes en actividades de gestión documental y sustanciación de procesos de IVC de los Organismos comunales</t>
  </si>
  <si>
    <t>Ya se ejecutó y está en proceso de verificación de los productos.</t>
  </si>
  <si>
    <t>Apoyar la realización de actividades de comunicación y difusión</t>
  </si>
  <si>
    <t>Otros Pendientes(2012)</t>
  </si>
  <si>
    <t>Mano de Obra calificada( Tem)</t>
  </si>
  <si>
    <t>Prestar los servicios de CONTACT CENTER, para apoyar la actividad institucional del Departamento de Antioquía para el fortalecimiento de sus relaciones con la comunidad. (Traslado a la Gerencia de Atención al Ciudadano)</t>
  </si>
  <si>
    <t xml:space="preserve">Se apoyan los procesos de atención a la ciudadanía, gestión de trámites, gestión del conocimiento e IVC. Durante el segundo semestre no se realiza contratación a través de atención a la ciudadanía </t>
  </si>
  <si>
    <t>Adquisición de Materiales y Equipos</t>
  </si>
  <si>
    <t>Promover e implementar el sistema de participación ciudadana y control social, en diferentes municipios del Departamento de Antioquia</t>
  </si>
  <si>
    <t>Realizar la interventoría integral al contrato cuyo objeto es "Implementar y promover el sistema de participación ciudadana y control social , articulando instancias, espacios y organizaciones en lo local, zonal, subregional y departamental"</t>
  </si>
  <si>
    <t>Implantar es software para el sistema de información de organización y participación ciudadana de la Gobernación de Antioqia</t>
  </si>
  <si>
    <t xml:space="preserve">El contratista está realizando pruebas a los desarrollos para luego iniciar prueba piloto </t>
  </si>
  <si>
    <t>•Acompañamiento académico, espacios y alimentación (Refrigerios y almuerzos) - Proantiquia, PNUT, Alcaldía de Medellín, DPS, DNP, ANSPE, ICBF
•Caravana de inclusión en 11 municipios ($5,000,000)</t>
  </si>
  <si>
    <t>Realizar el estudio y diagnóstico de la información social en el  Departamento,  de acuerdo a los indicadores  suministrados por la Gerencia Alianza de Antioquia por la Equidad</t>
  </si>
  <si>
    <t>El análisis de la información se realiza de manera conjunta con Proantioquia y la Mesa Técnica de Indicadores de la Gobernación.</t>
  </si>
  <si>
    <t>Afianzar alianzas público privadas con enfoque de innovación social, para favorecer el desarrollo equitativo en el Departamento de Antioquia</t>
  </si>
  <si>
    <t>Alianzas</t>
  </si>
  <si>
    <t>Las Alianzas no implican presupuesto, sino gestión.</t>
  </si>
  <si>
    <t>Está en ejecución el Contrato para el acompañamiento en la estrategia comunicacional.</t>
  </si>
  <si>
    <t>Se realizó el pago pendiente.</t>
  </si>
  <si>
    <t>Realizar acciones y gestiones que permitan el acercamiento y la canalizacion de la oferta de servicios institucionales de los diferentes sectores público y privado en procura de la superación de la pobreza extrema</t>
  </si>
  <si>
    <t xml:space="preserve">jornadas de oferta institucional </t>
  </si>
  <si>
    <t>De manera aclaratoria se informa que el número de jornadas apoyadas en el primer semestre de 2013 fueron 43 por tanto de solicita ajustar la cantidad reportada en el primer semestre</t>
  </si>
  <si>
    <t>Realizar la interventoria al contrato cuyo objeto es "Realizar acciones y gestiones que permitan el acercamiento y la canalizacion de la oferta de servicios institucionales de los diferentes sectores público y privado en procura de la superación de la pob</t>
  </si>
  <si>
    <t>El contrato se celebró oportunamente, sin embargo no pudo empezar en el primer semestre porque la licitación para la operación del contrato fue declarado desierto en 2 veces.</t>
  </si>
  <si>
    <t>Prestar los servicios de CONTACT CENTER, para apoyar la actividad institucional del Departamento de Antioquía para el fortalecimiento de sus relaciones con la comunidad. (Traslado a la Gerencia de Atención al Ciudadano)-CONTAC-CENTER</t>
  </si>
  <si>
    <t>Es una actividad permanente.</t>
  </si>
  <si>
    <t>Comunicaciones (Estrategia Comunicacional)</t>
  </si>
  <si>
    <t>Servicios Públicos</t>
  </si>
  <si>
    <t xml:space="preserve"> Ampliación de los servicios de Agua potable y saneamiento.</t>
  </si>
  <si>
    <t>2012050000103</t>
  </si>
  <si>
    <t>032103-001</t>
  </si>
  <si>
    <t>Construcción de infraestructura vinculada a la prestación de los servicios de agua potable y saneamiento básico en el departamento de antioquia</t>
  </si>
  <si>
    <t>Viviendas con el servicio de agua potable</t>
  </si>
  <si>
    <t>Se reportó en el trimestre anterior 42028 viviendas, el indicador continua igual. Estas viviendas corresponden a la viviendas beneficiadas con acueducto de:Caicedo: 1583; Puerto Berrío: 1385
Puerto Triunfo: 1179; Remedios: 80
y Salgar: 1199,Cañasgordas: 6.024, Buritica: 1.631 Sabanalarga: 1.600</t>
  </si>
  <si>
    <t>Viviendas con saneamiento asociado</t>
  </si>
  <si>
    <t>Se reportó en el trimestre anterior 12594 viviendas con saneamiento, correspondientes a Caicedo: 1583; Puerto Berrío: 280; Puerto Triunfo: 407; Remedios: 80, Salgar: 330, Cañasgordas: 6.024, Buritica: 1.631 Sabanalarga: 1.600. En el 2013 se incluyen las viviendas beneficiadas con convenio de VIVA (200)</t>
  </si>
  <si>
    <t>2012050000143</t>
  </si>
  <si>
    <t>032143-001</t>
  </si>
  <si>
    <t>Construccion de sistemas alternativos de agua potable y saneamiento básico en las zonas de dificil acceso en el departamento de antioquia</t>
  </si>
  <si>
    <t>Sistemas alternativos de agua potable y saneamiento instalados</t>
  </si>
  <si>
    <t>Se aumenta el numero de viviendas beneficiadas con el suministro de filtros( Se tenian 350 filtros individuales y  50 filtros en escuelas del departamento), En el ultimo trimestre se entregaron 1717 filtros y en 50 escuelas mas), se aumenta un sistema alternativo que son los tanques septicos.</t>
  </si>
  <si>
    <t>2012050000144</t>
  </si>
  <si>
    <t>032144-001</t>
  </si>
  <si>
    <t>Mejoramiento de los sistemas de acueducto y alcantarillado del departamento de antioquia</t>
  </si>
  <si>
    <t>Sistemas de acueducto optimizados</t>
  </si>
  <si>
    <t>Son 24  sistemas de acueducto mediante de obras de rehabilitación, reposición, etc.  iniciados en la vigencia 2011 y terminados durante 2012.En el año 2013 se realizaron 9 optimizaciones de acueductos: en La Vereda la Primavera (El Peñol) , optimización acueducto urbano (Guatape), corregimiento Estación Cocorná (Pto Triunfo), corregimiento de Sabaletas (Montebello), Batallon de Argelia, urbanización Villa Esperanza (Caracoli), Quebradona Abajo (Granada),  multiveredal de las veredas Los Peñoles, La Ceja y La Palma (Liborina), Acueducto Urbano (Yondo)</t>
  </si>
  <si>
    <t>Sistemas de alcantarillado optimizados</t>
  </si>
  <si>
    <t>Optimización de 10 sistemas de alcantarillado mediante de obras de rehabilitación, reposición, etc.  Incluye contratos iniciados en la vigencia 2011 y terminados durante 2012.En el 2013 se realizaron 4 optimizaciones en sistemas de Saneamiento: Villa Esperanza (Caracoli), y corregimiento de Sabaletas (Montebello), optimización alcantarillado Julia Orozco (Turbo), acueducto Urb Guillermo Gaviria (Sonson)</t>
  </si>
  <si>
    <t>2012050000170</t>
  </si>
  <si>
    <t>032170-001</t>
  </si>
  <si>
    <t>Implementación de modelos empresariales que operen los servicios de acueducto y saneamiento en el Departamento de Antioquia</t>
  </si>
  <si>
    <t>Municipios con modelos empresariales implementados</t>
  </si>
  <si>
    <t>Como complemento a ésta actividad y producto se sucribió convenio con EPM con el fin de fortalecer el alcance de a todos los municipios de Antioquia</t>
  </si>
  <si>
    <t>2012050000240</t>
  </si>
  <si>
    <t>Administración recursos del sistema general  de participaciones destinación agua potable y saneamiento básico de los municipios descertificados  del Departamento de Antioquia - ITUANGO</t>
  </si>
  <si>
    <t>Son recursos para administrar</t>
  </si>
  <si>
    <t>Administración recursos del sistema general  de participaciones destinación agua potable y saneamiento básico de los municipios descertificados  del Departamento de Antioquia - LA PINTADA</t>
  </si>
  <si>
    <t>Administración recursos del sistema general  de participaciones destinación agua potable y saneamiento básico de los municipios descertificados  del Departamento de Antioquia - SONSON</t>
  </si>
  <si>
    <t>Administración recursos del sistema general  de participaciones destinación agua potable y saneamiento básico de los municipios descertificados  del Departamento de Antioquia - SANTUARIO</t>
  </si>
  <si>
    <t>32240011, 32240012,32240013, 32240014, 32240015, 32240016, 32240017, 32240018, 32240019, 32240020, 32240021, 32240022, 32240023, 32240024</t>
  </si>
  <si>
    <t>Administración recursos del sistema general  de participaciones destinación agua potable y saneamiento básico de los municipios descertificados  del Departamento de Antioquia - 23 municipios: Angelopolis, Anzá, Argelia, Cisneros,  Gomez Plata,  Murindo, Vigia del Fuerte,  Zaragoza, Toledo, URamita, Caldas, Puerto Berrio, Caceres, Envigado, Nariño, San Roque, Sopetran y Taraza</t>
  </si>
  <si>
    <t xml:space="preserve"> Apoyar a los municipios en la gestión de residuos sólidos.</t>
  </si>
  <si>
    <t>2012050000150</t>
  </si>
  <si>
    <t>032150-001</t>
  </si>
  <si>
    <t xml:space="preserve">Asesoría  gestión integral de residuos sólidos en los municipios del departamento de Antioquia </t>
  </si>
  <si>
    <t>Municipios con PGIRS actualizados</t>
  </si>
  <si>
    <t xml:space="preserve"> Se firmo convenio con CORANTIOQUIA para realizar seguimiento y lineamientos de los PGRIS, fecha de terminación octubre 2014</t>
  </si>
  <si>
    <t>2012050000151</t>
  </si>
  <si>
    <t>032151-001</t>
  </si>
  <si>
    <t>Apoyo  fortalecimiento de los municipios en el manejo de los residuos solidos  municipios de antioquia</t>
  </si>
  <si>
    <t>Municipios fortalecidos en el manejo integral de los residuos sólidos</t>
  </si>
  <si>
    <t>Se han beneficiado los municipios de Cisneros, Chigorodo, San Carlos, Puerto Nare, Betulia, Urrao</t>
  </si>
  <si>
    <t>2012050000119</t>
  </si>
  <si>
    <t>192119-001</t>
  </si>
  <si>
    <t>Apoyo y aumento de las coberturas en electrificación rural con sistemas alternativos zonas rurales de las subregiones del departamento</t>
  </si>
  <si>
    <t>2012050000120</t>
  </si>
  <si>
    <t>192120-001</t>
  </si>
  <si>
    <t>Apoyo  aumento de las coberturas de electrificación rural aumentando los indicadores de calidad de vida zonas rurales de las subregiones del departamento de Antioquia</t>
  </si>
  <si>
    <t>Instalaciones domiciliarias construidas</t>
  </si>
  <si>
    <t>Se aumentó en el ultimo trimestre del 2013 1392 conexiones de energía, en el marco del convenio con EPM</t>
  </si>
  <si>
    <t>2012050000121</t>
  </si>
  <si>
    <t>192121-001</t>
  </si>
  <si>
    <t>Apoyo  aumento en las coberturas de suministro de gas mejorando los indicadores de calidad de vida cabeceras o zonas rurales de municipios del departamento</t>
  </si>
  <si>
    <t>Municipios con el servicio de GN y GLP incorporado en su territorio</t>
  </si>
  <si>
    <t>En total se han conectado a diciembre de 2013 27281 viviendas con el servicio de Gas Natural, en convenio con EPM</t>
  </si>
  <si>
    <t>los recursos de gestión provienen de 396 millones de aporte de convenio con municipios, 9195 de recursos de la Nación y 4000 millones del Hidroituango</t>
  </si>
  <si>
    <t>Fortalecimiento institucional para el seguimiento y supervisión del cumplimiento de las obras de infraestructura</t>
  </si>
  <si>
    <t>Profesionales</t>
  </si>
  <si>
    <t>Profesionales temportales para apoyo al segumiento y supervisión de obras</t>
  </si>
  <si>
    <t>Construcción de obras de infraestructura de sistemas de acueducto y alcantarillado urbano</t>
  </si>
  <si>
    <t>Proyectos ejecutados y terminados en el 2013</t>
  </si>
  <si>
    <t>Construcción de obras de infraestructura de sistemas de acueducto y alcantarillado rural</t>
  </si>
  <si>
    <t>Proyectos Ejecutados</t>
  </si>
  <si>
    <t>Construcción de redes de sistemas de acueducto y alcantarillado</t>
  </si>
  <si>
    <t>km</t>
  </si>
  <si>
    <t xml:space="preserve">los recursos de gestión provienen de convenio con Fundación EPM para para contribuir  la calidad de vida de la población estudiantil de establecimientos educativos </t>
  </si>
  <si>
    <t>Suministro de filtros para potabilización del agua potable en viviendas rurales</t>
  </si>
  <si>
    <t xml:space="preserve"> En total se beneficiaron en el 2013  2.067 viviendas  en 20 mpios Caceres, caracoli, caucasia, el bagre, Ituango., Murindo, Mutata, Nechi, Necocli, Pto Nare, San Asndres de Cuerquia, San Jose, de la Montaña, San Juan de Uraba, San Pedro, Taraza, Toledo, Turbo, Vigia, Yondo y Zaragoza</t>
  </si>
  <si>
    <t>Suministro de filtros para potabilización del agua potable en escuelas rurales</t>
  </si>
  <si>
    <t>Construcción de obras de optimización de los sistemas de acueducto y alcantarillado en municipios de Antioquia</t>
  </si>
  <si>
    <t>Optimizaciones de sistemas de acueducto y alcantarilado</t>
  </si>
  <si>
    <t>Los recursos de gestión provienen de convenio con EPM, el cual aporto la cantidad indicada para convenio de fortalecimietno</t>
  </si>
  <si>
    <t>Realización de actividades de fortalecimiento, capacitación y actualización a empresas prestadoras de servicio de acueducto y alcantarillado en el Departamento de Antioquia</t>
  </si>
  <si>
    <t>Empresas</t>
  </si>
  <si>
    <t>Se realizaron capacitaciones a diferentes empresas de servicios publicos, juntas de acueducto y comunidades organizadas en el DPTO</t>
  </si>
  <si>
    <t>Municipio recertificado. Devolución de recursos</t>
  </si>
  <si>
    <t>Municipio</t>
  </si>
  <si>
    <t>Administración de los recursos del SGP del municipio. Incluye actividades de pago de subsidios, servicio a la deuda y pago al Fondo de Inversión del Agua, FIA</t>
  </si>
  <si>
    <t>$</t>
  </si>
  <si>
    <t>Pendientes de devolver recursos por valor de 1.099.340.542 una vez se concilien cuentas con Hacienda</t>
  </si>
  <si>
    <t>Se realizaron pagos por el valor indicado, para subsidios de  empresas de servicios públicos, servicios a la deuda, y  pago de inversiones de los municipios descertificados</t>
  </si>
  <si>
    <t>Realización de estudios para la actualización de PGIRS en municipios de Antioquia</t>
  </si>
  <si>
    <t>Los recursos de Gestión provienen de convenio con CORANTIOQUIA</t>
  </si>
  <si>
    <t>Compra de vehiculos compactadores como parte de la prestación de servicios de recolección de residuos sólidos en los municipios</t>
  </si>
  <si>
    <t>Durante el 2013 se apoyo a tres municipios Chigorodo, Cisneros y Puerto Nare para la adquisción de vehiculos compactadores</t>
  </si>
  <si>
    <t>Construcción de obra para el mejoramiento de la infraestructura vinculada a la prestación de servicios de aseo en los municipios</t>
  </si>
  <si>
    <t>Construcción de celdas transitorias e el municipio de Urrao</t>
  </si>
  <si>
    <t>Suministro, instalación y puesta en marcha de paneles solares para comunidades en zonas no interconectadas</t>
  </si>
  <si>
    <t>El indicador continua en cero puesto que las contrataciones que se realizaron en el 2013 se declararon desiertas</t>
  </si>
  <si>
    <t>Los resucsos de gestion provienen de EPM quien construye la infreestructura de las redes de Uso General</t>
  </si>
  <si>
    <t>Administración y seguimiento de recursos para la construcción de instalaciones domiciliarias de energia en el sector rural, en el marco del Convenio Antioquia Iluminada</t>
  </si>
  <si>
    <t>Instalaciones domiciliarias</t>
  </si>
  <si>
    <t>En el 2013 se beneficiaron 10177 viviendas mediante la cofinancion de acometidas de energía, en el marco del convenio con EPM</t>
  </si>
  <si>
    <t xml:space="preserve">Los resucsos de gestion provienen de EPM quien construye la infreestructura de los servicios </t>
  </si>
  <si>
    <t>Administración y seguimiento de recursos para la construcción de instalaciones domiciliarias de gas en el sector urbano en el marco del Convenio Gas sin Fronteras</t>
  </si>
  <si>
    <t>Incluye instalaciones financiadas por EPM e instalaciones con recursos de la Gobernación de Antioquia.</t>
  </si>
  <si>
    <t>VIVA</t>
  </si>
  <si>
    <t xml:space="preserve">VARIACIÓN TOTAL DE RECURSOS  FINANCIEROS </t>
  </si>
  <si>
    <t xml:space="preserve">Resultado total año </t>
  </si>
  <si>
    <t>5.1.4 Antioquia Mi Hogar</t>
  </si>
  <si>
    <t xml:space="preserve"> Formulación de lineamientos para el desarrollo de proyectos de vivienda y hábitat</t>
  </si>
  <si>
    <t>201205000182</t>
  </si>
  <si>
    <t>042182-001</t>
  </si>
  <si>
    <t xml:space="preserve">Formulación de Lineamientos para el desarrollo de proyectos de vivienda y hábitat en el Departamento de Antioquia </t>
  </si>
  <si>
    <t>Lineamientos para el desarrollo de proyectos de vivienda y hábitat formulados</t>
  </si>
  <si>
    <t>Corresponde a la etapa de diagnóstico, formulación y validación de contenidos al interior de VIVA. y socialización en las regiones.  Falta la validación de otros actores y publicación.</t>
  </si>
  <si>
    <t xml:space="preserve"> Proyectos municipales integrales para la vivienda y el hábitat</t>
  </si>
  <si>
    <t>201205000186</t>
  </si>
  <si>
    <t>042186-001</t>
  </si>
  <si>
    <t xml:space="preserve">Desarrollo de proyectos municipales e integrales para la vivienda y el habitat en el Departamento de Antioquia </t>
  </si>
  <si>
    <t>Proyectos municipales integrales formulados</t>
  </si>
  <si>
    <t>Se tienen diseñado los proyectos de Alejandría; Maceo, Peque, Yolombó y Venecia.  Los cuales pretenden consolidar un plan de intervenciones físicas articuladas en la estructura urbana del municipio en términos de espacio público, conectividad, movilidad y paisaje.</t>
  </si>
  <si>
    <t xml:space="preserve"> Construcción y Mejoramiento de Vivienda. - (Alianza Medellín-Antioquia)</t>
  </si>
  <si>
    <t>2012050000181</t>
  </si>
  <si>
    <t>042181-001</t>
  </si>
  <si>
    <t xml:space="preserve">construcción viviendas nuevas en los 125 municipios del Departamento de Antioquia </t>
  </si>
  <si>
    <t>Viviendas iniciadas en Antioquia</t>
  </si>
  <si>
    <t>La vivienda se entiende iniciada al momento de firmar el acta de inicio del convenio.</t>
  </si>
  <si>
    <t>2012050000184</t>
  </si>
  <si>
    <t>042184-001</t>
  </si>
  <si>
    <t xml:space="preserve">Construcción de mejoramiento de vivienda en el Departamento de Antioquia </t>
  </si>
  <si>
    <t>Mejoramientos de vivienda realizados en Antioquia</t>
  </si>
  <si>
    <t xml:space="preserve">Se cuentan todos aquellos mejoramientos que ya han firmado acta de inicio del convenio. </t>
  </si>
  <si>
    <t xml:space="preserve"> Titulación de predios</t>
  </si>
  <si>
    <t>2012050000187</t>
  </si>
  <si>
    <t>042187-001</t>
  </si>
  <si>
    <t>Titulación de predios en el Departamento de Antioquia</t>
  </si>
  <si>
    <t>Predios titulados en el Departamento de Antioquia</t>
  </si>
  <si>
    <t>La titulación de predios se cuenta contra el título registrado.</t>
  </si>
  <si>
    <t xml:space="preserve"> Promoción de estrategias sociales, pedagógicas y de desarrollo de capacidades en temas de vivienda, ahorro y crédito – (Alianza Medellín-Antioquia)</t>
  </si>
  <si>
    <t>2012050000185</t>
  </si>
  <si>
    <t>042185-001</t>
  </si>
  <si>
    <t xml:space="preserve">Fortalecimiento de estrategias sociales, pedagógicas y de desarrollo de capacidades en temas de vivienda, ahorro y crédito en el Departamento de Antioquia </t>
  </si>
  <si>
    <t>Población beneficiada con el desarrollo de capacidades mediante capacitación</t>
  </si>
  <si>
    <t>El público objetivo se compone de: Funcionarios de la Empresa de Vivienda de Antioquia, beneficiarios de los proyectos, funcionarios de los municipios, miembros de la Mesa de Vivienda de Antioquia y demás actores involucrados en el Sistema de Vivienda Departamental.</t>
  </si>
  <si>
    <t>Formulación de lineamientos.</t>
  </si>
  <si>
    <t>Socialización.</t>
  </si>
  <si>
    <t>La solización se realizó frente a las diferentes comunidades de cada región del departamento.</t>
  </si>
  <si>
    <t>Incorporación de ajustes.</t>
  </si>
  <si>
    <t>Publicación</t>
  </si>
  <si>
    <t>La programación de la actividad correspondiente a la publicación se definió para el año 2014, para garantizar que el proceso de socilización previa se amplie a todos los actores del Sistema de Vivienda en Antioquia</t>
  </si>
  <si>
    <t>Diagnóstico (Territorial y social).</t>
  </si>
  <si>
    <t>La cantidad real en 2013 es 8, teniendo en cuenta que para 2012 se reportó el cumplimiento de 1 proyecto</t>
  </si>
  <si>
    <t>Formulación del Plan Maestro de Inetrvención.</t>
  </si>
  <si>
    <t xml:space="preserve">La cantidad real en 2013 es 5, teniendo en cuenta que para 2012 se reportó el cumplimiento de 1 proyecto. </t>
  </si>
  <si>
    <t>Diseño emblema</t>
  </si>
  <si>
    <t>Es necesario precisar que los recursos gestionados en este proyecto durante el año 2013 es de $ 239.099 millones; distribuidos así: 1 Semestre 139.285 y 2 Semestre $ 99.814</t>
  </si>
  <si>
    <t>Asesorías</t>
  </si>
  <si>
    <t>Convocatorias</t>
  </si>
  <si>
    <t>Evaluación y elegibilidad de proyectos.</t>
  </si>
  <si>
    <t>Formulación y diseño</t>
  </si>
  <si>
    <t>Elaboración, firma y legalización de convenio.</t>
  </si>
  <si>
    <t>Ejecución y seguimiento.</t>
  </si>
  <si>
    <t>Finalización, entrega y Liquidación</t>
  </si>
  <si>
    <t>Es necesario precisar que los recursos gestionados en este proyecto durante el año 2013 es de $ 22.448 millones; distribuidos así: 1 Semestre $ 1.250 y 2 Semestre $ 21.198</t>
  </si>
  <si>
    <t>Asignación de recursos.</t>
  </si>
  <si>
    <t>Diagnóstico e identificación de predios.</t>
  </si>
  <si>
    <t>Avalúos y postulación de beneficiarios.</t>
  </si>
  <si>
    <t>Actos administrativos y recursos.</t>
  </si>
  <si>
    <t>Registro y entrega.</t>
  </si>
  <si>
    <t>Personas formadas en el programa del SENA como técnicos de construcción y cursos cortos</t>
  </si>
  <si>
    <t>Personas formadas en el programa de desarrollo de capacidades en los temas de vivienda y hábitat</t>
  </si>
  <si>
    <t>Gerencia de Infancia, Adolescencia y Juventud</t>
  </si>
  <si>
    <t>4.3.1  Familia, Sociedad y Estado garantes de protección integral</t>
  </si>
  <si>
    <t xml:space="preserve"> Gestión de la institucionalidad pública</t>
  </si>
  <si>
    <t>2012050000084</t>
  </si>
  <si>
    <t>072084-001</t>
  </si>
  <si>
    <t xml:space="preserve"> Aplicación de la Política Pública de Infancia y Adolescencia en el nivel departamental y municipal en Antioquia </t>
  </si>
  <si>
    <t>Planes de acción de la política pública Municipal de infancia y adolescencia formulados e implementados con acompañamiento de la Gerencia</t>
  </si>
  <si>
    <t>Municipios con acompañamiento técnico para el fortalecimiento institucional para la gestión de políticas públicas de infancia y adolescencia.</t>
  </si>
  <si>
    <t>243120007</t>
  </si>
  <si>
    <t xml:space="preserve"> Comunidades protectoras de derechos</t>
  </si>
  <si>
    <t>2012050000077</t>
  </si>
  <si>
    <t>072077-001</t>
  </si>
  <si>
    <t xml:space="preserve"> Fortalecimiento de organizaciones sociales para la protección integral de niños, niñas y adolescentes en Antioquia </t>
  </si>
  <si>
    <t>Integrantes de Juntas de Acción Comunal, organizaciones sociales y ciudadanía formados en la protección integral de los NNA</t>
  </si>
  <si>
    <t xml:space="preserve">Líderes de organizaciones sociales y comunales de 23 municipios  del Oriente, de  Santafe y Cañasgordas y 28 municipios de 6 subregiones que participaron en procesos de formación para prevenir la vulneración de derechos de Niños, niñas y adolescentes especialmente en lo relacionado con abuso sexual y violencias. </t>
  </si>
  <si>
    <t>243130007</t>
  </si>
  <si>
    <t xml:space="preserve"> Familias protectoras</t>
  </si>
  <si>
    <t>2012050000017</t>
  </si>
  <si>
    <t>072017-001</t>
  </si>
  <si>
    <t xml:space="preserve">Implementación del lineamiento técnico de familias con bienestar en los municipios de Antioquia </t>
  </si>
  <si>
    <t>Familias con habilidades y competencias para la crianza generadoras en su entorno familiar de estrategias de apoyo, e interacción para la prevención de la vulneración de derechos de NNA</t>
  </si>
  <si>
    <t xml:space="preserve">Acciones de promoción de la convivencia familiar y prevención de las violencias con 12697 familias de 54 municipios, en Asocio Gerencia, ICBF y Secretaría de Minas y 984 familias de los municipios de Cañasgordas y Santafé de Antioquia, en convenio con la Fundación de Atención a la Niñez </t>
  </si>
  <si>
    <t>Política Pública de Familia y plan estratégico formulados</t>
  </si>
  <si>
    <t>Marco estratégico de la política pública de familias formulado con la participación de 543 actores institucionales,  sociales  e integrantes de familias de 83 municipios de las  9 subregiones del Departamento.</t>
  </si>
  <si>
    <t>4.3.2 Atención integral a primera infancia</t>
  </si>
  <si>
    <t xml:space="preserve"> Atención Integral de la Primera Infancia en el ámbito institucional y familiar</t>
  </si>
  <si>
    <t>2012050000070</t>
  </si>
  <si>
    <t>072070-001</t>
  </si>
  <si>
    <t xml:space="preserve"> Implementación de estrategia de atención integral a primera infancia en los municipios de Antioquia</t>
  </si>
  <si>
    <t>Niños y niñas de 0 a 5 años atendidos Integralmente</t>
  </si>
  <si>
    <t>Buen Comienzo Antioquia realizó atención integral a niños y niñas (0 a 5 añios) vulnerables de zonas urbanas y rurales  de 57 municipios, suscribió convenios con 15 municipios para la adecuación, dotación y construcción de Centros de Desarrollo Infantil, dotación de 42 ludotecas, creación de 8 redes subregionalñes de maestros y maestras y establecimientos de alianzas con entidades del orden departamental, nacional y municipal.</t>
  </si>
  <si>
    <t>Madres Gestantes y lactantes atendidas Integralmente</t>
  </si>
  <si>
    <t>madres gestantes y lactantes de familias vulnerables de zonas urbanas y rurales en la modalidad familiar e institucional con atención integral</t>
  </si>
  <si>
    <t>4.3.3 Promoción y prevención para la protección integral de niños, niñas, adolescentes y jóvenes</t>
  </si>
  <si>
    <t xml:space="preserve"> Generación de capacidades personales, familiares y comunitarias para el desarrollo integral de la infancia, adolescencia y juventud</t>
  </si>
  <si>
    <t>2012050000005</t>
  </si>
  <si>
    <t>072005-001</t>
  </si>
  <si>
    <t xml:space="preserve"> Implementación del Lineamiento de Promoción y Prevención para la Protección Integral de Niños, Niñas, Adolescentes y Jóvenes en el departamento de Antioquia </t>
  </si>
  <si>
    <t>Niños, niñas, adolescentes y jóvenes con diagnóstico de derechos</t>
  </si>
  <si>
    <t>Niños, niñas, adolescentes y jovenes de 93 municipios que participan en la implementación del Lineamiento Generaciones con Bienestar, en el marco de los Convenios ICBF, Diocesis Sonsón Rionegro, Corporación Presencia Colombo Suiza, Secretaría de Minas, Gerencia de Infancia, A,J, Teléfonica, Conconcreto y Hogares Juveniles Campesinos.</t>
  </si>
  <si>
    <t>Niños, niñas, adolescentes y jóvenes participando en el proceso de formación y orientación</t>
  </si>
  <si>
    <t>El resultado alcanzado incluye a  niños, niñas, adolescentes y jóvenes rurales de Hogares Juveniles, niños y adolescentes en riesgo de trabajo infantil  de Amagá, Angelopolis, Venecia, Remedios y Segovia y niños, niñas adolescentes en riesgo de vulneración de derechos de 93 municipios.</t>
  </si>
  <si>
    <t>4.3.4 Antioquia joven</t>
  </si>
  <si>
    <t xml:space="preserve"> Fortalecimiento del sistema departamental de juventud.</t>
  </si>
  <si>
    <t>2012050000069</t>
  </si>
  <si>
    <t>072069-001</t>
  </si>
  <si>
    <t>Fortalecimiento del sistema departamental de juventud en los municipios de Antioquia</t>
  </si>
  <si>
    <t>Jóvenes formados para el liderazgo y la participación</t>
  </si>
  <si>
    <t xml:space="preserve">Jovénes participantes en encuentros intermunicipales de participación y talleres municipales de liderazgo. </t>
  </si>
  <si>
    <t>Agentes Locales de Juventud Formados en la implementación de la política publica de juventud en sus localidades</t>
  </si>
  <si>
    <t>Asesoría, asistencia técnica y formación en Escuelas de Agentes Locales e integrantes de Consejos Municipales de Juventud en 32  municipios.</t>
  </si>
  <si>
    <t>Municipios con Consejos Municipales de Juventud elegidos</t>
  </si>
  <si>
    <t>Con la aprobación del nuevo Estatuto de ciudadanía Juvenil (abril 2013), no se realizaron elecciones de CMJ en el año 2013. El logro técnico asociado se relaciona con la actualización de la política pública departamental de juventud, proyecto aprobado en la Asamblea Departamental mediante la Ordenanza 60 de noviembre 2013.</t>
  </si>
  <si>
    <t>2012050000056</t>
  </si>
  <si>
    <t>222056-001</t>
  </si>
  <si>
    <t xml:space="preserve"> Investigación y gestión del conocimiento para el desarrollo juvenil en el departamento de Antioquia </t>
  </si>
  <si>
    <t>Índice de desarrollo juvenil construido y monitoreado</t>
  </si>
  <si>
    <t>Revisión y análisis documental, sistematización de información  de talleres subregionales realizados  para la actualización de la política pública departamental de juventud, definición preliminar de categorías de análisis, documento técnico y documento estadístico.</t>
  </si>
  <si>
    <t>Buenas prácticas y modelos de desarrollo juvenil identificados y transferidos</t>
  </si>
  <si>
    <t>Buenas prácticas juveniles e institucionales identificadas y reconocidas en 26 municipios de 8 subregiones</t>
  </si>
  <si>
    <t>Juventud con Oportunidades</t>
  </si>
  <si>
    <t>201205000050</t>
  </si>
  <si>
    <t>022050-001</t>
  </si>
  <si>
    <t xml:space="preserve">Capitalización de las oportunidades para potenciar el talento y capacidades juveniles en Antioquia </t>
  </si>
  <si>
    <t>Jóvenes que acceden a la información de las oportunidades a través del portafolio y casa de las oportunidades</t>
  </si>
  <si>
    <t>Información entregada a los jovenes en el marco del Campamento Juvenil de San Rafael, Festival Antioquia Joven de Necoclí,  Ferias de las Oportunidades realizadas en el marco de  Olimpiadas del Conocimiento.</t>
  </si>
  <si>
    <t>Jóvenes con talento y compromiso social, apoyados</t>
  </si>
  <si>
    <t>Jovenes participantes en TICS Américas, integrantes de grupos culturales de la subregión de Urabá y de Hogares Juveniles Campesinos destacados por excelencia académica.</t>
  </si>
  <si>
    <t>Asesoria y asistencia tecnica para la gestión de la política pública de infancia y adolescencia.</t>
  </si>
  <si>
    <t xml:space="preserve">Se inició el proceso de formación a actores estratégicos en protección integral,  la construcción de rutas articuladas de prevención conjuntamente con actores de los distintos órdenes territoriales, se identificaron 233 buenas prácticas de protección, se asesoró y asistió técnicamente para el monitoreo de indicadores de garantía de derechos y la elaboración de planes de acción de la política. </t>
  </si>
  <si>
    <t>Estrategia de movilización para la garantia de Derechos de niños, niñas y adolescentes.</t>
  </si>
  <si>
    <t>Proceso</t>
  </si>
  <si>
    <t>0.3</t>
  </si>
  <si>
    <t>se presentó informe de gestión de las políticas de infancia y juventud  a la Asamblea Departamental. El Consejo Departamental de Política Social sesionó de acuerdo a la periodicidad definida por Ley, al igual que el Consejo Temático Generación con Garantía de Derechos, integrado por tres mesas de trabajo que tienen como misión articular y concretar acciones a favor de cada etapa del ciclo vital: Primera Infancia,  Infancia y Adolescencia y  Juventud. Las mesas se reunieron en 20 ocasiones y se logró el avance frente a la caracterización de instituciones, incidir en el marco de resultados para la primera infancia y en la actualización de la política pública de juventud, respectivamente. Se promovió la realización de 2 encuentros departamentales de COMPOS, para analizar la gestión de la política social, presentar buenas prácticas de protección integral e identificar los actores municipales de las mesas de infancia de infancia y adolescencia, entre otros.</t>
  </si>
  <si>
    <t>Audiencia pública de la rendición de cuentas sobre la garantia de derechos de los niños, niñas, adolescentes y jovenes.</t>
  </si>
  <si>
    <t>Actividad reprogramada por la Procuraduría General de la Nación para la vigencia 2014, por lo que no se incluye para el segundo semestre de 2013. Se presentó en el mes de diciembre informe del Departamento sobre cumplimiento de la Ley 1098 de 2006.</t>
  </si>
  <si>
    <t>Acciones de formación a líderes de organizaciones sociales, comunales y ciudadanos en protección integral de la infancia y la adolescencia</t>
  </si>
  <si>
    <t>Identificación y reconocimiento de buenas prácticas comunitarias en materia de protección integral a NNA.</t>
  </si>
  <si>
    <t>Buenas prácticas</t>
  </si>
  <si>
    <t>Practicas reconocidas en el proceso de acompañamiento a la gestión de las políticas públicas de infancia y adolescencia</t>
  </si>
  <si>
    <t>Estrategia de comunicación para actores corresponsables de la protección integral</t>
  </si>
  <si>
    <t>Campaña</t>
  </si>
  <si>
    <t>Realización de la estrategia multimedial:  Un, dos, tres por mi, de promoción de derechos de la infancia y adolescencia y prevención de su vulneración</t>
  </si>
  <si>
    <t>Implementación 
estrategia pedagógica y terapeútica para prevención de violencia intrafamiliar</t>
  </si>
  <si>
    <t>Se incrementó la cantidad programada por la adición de recursos de Secretaría de Minas destinados a la intervención en municipios de influencia minera</t>
  </si>
  <si>
    <t>Acciones
comunicativas de Promoción de derechos y de la convivencia familiar</t>
  </si>
  <si>
    <t>Acciones comunicativas desarrolladas en torno a la formulación de la politica pública departamental de familias</t>
  </si>
  <si>
    <t>Encuadre institucional de la política con entidades departamentales</t>
  </si>
  <si>
    <t>Se constituyó el Comité Técnico encargado de direccionar la formulación de la Política y del encuadre técnico para la definición participativa del Marco Estratégico.</t>
  </si>
  <si>
    <t>Constitución y operación Mesa Departamental de  Familia</t>
  </si>
  <si>
    <t>0.1</t>
  </si>
  <si>
    <t xml:space="preserve">Conformación  y operación de la Mesa Departamental de Familia, </t>
  </si>
  <si>
    <t>Movilización ciudadana para la construcción y validación de marco estratégico de l a política</t>
  </si>
  <si>
    <t>Asesoría y asistencia técnica para la implementación de Estrategia de Atención Integral a Primera Infancia</t>
  </si>
  <si>
    <t>el número previsto para la vigencia disminuyó por la disminución en el número de plazas de profesionales en temporalidad autorizadas</t>
  </si>
  <si>
    <t>Acciones de atención en educación inicial, protección, existencia y ciudadanía a niños y niñas hasta los 5 años</t>
  </si>
  <si>
    <t>Acciones de atención en educación inicial, protección, existencia y ciudadanía a madres gestantes y lactantes</t>
  </si>
  <si>
    <t>Movilización social por la primera infancia</t>
  </si>
  <si>
    <t>Celebración del mes de la niñez y la recreación, lanzamiento estrategia, celebración mes de la familia, feria de ambientes de aprendizaje, conformación de la comisión intersectorial Buen Comienzo  Antioquia, acompañamiento a la Mesa de Primera Infancia.</t>
  </si>
  <si>
    <t>Dotación y adecuación de espacios para la Atención integral a primera infancia</t>
  </si>
  <si>
    <t>Se logró la cofinanciación para la construcción, adecuación y dotación de Centros de Desarrollo infantil en 15 municipios y la dotación de Ludotecas en 12 municipios</t>
  </si>
  <si>
    <t>Construcción línea base</t>
  </si>
  <si>
    <t>Línea base</t>
  </si>
  <si>
    <t>Marco de Resultados para la elaboración de línea base realizado y construido con actores con competencia técnica y financiera en el tema de primera infancia.</t>
  </si>
  <si>
    <t>Operación y logística</t>
  </si>
  <si>
    <t>Actividad permanente para el desarrollo de las acciones de Información, Comunicación y Educación para el desarrollo infantil temprano</t>
  </si>
  <si>
    <t>Asesoría y asistencia técnica para la implementación  de Estrategia de Promoción y Prevención</t>
  </si>
  <si>
    <t>Diseño técnico de la Estrategia Prevenir es Mejor, constitución comités técnicos, definición de ruta estratégica con entidades departamentales competentes en el tema de prevención, inicio construcción de rutas articuladas en 17 municipios</t>
  </si>
  <si>
    <t>Acciones de Orientación y formación para el empoderamiento de Niños, niñas y adolescentes.</t>
  </si>
  <si>
    <t>Movilización para la protección integral de la infancia y la adolescencia.</t>
  </si>
  <si>
    <t>Constitución Comité de comunicaciones, lanzamiento estrategia, diseño piezas comunicacionales</t>
  </si>
  <si>
    <t>Activación de rutas para el restablecimiento de derechos.</t>
  </si>
  <si>
    <t>En convenio con ela gobierno nacional</t>
  </si>
  <si>
    <t>Acciones complementarias para la realización de audiencias públicas conjuntamente con Gerencia de Control Interno en torno a la prevención y protección frente al trabajo infantil</t>
  </si>
  <si>
    <t>Asesoría y asistencia técnica a los municipios para el fortalecimiento del SDJ</t>
  </si>
  <si>
    <t xml:space="preserve">Asesoría y asistencia técnica para el fomento de la participación juvenil, socialización de cambios legislativos y promoción de la participación </t>
  </si>
  <si>
    <t>Acompañamiento y formación a Agentes Locales de Juventud y jóvenes</t>
  </si>
  <si>
    <t xml:space="preserve">Asesoría y acompañamiento a coordinadores de juventud, Jovenes y agentes locales de juventud de 125 municipios </t>
  </si>
  <si>
    <t>Acompañamiento en la elección y funcionamiento de CMJ y CDJ</t>
  </si>
  <si>
    <t>No se realizaron elecciones de CMJ en el 2013 por cambio en la normatividad, se actualizó política pública departamental. Se realizó acompañamiento a los municipios en el proceso de aplicación de la nueva legislación.</t>
  </si>
  <si>
    <t>Estrategia de formación y movilización juvenil</t>
  </si>
  <si>
    <t>Acciones reaalizadas en el marco del Programa Antioquia Joven, con redes sociales y jovenes en el marco de las actividades de acompañamiento a los municipios en las visitas programados por el despacho del gobernador, festival antioquia Joven, Feria de las Oportunidades, Lanzamiento Política Pública Departamental de Juventud</t>
  </si>
  <si>
    <t>Difusión para la participación</t>
  </si>
  <si>
    <t>Socialización con agentes locales  de la totalidad de municipios, sobre desarrollos legislativos (Ley 1622 de 2013) y actuaalización de política pública departamebntal</t>
  </si>
  <si>
    <t>Asesoría y asistencia técnica para la construcción del IDJ</t>
  </si>
  <si>
    <t xml:space="preserve">Definición de estrategia participativa para el diseño metodológico. Recopilación información estadistica de indicadores asociados a juventud y de características demográficas. </t>
  </si>
  <si>
    <t>Diseño metodológico y aplicación prueba piloto</t>
  </si>
  <si>
    <t>0.2</t>
  </si>
  <si>
    <t>0.75</t>
  </si>
  <si>
    <t>Definición documento técnico</t>
  </si>
  <si>
    <t>Talleres zonales y aplicación instrumento WEB para identificación de categorías de análisis y variables</t>
  </si>
  <si>
    <t>Se realizaron actividades de consulta y sistematización de información</t>
  </si>
  <si>
    <t>Procesamiento de la información y diseño de instrumento</t>
  </si>
  <si>
    <t>Esta actividad no se realizó</t>
  </si>
  <si>
    <t>Asesoría y asistencia técnica para la promoción de oportunidades</t>
  </si>
  <si>
    <t xml:space="preserve">Consolidación de la oferta de oportunidades de los programas estratégicos de la Gobernación. Asesoría a coordinadores de juventud sobre las oportunidades para los jóvenes de su municipio
Articulación con las secretarias y dependencias de la Gobernación para promocionar las oportunidades a través de los canales de comunicación Antioquia Joven </t>
  </si>
  <si>
    <t xml:space="preserve">Disusión de oportunidades para jóvenes </t>
  </si>
  <si>
    <t>Campaña de medios</t>
  </si>
  <si>
    <t>Información entregada a 5954 jovenes en el marco del Campamento Juvenil de San Rafael, Festival Antioquia Joven de Necoclí,  Ferias de las Oportunidades realizadas en el marco de  Olimpiadas del Conocimiento.</t>
  </si>
  <si>
    <t>Visibilización y reconocimientos de jóvenes líderes</t>
  </si>
  <si>
    <t xml:space="preserve">Campaña </t>
  </si>
  <si>
    <t>Reconocimiento a jovenes talento a través de medios de comunicación y estimulos mediante el acceso a oportunidades</t>
  </si>
  <si>
    <t>Secretaría General</t>
  </si>
  <si>
    <t>2012050000153</t>
  </si>
  <si>
    <t>222153-001</t>
  </si>
  <si>
    <t xml:space="preserve">Difusión feria de la transparencia </t>
  </si>
  <si>
    <t>Acciones de Cultura de la Contratación implementadas</t>
  </si>
  <si>
    <t>Se cumplieron las 13 Ferias de la Transparencia programadas en todas las regiones incluyendo la de la Alianza AMA</t>
  </si>
  <si>
    <t xml:space="preserve"> Estrategias para el Control de la Contratación Pública (Alianza Medellín Antioquia)</t>
  </si>
  <si>
    <t>2012050000190</t>
  </si>
  <si>
    <t>222190-001</t>
  </si>
  <si>
    <t xml:space="preserve">Actualización estrategias para el Control de la Contratación Antioquia </t>
  </si>
  <si>
    <t>Estrategias para el control de la contratación implementadas</t>
  </si>
  <si>
    <t>En supervisión e Interventoría se realizó:  2 conversatorios, 1 seminario internacional, un diplomado y un curso virtual.  Se implementó el observatorio de la contratación y se ejecutó la auditoría ciudadana.</t>
  </si>
  <si>
    <t>2012050000173</t>
  </si>
  <si>
    <t>222173-001</t>
  </si>
  <si>
    <t xml:space="preserve">Actualización sistemas de información Antioquia </t>
  </si>
  <si>
    <t>Se implementó el  sistema Jurídico-Legal, el sistema Archibus y el sistema de control de acceso</t>
  </si>
  <si>
    <t>2012050000145</t>
  </si>
  <si>
    <t>222145-001</t>
  </si>
  <si>
    <t>Administración para la identificación de bienes muebles del departamento de Antioquia</t>
  </si>
  <si>
    <t>Plan de mejoramiento de infraestructura física para la eficiencia en el servicio implementado</t>
  </si>
  <si>
    <t>Esto lo reporta Hacienda</t>
  </si>
  <si>
    <t>2008050000096</t>
  </si>
  <si>
    <t>221078-001</t>
  </si>
  <si>
    <t xml:space="preserve">Renovación bienes muebles, enseres y equipos para la administración departamental </t>
  </si>
  <si>
    <t>Se adquirieron equipos informáticos, electrodomésticos y bienes muebles para las dependencias de la Gobernación de Antioquia</t>
  </si>
  <si>
    <t>2012050000148</t>
  </si>
  <si>
    <t>222148-001</t>
  </si>
  <si>
    <t>Adecuación de equipamiento con tecnología amigable en el medio ambiente</t>
  </si>
  <si>
    <t>4,2 Participación para el desarrollo</t>
  </si>
  <si>
    <t>4,2,1 Socieda civil fortalece sus capacidades para la gestión pública, democrática y concertada</t>
  </si>
  <si>
    <t>Gestión eficiente y transparente de las entidades sin ánimo de lucro</t>
  </si>
  <si>
    <t>2012050000229</t>
  </si>
  <si>
    <t>222229-001</t>
  </si>
  <si>
    <t xml:space="preserve">Capacitación a los representantes de las ESAL Antioquia </t>
  </si>
  <si>
    <t>Este indicador lo reporta Participación Ciudadana.  Por parte de la Secretaría General se aportó al indicador 1.437 ESAL vigiladas</t>
  </si>
  <si>
    <t>Cobertura de entidades inspeccionadas en el Departamento de Antioquia</t>
  </si>
  <si>
    <t>Modernización de la gestión documental</t>
  </si>
  <si>
    <t>2012050000147</t>
  </si>
  <si>
    <t>222147-001</t>
  </si>
  <si>
    <t>Gestión Documental del Archivo Central modernizada</t>
  </si>
  <si>
    <t>Se actualizaron y crearon nuevas tablas de retención, se instalaron archivadores rodantes en archivo central, se adquirieron e instalaron equipos para la medición de la humedad, calor y luz, se realizó la digitalización de documentos y se contrató la organización del primer lote de fondos acumulados (558 mts lineales)</t>
  </si>
  <si>
    <t>Gestión Documental del Archivo Histórico modernizada</t>
  </si>
  <si>
    <t xml:space="preserve">Se digitaron los ínidces del Archivo Histórico, se digitalizó la serie: Gobierno de Municipios( primera parte), se instalaron 40 lockers </t>
  </si>
  <si>
    <t>Desarrollo humano y bienestar</t>
  </si>
  <si>
    <t>2012050000146</t>
  </si>
  <si>
    <t>222146-001</t>
  </si>
  <si>
    <t>Actualización para identificar los bienes inmuebles del departamento de Antioquia</t>
  </si>
  <si>
    <t>Este indicador lo reporta Hacienda</t>
  </si>
  <si>
    <t>2012050000149</t>
  </si>
  <si>
    <t>222149-001</t>
  </si>
  <si>
    <t>Adecuación infraestructura física y medios adecuados y eficientes</t>
  </si>
  <si>
    <t>Se adecuó la zona de bienestar para los empleados en la terraza del quinto piso, se adecuaron las luminarias del piso 8 al 13, se adecuaron los baños del piso 2 al 6 y 10 costado occidental, piso 1 y 9 ambos costados.  Se realizaron las obras civiles varias al interior del CAD y Casa Fiscal de Antioquia.</t>
  </si>
  <si>
    <t>2 Antioquia legal</t>
  </si>
  <si>
    <t>222082-001</t>
  </si>
  <si>
    <t>Actualización tecnológica de la Imprenta departamental</t>
  </si>
  <si>
    <t>Se está en proceso de declarar el incumplimiento al contratista, por lo tanto no fue posible cumplir la meta</t>
  </si>
  <si>
    <t>Se realizó traslado de los recursos a Comunicaciones</t>
  </si>
  <si>
    <t>Feria de la Transparencia Urabá</t>
  </si>
  <si>
    <t>Feria</t>
  </si>
  <si>
    <t>cero</t>
  </si>
  <si>
    <t>Feria de la Transparencia resto Departamento</t>
  </si>
  <si>
    <t>Se trasladaron recursos a Gestión Humana y a la Oficina de Comunicaciones</t>
  </si>
  <si>
    <t>Congreso de lecciones aprendidas</t>
  </si>
  <si>
    <t>Congreso</t>
  </si>
  <si>
    <t>Curso virtual supervisión e interventoría</t>
  </si>
  <si>
    <t>Aplicativo</t>
  </si>
  <si>
    <t>Conversatorios sobre supervisión e interventoría</t>
  </si>
  <si>
    <t>eventos</t>
  </si>
  <si>
    <t>Fortalecimiento supervisión e interventoría</t>
  </si>
  <si>
    <t>Diplomado</t>
  </si>
  <si>
    <t>Se graduaron en diciembre</t>
  </si>
  <si>
    <t xml:space="preserve">Se trasladaron recursos a Gestión Humana </t>
  </si>
  <si>
    <t>sistema para georreferenciar bienes</t>
  </si>
  <si>
    <t>Ya está en uso este sistema</t>
  </si>
  <si>
    <t>evolución sistema mercurio para procesos jurídico y legal</t>
  </si>
  <si>
    <t>sistema</t>
  </si>
  <si>
    <t>Está en producción</t>
  </si>
  <si>
    <t>Sostenimiento sistema de monitoreo a través de cámaras</t>
  </si>
  <si>
    <t>Con la ordenanza N° 08 de 2013 se trasladó de Dirección de Bienes a la Secretaría de Hacienda con todos sus proyectos</t>
  </si>
  <si>
    <t>Conservación inventario</t>
  </si>
  <si>
    <t>Muebles</t>
  </si>
  <si>
    <t>CERO</t>
  </si>
  <si>
    <t>la ejecución es en el segundo semestre</t>
  </si>
  <si>
    <t>Saneamiento jurídico bienes</t>
  </si>
  <si>
    <t>Valoración de bienes</t>
  </si>
  <si>
    <t>muebles</t>
  </si>
  <si>
    <t>Actualización de bienes</t>
  </si>
  <si>
    <t>Adquisición de bienes tecnológicos</t>
  </si>
  <si>
    <t>Adquisición electrodomésticos</t>
  </si>
  <si>
    <t>Adquisición de bienes muebles</t>
  </si>
  <si>
    <t>Modernización sistema de aire acondicionado</t>
  </si>
  <si>
    <t>sistema de iluminación del CAD</t>
  </si>
  <si>
    <t>Modernización ascensores</t>
  </si>
  <si>
    <t>Ascensor</t>
  </si>
  <si>
    <t>Remodelación baterias sanitarias</t>
  </si>
  <si>
    <t>Unidades sanitarias</t>
  </si>
  <si>
    <t>Hacer requerimientos a ESAL</t>
  </si>
  <si>
    <t>Entidades</t>
  </si>
  <si>
    <t>Hacer seguimiento</t>
  </si>
  <si>
    <t>Equipos para controlar  y medir temperatura y humedad</t>
  </si>
  <si>
    <t>Equipos</t>
  </si>
  <si>
    <t>Descripción documental archivo histórico</t>
  </si>
  <si>
    <t>Global</t>
  </si>
  <si>
    <t>Actualización y/o ajuste y elaboración tablas de retención</t>
  </si>
  <si>
    <t>Creación y actualización</t>
  </si>
  <si>
    <t>Adquisición e instalación archivos rodantes y casilleros</t>
  </si>
  <si>
    <t>2 archivadores y 1 casillero</t>
  </si>
  <si>
    <t>Bienes</t>
  </si>
  <si>
    <t>Se va a ejecutar en el segundo semestre</t>
  </si>
  <si>
    <t>Adecuación zona de bienestar</t>
  </si>
  <si>
    <t>Zona</t>
  </si>
  <si>
    <t>Adecuación espacio físico imprenta</t>
  </si>
  <si>
    <t>espacio</t>
  </si>
  <si>
    <t>El contrato se tuvo que reservar para concluir en el 2014, por contratiempos ajenos al contratista y a la entidad</t>
  </si>
  <si>
    <t>Estudios y diseños centro de atención a la ciudadanía</t>
  </si>
  <si>
    <t>estudio</t>
  </si>
  <si>
    <t>Modernización Imprenta</t>
  </si>
  <si>
    <t>Modernización</t>
  </si>
  <si>
    <t>Educación</t>
  </si>
  <si>
    <t>QUIEN RESPONDE OBSERVACIONES</t>
  </si>
  <si>
    <t>2012050000329</t>
  </si>
  <si>
    <t>Fortalecimiento unidades zonales de apoyo y coordinación a la gestión educativa en el Departamento de Antioquia</t>
  </si>
  <si>
    <t>Unidades Zonales de Coordinación y apoyo a la gestión educativa operando</t>
  </si>
  <si>
    <t xml:space="preserve">El fortalecimiento de las unidades zonales se ha realizado a través de la reubicación de los directores de núcleo en los municipios del departamento, se ha realizado la dotación y para algunos de ellos se ha provisto la contratación de auxiliares administrativas. </t>
  </si>
  <si>
    <t>1.3 Legalidad en la escuela</t>
  </si>
  <si>
    <t>1.3.1 Fortalecimiento del gobierno escolar</t>
  </si>
  <si>
    <t>Escuela sin trampas</t>
  </si>
  <si>
    <t>2012050000137</t>
  </si>
  <si>
    <t xml:space="preserve">Capacitación a establecimientos educativos oficiales en la cultura de la legalidad en 117 municipios no certificados en el Departamento de Antioquia </t>
  </si>
  <si>
    <t>Establecimientos educativos con dotación de material didáctico para el fomento de una escuela sin trampas</t>
  </si>
  <si>
    <t>Se dio proceso de formación en cultura de la legalidad</t>
  </si>
  <si>
    <t>MARIA ELSY</t>
  </si>
  <si>
    <t>Manuales de convivencia que adoptan normas para promover colegios libres de trampas</t>
  </si>
  <si>
    <t>El proyecto inicio ejecución en Julio.</t>
  </si>
  <si>
    <t>Gobierno escolar</t>
  </si>
  <si>
    <t>2012050000138</t>
  </si>
  <si>
    <t xml:space="preserve">Fortalecimiento del gobierno escolar en los 117 municipios no certificados en el Departamento de Antioquia </t>
  </si>
  <si>
    <t>Personeros y contralores escolares certificados en procesos de formación sobre cultura de la legalidad</t>
  </si>
  <si>
    <t xml:space="preserve">Participación de contralores escolares en taller con Contraloría.
Se espera que los certificados sean los 150 de la meta.
</t>
  </si>
  <si>
    <t>Convivencia, clima escolar y ciudadanía</t>
  </si>
  <si>
    <t>2012050000139</t>
  </si>
  <si>
    <t xml:space="preserve">Desarrollo de estrategias sicopedagógicas para mejorar la convivencia y el clima escolar en 117 municipios no certificados de Antioquia </t>
  </si>
  <si>
    <t>Establecimientos educativos con equipos de convivencia formados para el mejoramiento del clima escolar</t>
  </si>
  <si>
    <t>La asistencia técnica en el tema se brindo permanentemente.</t>
  </si>
  <si>
    <t>Mediadores formados para mejorar la convivencia escolar</t>
  </si>
  <si>
    <t>Proyecto articulado con Sec de Gobierno "Entornos Protectores" y participantes en  equipos de convivencia y consejos de estudiantes</t>
  </si>
  <si>
    <t>1.3.2 Aprovechamiento pedagógico del territorio</t>
  </si>
  <si>
    <t>El territorio municipal como espacio educador</t>
  </si>
  <si>
    <t>2012050000154</t>
  </si>
  <si>
    <t xml:space="preserve">Implementación de proyectos de aula que articulan el cuidado del territorio municipal como espacio educador </t>
  </si>
  <si>
    <t>Proyectos de aula que integran el conocimiento y el cuidado del territorio municipal a diferentes áreas del conocimiento</t>
  </si>
  <si>
    <r>
      <t xml:space="preserve">Los recursos asignados al proyecto  permitieron realizar el proyecto en Nechí y Necoclí se incluyeron los Establecimeintos educativos de estos municipios. </t>
    </r>
    <r>
      <rPr>
        <b/>
        <sz val="11"/>
        <rFont val="Calibri"/>
        <family val="2"/>
        <scheme val="minor"/>
      </rPr>
      <t>Los recursos no alcaranzon para cumplir con la meta.  Este año, se asignaron pero se declaro desierto el proceso</t>
    </r>
  </si>
  <si>
    <t>2012050000325</t>
  </si>
  <si>
    <t>Desarrollo de actividades de capacitación y bienestar dirigidas a las servidoras y servidores públicos de la Secretaría de Educación  de Antioquia</t>
  </si>
  <si>
    <t>Ambientes de trabajo nuevos adecuados e instalados</t>
  </si>
  <si>
    <t>Contrato perfeccionado para mejorar espacios de secretaria de educaciòn, proceso inció en el mes de noviembre.</t>
  </si>
  <si>
    <t>2012050000206</t>
  </si>
  <si>
    <t xml:space="preserve">Fortalecimiento de los sistemas de información en la secretaría de educación en el departamento de Antioquia </t>
  </si>
  <si>
    <t>Corresponde al Sistema Educado y  a la licencia para el Arcgis.</t>
  </si>
  <si>
    <t>JAIME</t>
  </si>
  <si>
    <t>2012050000142</t>
  </si>
  <si>
    <t xml:space="preserve">Mejoramiento de los ambientes de trabajo de la secretaría de educación Departamento de Antioquia </t>
  </si>
  <si>
    <t>2.1 Educación con Calidad para el Siglo XXI</t>
  </si>
  <si>
    <t>2.1.1 Oportunidades para la Educación Superior</t>
  </si>
  <si>
    <t>Nueva regionalización de Instituciones de educación superior pública</t>
  </si>
  <si>
    <t>2012050000219</t>
  </si>
  <si>
    <t xml:space="preserve">Desarrollo de un nuevo modelo de regionalización para las instituciones de educación superior oficiales del Departamento de Antioquia </t>
  </si>
  <si>
    <t>Estudiantes matriculados en las IES oficiales bajo un nuevo modelo de regionalización</t>
  </si>
  <si>
    <t>Producto que se da como impacto de la política de regionalización establecida para los estudiantes que inician en el  con el programa de becas y que está altamente relacionado con la regionalización, por la definición de la oferta que es concertada con las IES con apoyo del departamento dentro de una nueva estrategia que evalúa la pertinencia de los programas según la vocación productiva de las subregiones.</t>
  </si>
  <si>
    <t>Fortalecimiento vinculación de estudiantes en semestre de práctica para brindar apoyo a la gestión de el departamento de Antioquia y el mejoramiento de la calidad de sus instituciones</t>
  </si>
  <si>
    <t>En el tercer trimeste logramos superar la meta propuesta para el año 2013, teniendo en cuenta que en el programa de prácticas académicas se lograron incorporar los siguientes estudiantes: 203 al proyecto de Prácticas de Excelencia, 91 estudiantes al proyecto de Serivicio Social Universitario, 15 alfabetizadores, 8 pasantes internacionales y 2 estudiantes de especialización en la modalidad de trabajo de grado. Incorporando un total de 319 estudiantes. Superando la meta en un 1%.</t>
  </si>
  <si>
    <t>ANA MARIA CANO</t>
  </si>
  <si>
    <t>2.1.2 Educación Media pertinente y de calidad</t>
  </si>
  <si>
    <t xml:space="preserve"> Proyecto: Más y mejores bachilleres</t>
  </si>
  <si>
    <t>2012050000208</t>
  </si>
  <si>
    <t xml:space="preserve">Mejoramiento de la educación media en los municipios no certificados del departamento de Antioquia </t>
  </si>
  <si>
    <t>Establecimientos educativos con Modelos pedagógicos flexibles implementados en la educación media rural</t>
  </si>
  <si>
    <t>Se tiene modelo flexible en 68 establecimientos oficiales y rurales en 73 sedes</t>
  </si>
  <si>
    <t>ANDERSON</t>
  </si>
  <si>
    <t>Instituciones educativas de la media que mejoran los ambientes de aprendizaje</t>
  </si>
  <si>
    <t>Corresponde a los Establecimientos de la media con transferencias de recursos para los subproyectos institucionales donde se incluyen las lineas de mejoramiento de ambientes escolares y recursos pedagógicos</t>
  </si>
  <si>
    <t>Incentivos para la permanencia entregados a estudiantes de la media</t>
  </si>
  <si>
    <t>Total de Estudiantes que recibieron incentivos a la permanencia durante el año 2013. El valor total de los recursos entregados a los estudiantes fue de 1.567 millones.</t>
  </si>
  <si>
    <t>Docentes y directivos capacitados para el mejoramiento de la gestión académica</t>
  </si>
  <si>
    <t>La formación se llevo acabo en los meses de octubre noviembre en las subregiones de antioquia y la formación fue en gestión curricular de aula por competencias y evaluación con énfasis en proyecto de vida.</t>
  </si>
  <si>
    <t>CLAUDIA ESCOBAR</t>
  </si>
  <si>
    <t>Estudiantes participando en programas de orientación profesional y vocacional para la educación superior</t>
  </si>
  <si>
    <t>El dato corrresponde a 1.657 estudiantes de Urabá, 9.446 estudiantes del resto del Departamento y 16 398 de Edupol.</t>
  </si>
  <si>
    <t>Estudiantes participando en programas articulados con la educación superior (Bachilleres a la U)</t>
  </si>
  <si>
    <t>La cifra corresonde a los estudiantes que están participando en programas articulados y de media técnica con el SENA. Estpá pendiente la validación de dicha información por parte de esta entidad.</t>
  </si>
  <si>
    <t xml:space="preserve"> Proyecto: Articulación con el sector productivo, la educación técnica, tecnológica y superior</t>
  </si>
  <si>
    <t>2012050000205</t>
  </si>
  <si>
    <t>Fortalecimiento de la articulación de la educación media con la educación superior y tecnológica en las instituciones educativas de los 117 municipios no certificados del Departamento de Antioquia</t>
  </si>
  <si>
    <t>Instituciones educativas de la media con convenios de articulación con la educación técnica, tecnológica y superior</t>
  </si>
  <si>
    <t>Instituciones Educativas con Media Técnica o Con formación Técnica desde la media con el SENA.</t>
  </si>
  <si>
    <t>2.1.3 Escuela de maestras, maestros y directivos.</t>
  </si>
  <si>
    <t xml:space="preserve"> Formación continúa de docentes y directivos en áreas básicas, fundamentales y proyectos pedagógicos transversales.</t>
  </si>
  <si>
    <t>201205SGR0009</t>
  </si>
  <si>
    <t>025R09-001</t>
  </si>
  <si>
    <t>Becas de maestría para docentes y directivos docentes de establecimientos educativos oficiales de los municipios no certificados en educación en el Departamento de Antioquia</t>
  </si>
  <si>
    <t>Becas para estudios de Maestría concedidas a maestras, maestros y directivos docentes</t>
  </si>
  <si>
    <t>La meta de vigencia de 2013 no será por cuanto la adjudicación se hará para el pago del semestre I de 2014</t>
  </si>
  <si>
    <t>2012050000191</t>
  </si>
  <si>
    <t>Habilitación de programas que fomentan y orientan la transformación  de una cultura ciudadana que reconozca la discapacidad como una condición humana en los 117 municipios no certificados del Departamento de Antioquia</t>
  </si>
  <si>
    <t>Cupos de docentes en programas de formación en diferentes áreas con enfoque diferencial y perspectiva de derecho</t>
  </si>
  <si>
    <t>El reporte corresponde a la participación de los docentes  en: Rectores Líderes Transformadores, Seminarios Red de Lenguaje, Formación en Cátedra Afrodescendiente, Formación en Matemáticas, Congreso Maestro Investigador, Todos a Aprender, Líderes Siglo XXI, Educación Sexual, entre otros.Agentes educativos formados en accesibilidad digital</t>
  </si>
  <si>
    <t>Implementación de un centro de información e investigación sobre nuevas medidas de calidad de la educación en Antioquia (Alianza Medellín Antioquia)</t>
  </si>
  <si>
    <t>201205SGR0008</t>
  </si>
  <si>
    <t>025R08-001</t>
  </si>
  <si>
    <t xml:space="preserve">Investigación sobre nuevas medidas de calidad de la educación en Antioquia </t>
  </si>
  <si>
    <t>Unidad de información e investigación al servicio de la educación implementado</t>
  </si>
  <si>
    <t>El contrato con la Universidad de Antioquia ya está en etapa de ejecución.</t>
  </si>
  <si>
    <t xml:space="preserve"> Fortalecimiento de las Escuelas Normales</t>
  </si>
  <si>
    <t xml:space="preserve">Capacitación en innovación educativa para el fortalecimiento de la investigación y extensión pedagógica en 17 Escuelas Normales  Superiores de municipios no certificados en Antioquia  </t>
  </si>
  <si>
    <t>Escuelas Normales Superiores que ejecutan planes de acompañamiento y asistencia técnico pedagógica</t>
  </si>
  <si>
    <t xml:space="preserve">4 Normales lideraron el proceso de asistencia técnica pedagógica, 13 recibieron acompañamiento y se encuentran en proceso de realizar actividades de extensión. </t>
  </si>
  <si>
    <t>Escuelas Normales Superiores con innovaciones educativas</t>
  </si>
  <si>
    <t>4 Normales ganadoras del Premio Antioquia la más educada y con innovaciones educativas y 1 normal postulada a colegio de innovación. Total 5 normales</t>
  </si>
  <si>
    <t>2.1.4 Calidad en la educación preescolar y básica</t>
  </si>
  <si>
    <t xml:space="preserve"> Ambientes de Aprendizaje para el siglo XXI</t>
  </si>
  <si>
    <t>201205SGR0007</t>
  </si>
  <si>
    <t>022R07-001</t>
  </si>
  <si>
    <t>Mejoramiento de la capacidad técnica y tecnologica de las Instituciones de Educación Superior Oficial en Antioquia</t>
  </si>
  <si>
    <t>Sedes de educación superior oficial con dotación y mejoramiento de infraestructura física</t>
  </si>
  <si>
    <t>Corresponden a la intervención en la sedes de Oriente,  Apartadó, Andes, Carepa y Turbo de la UdeA, algunas de ellas (Andes y Carepa) finalizan la totalidad de la intervención y otras (Apartadó, Turbo y Oriente) son parciales y recibirán más recursos en 2013 (regalias para Turbo), 2014 y 2015.</t>
  </si>
  <si>
    <t>2.1.5 Educación Rural con calidad y pertinencia</t>
  </si>
  <si>
    <t>Calidad, acceso y permanencia en la educación rural</t>
  </si>
  <si>
    <t>2012050000155</t>
  </si>
  <si>
    <t>Implementación del programa de calidad, acceso y pertinencia en la educación rural en los municipios no certificados del Departamento de Antioquia</t>
  </si>
  <si>
    <t>Establecimientos educativos rurales con canasta educativa pertinente a su modelo flexible</t>
  </si>
  <si>
    <t>Se corrige el dato de 3402 por 3051 que corresponde a la dotación de Escuela Nueva cumplida. A partir de II semestre se espera dotar en posprimaria y telesecundaria rural a 71 municipios que reportan este modelo educativo.
Se contrata con la Imprenta Departamental para guías de posprimaria al 2014. El MEN entregará material para sedes del PER</t>
  </si>
  <si>
    <t>PATRICIA</t>
  </si>
  <si>
    <t>Cupos de docentes formados en metodologías flexibles</t>
  </si>
  <si>
    <t>Los maestros son formados con proyectos como el PER (SEDUCA-MEN), Fundación Secretos para Contar y Escuela Normal Superior de Abejorral</t>
  </si>
  <si>
    <t>Establecimientos educativos rurales que implementan proyectos pedagógicos productivos</t>
  </si>
  <si>
    <t>400 sedes educativas que operan en 90 municipios que implementan proyectos pedagógicos productivos con el sistema de aprendizaje tutorial</t>
  </si>
  <si>
    <t>2.1.6 Movilización social por una educación de calidad</t>
  </si>
  <si>
    <t xml:space="preserve"> Pactos de calidad</t>
  </si>
  <si>
    <t>2012050000152</t>
  </si>
  <si>
    <t>Implementación de los pactos por la  calidad educativa en los 117 municipios no certificados</t>
  </si>
  <si>
    <t>Municipios que ejecutan los pactos de calidad</t>
  </si>
  <si>
    <t>Se firmó Pacto con los 117 municipios no Certificados y con 2 Certificados: Aparatadó y Rionegro.</t>
  </si>
  <si>
    <t xml:space="preserve"> Comunicación pública para la movilización social por la calidad educativa</t>
  </si>
  <si>
    <t>2012050000161</t>
  </si>
  <si>
    <t xml:space="preserve">Difusión oportuna de la información sobre educación y las formas de participación de los diferentes actores de la comunidad educativa 117 municipio de Antioquia </t>
  </si>
  <si>
    <t>Hechos educativos divulgados a través de medios de comunicación institucionales (televisión, radio, publicaciones escritas, medios virtuales)</t>
  </si>
  <si>
    <t>Total es 850. En los medios de comunicación de la Secretaría, así como de la Gobernación, presentamos de manera reiterada los hechos educativos, los personajes de la noticia y los principales momentos de Antioquia la más educada. Un programa de Tv, el boletín Maestras y Maestros, entre otros, se contaron diversas historias.</t>
  </si>
  <si>
    <t>2012050000214</t>
  </si>
  <si>
    <t>Aprovechamiento de los foros como escenarios de reflexión y participación a favor de la calidad educativa en la comunidad antioqueña</t>
  </si>
  <si>
    <t>Foros educativos departamentales realizados</t>
  </si>
  <si>
    <t>Foros: Historia,matematicas etnoeducación, contralores, seminarios red de lenguaje, encuentros con los números, encuentros de seguimiento a pactos, talleres de legalidad en la escuela, Expomotricidad, Maestro Investigador, Congreso Nacional de Gestión Integral-Nutresa, etc</t>
  </si>
  <si>
    <t>NUBIA JARAMILLO</t>
  </si>
  <si>
    <t>2.1.7 Todos y todas en la escuela</t>
  </si>
  <si>
    <t xml:space="preserve"> Acceso y permanencia con calidad e inclusión</t>
  </si>
  <si>
    <t>2012050000171</t>
  </si>
  <si>
    <t xml:space="preserve">Asistencia mejorar la calidad de la educación jóven y adulta en el Departamento de Antioquia establecimientos educativos de las 9 subregiones del departamento ubicados en los 117 municipios no certificados </t>
  </si>
  <si>
    <t>Profesionales de apoyo pedagógico operando en las Instituciones educativas</t>
  </si>
  <si>
    <t>A la fecha se tienen asignados 129 profesionales.</t>
  </si>
  <si>
    <t>2012050000232</t>
  </si>
  <si>
    <t>Asistencia rehabilitación y resocialización del menor infractor en la escuela de trabajo San José de Bello</t>
  </si>
  <si>
    <t>Niños y adolescentes apoyados en su reeducación social</t>
  </si>
  <si>
    <t>Se presentó reducción en la matricula final.</t>
  </si>
  <si>
    <t xml:space="preserve"> La Escuela busca a los niños y las niñas</t>
  </si>
  <si>
    <t>2012050000318</t>
  </si>
  <si>
    <t>Servicio implementación de la estrategia la escuela busca al niño y a la niña 18 municipios de Antioquia no certificados en educación</t>
  </si>
  <si>
    <t>Municipios implementando la estrategia la escuela busca a los niños y las niñas</t>
  </si>
  <si>
    <t>Se ejecuta el proyecto en los Municipios de Bajo Cauca y 4 de Urabá</t>
  </si>
  <si>
    <t xml:space="preserve"> La Escuela busca a la mujer adulta</t>
  </si>
  <si>
    <t>2012050000320</t>
  </si>
  <si>
    <t>Servicio implementación y sostenimiento del programa la escuela busca a la mujer adulta  20 municipios de Antioquia de los 117 no certificados en educación</t>
  </si>
  <si>
    <t>Municipios implementando la estrategia la escuela busca a la mujer adulta</t>
  </si>
  <si>
    <t>Para el mes de abril se reportó 19 ya que un municipio no envío listado de alumnos, pero a la fecha se atiende en 16 municipios, para el año 2014 se atenderán los 20 municipios propuestos y se incluirán unos nuevos</t>
  </si>
  <si>
    <t>2.2.9 Antioquia Digital</t>
  </si>
  <si>
    <t>Centro de gestión y producción de contenidos y aplicaciones digitales (Alianza Medellín Antioquia)</t>
  </si>
  <si>
    <t>201205SGR0010</t>
  </si>
  <si>
    <t>025R10-001</t>
  </si>
  <si>
    <t xml:space="preserve">Centro de gestión y producción de contenidos y aplicaciones digitales para la innovación y el mejoramiento de la calidad educativa de Antioquia </t>
  </si>
  <si>
    <t>Contenidos educativos publicados en la red de portales de Antioquia Digital</t>
  </si>
  <si>
    <t>De enero a junio se realizaron 80 contenidos digitales y de Julio a septiembre 30; y a diciembre la Red de matemáticas realizó  78 contenidos  y la  Red Lenguaje 57; para un total de 245 .</t>
  </si>
  <si>
    <t>Portales de la red de portales públicos funcionando</t>
  </si>
  <si>
    <t>Se han desarrollado tres portales: 
Portal de niños y niñas, www.seduca.gov.co y www.antioquiadigital.edu.co se lanzó el 21 de Octubre</t>
  </si>
  <si>
    <t>Aplicativos digitales producidos por emprendedores del departamento</t>
  </si>
  <si>
    <t>La red virtual de semilleros de Antioquia E, esta creada, para finales de noviembre se desarrollara la actividad de aplicativos digitales con emprededores del departamento.</t>
  </si>
  <si>
    <t>2012050000140</t>
  </si>
  <si>
    <t xml:space="preserve">Desarrollo de actividades recreativas, deportivas, culturales y de uso del tiempo libre para docentes, directivos docentes y otros agentes educativos en los municipios no certificados del departamento </t>
  </si>
  <si>
    <t>El reporte corresponde a la participación de los docentes  en: Rectores Líderes Transformadores, Seminarios Red de Lenguaje, Formación en Cátedra Afrodescendiente, Formación en Matemáticas, Congreso Maestro Investigador, Todos a Aprender, Líderes Siglo XXI, Educación Sexual, entre otros.Agentes educativos formados en accesibilidad digital y formados en sistematización de experiencias significativas.</t>
  </si>
  <si>
    <t>Fortalecimiento a las Instituciones de educación superior oficial</t>
  </si>
  <si>
    <t>2011050000238</t>
  </si>
  <si>
    <t>Formación tecnológica de excelencia en el Politécnico Colombiano Jaime Isaza Cadavid</t>
  </si>
  <si>
    <t>Estudiantes matriculados en las Instituciones de educación superior con apoyo del departamento</t>
  </si>
  <si>
    <t>La matricula de las IES es semestral. Como es acumulado, para el reporte se debe consolidar las matrículas (no sumar). Se valida al final del año.</t>
  </si>
  <si>
    <t>Eliana</t>
  </si>
  <si>
    <t>2011050000244</t>
  </si>
  <si>
    <t>Proyecto modernización de la gestión Universitaria en el Politécnico Jaime Isaza Cadavid Departamento de Antioquia</t>
  </si>
  <si>
    <t>2012050000258</t>
  </si>
  <si>
    <t xml:space="preserve">Actualización del sistema de información corporativo del Tecnológico de Antioquia </t>
  </si>
  <si>
    <t>2012050000032</t>
  </si>
  <si>
    <t>Construcción y Mejoramiento de Ambientes de Aprendizajede los establecimientos educativos oficiales del departamento de Antioquia</t>
  </si>
  <si>
    <t>Establecimientos educativos nuevos entregados a la comunidad educativa</t>
  </si>
  <si>
    <t>Además de lo reportado se tiene proyectado la construción de  La I E JUAN EVANGELISTA BERRIO SEDE LA CASTELLANA en Chigorodo, que  se encuentra en diseños y la construcción del nuevo colegio en el Municipio de Carepa, el sede el SEDE EL PLAYÓN cofinanciado con el Fondo Adaptación, se encuentra en etapa precontractual  y la Ciudadela Educativa de la Unión se encuentra en proceso de de revisión presupuesto, según lo aportado por el MEN y cofinanciado por la Gobernación en el convenio No. 1262 de 2013</t>
  </si>
  <si>
    <t>Establecimientos educativos oficiales con planta física ampliada</t>
  </si>
  <si>
    <t>Municipios: Entrerrios, El Retiro, Guarne, El Carmén y Santo Domingo</t>
  </si>
  <si>
    <t>Establecimientos educativos oficiales beneficiados con mantenimiento preventivo, correctivo y mejoramiento de su planta física</t>
  </si>
  <si>
    <t xml:space="preserve">La información reportada corresponde a la intervención de 92 obras con la OEI, 41 con recursos de la Gobernación, 48 del MEN, 8 obras con intervención de cooperativas y 23 obras en convenios con municipios </t>
  </si>
  <si>
    <t>Establecimientos educativos oficiales beneficiados con reposición de su planta física, parcial o completamente</t>
  </si>
  <si>
    <t>La información reportada corresponde a la terminación de 2 obras cofinanciadas con Fraternidad Medellín ( CER La Viña y CER Pescadero), 4 en ejecución (CER San Luis, CER Corcovado, CER Alvaro Obdulio Naranjo, IE Embera Atrato Medio) y 2 en recolección de documentación (CER La Aguada y CER Valle Umbria). Adicionalmente se tiene el reporte de una finalizada por convenio con el Municipio de Marinilla (CER LINO DE J ACEVEDO Y ZULUAGA)</t>
  </si>
  <si>
    <t>2012050000319</t>
  </si>
  <si>
    <t>Servicio, sostenibilidad y ampliación de la cobertura educativa 117 municipios de Antioquia no certificados en educación</t>
  </si>
  <si>
    <t>Estudiantes matriculados en la básica secundaria (incluidas todas las poblaciones)</t>
  </si>
  <si>
    <t>Se totaliza de la matricula oficial y privada los grados 6 a 9 con el último corte, 01/12/2012 para un total de 166.702 y se adicionan 9.596 jóvenes menores de 18 años que se encuentran matriculados en la formación de adultos, para un total de 176.298</t>
  </si>
  <si>
    <t>Estudiantes matriculados en la media (incluidas todas las poblaciones)</t>
  </si>
  <si>
    <t>La cifra  incluye ciclo complementario de las normales superiores con el último corte, 01/12/2012 cifra total de 52.279 y se le suma 5.577 alumnos de matrícula de Clei 5 y 6 de formación de adultos población menor de 19 años, para un total general de 57.856 alumnos</t>
  </si>
  <si>
    <t>2012050000192</t>
  </si>
  <si>
    <t xml:space="preserve">Fortalecimiento de la atención el acceso y la permanencia con calidad e inclusión para la población en situación de discapacidad y acceso talentos excepcionales de los 117 municipios no certificados del Departamento de Antioquia </t>
  </si>
  <si>
    <t>Estudiantes beneficiados con Póliza de accidentes</t>
  </si>
  <si>
    <t>Se calcula con la matricula oficial (sin contratación) de transición a undécimo, con el último corte 01/12/2012</t>
  </si>
  <si>
    <t>Estudiantes beneficiados con el Transporte escolar</t>
  </si>
  <si>
    <t xml:space="preserve">Para el año 2013 se firman 108 convenios con igual número de Municipios y se beneficiaran a 32.932 estudiantes. </t>
  </si>
  <si>
    <t>2012050000210</t>
  </si>
  <si>
    <t>Servicio formación de adultos y jóvenes en extraedad con modelos flexibles 117 municipios de Antioquia no certificados en educación</t>
  </si>
  <si>
    <t>Jóvenes y adultos matriculados en programas de educación de adultos</t>
  </si>
  <si>
    <t>Se incluye el total de alumnos clei 1 a 6 atendidos en sector oficial y privado,con el último corte 01/12/2012</t>
  </si>
  <si>
    <t>2012050000180</t>
  </si>
  <si>
    <t xml:space="preserve">Fortalecimiento del acceso y permanencia con calidad e inclusión para la población en situación de desplazamiento y en riesgo por el conflicto armado en las 9 subregiones del Departamento de Antioquia </t>
  </si>
  <si>
    <t>Unidades itinerantes de atención psicopedagógica para población en situación de desplazamiento y en riesgo operando</t>
  </si>
  <si>
    <t>Proyecto que no tiene asignación de recursos</t>
  </si>
  <si>
    <t>Martha Aguilar</t>
  </si>
  <si>
    <t>2012050000029</t>
  </si>
  <si>
    <t xml:space="preserve">Actualización, fortalecimiento y modernización administrativa  Secretaria de Educación y cultura de Antioquia </t>
  </si>
  <si>
    <t>Instituciones educativas con personal administrativo provisto</t>
  </si>
  <si>
    <t>La Secretaría de Educación de Antioquia debe velar por el servicio de aseo, servicios generales, auxiliares administrativos, de biblioteca, granjeros y tesoreros en los establecimientos educativos oficiales de los 117 municipios no certificados del Departamento de Antioquia, por tanto para la Secretaría de Educación es importante realizar una asignación del servicio utilizando relaciones técnicas dependiendo del número de alumnos reportados en el SIMAT de tal manera que con los recursos financieros existentes se pueda llegar al mayor número de establecimientos educativos. De acuerdo a la ultima base de datos de personal contratado atraves de la Institución Universitaria Pascual Bravo y del personal del SGP se tiene un total de 3.011 personas desarrollando las diferentes actividades y funciones asignadas.</t>
  </si>
  <si>
    <t>2012050000131</t>
  </si>
  <si>
    <t>Administración pago de nómina personal docente y administrativo de la Secretaria de Educación-Admón Gral - Sueldos</t>
  </si>
  <si>
    <t>Equipamiento tecnológico y conectividad</t>
  </si>
  <si>
    <t>2012050000159</t>
  </si>
  <si>
    <t xml:space="preserve">Fortalecimiento del equipamiento tecnológico y conectividad en los establecimientos educativos oficiales del Departamento de Antioquia </t>
  </si>
  <si>
    <t>Sedes Educativas con acceso a internet</t>
  </si>
  <si>
    <t>Esta meta se reduce porque algunas instituciones educativas son satelitales y el servicio de internet satelital se encuentra suspendido temporalmente por temas presupuestales.</t>
  </si>
  <si>
    <t>Sedes educativas con dotación de Aulas Digitales Abiertas a la comunidad (según tipologías)</t>
  </si>
  <si>
    <t>Se han entregado 274 aulas digilates en lo corrido del 2013.</t>
  </si>
  <si>
    <t>Daniela</t>
  </si>
  <si>
    <t>Sitios públicos con acceso a Internet</t>
  </si>
  <si>
    <t>2012050000209</t>
  </si>
  <si>
    <t>Implementación de procesos formación, actualización y acompañamiento a docentes y directivos docentes y otros agentes educativos de los 117 municipios no certificados del Departamento de Antioquia</t>
  </si>
  <si>
    <t>Se realizó la convocatoria, se inscribieron 1.707 docentes y se seleccionaron 204, los cuales inician estudios en el mes de enero de 2014.</t>
  </si>
  <si>
    <t>Angela María</t>
  </si>
  <si>
    <t>Bilingüismo</t>
  </si>
  <si>
    <t>2012050000136</t>
  </si>
  <si>
    <t xml:space="preserve">Fortalecimiento de la competencia comunicativa el inglés como segunda lengua en docentes y estudiantes garantizando la inserción en la dinámica global y económica en Urabá y el resto de los municipios no certificados del Departamento de Antioquia </t>
  </si>
  <si>
    <t>Cupos de estudiantes formados en inglés como segunda lengua</t>
  </si>
  <si>
    <t>Se concentra el trabajo en los estudiantes del ciclo complementario de las Escuelas Normales.</t>
  </si>
  <si>
    <t>Cupos de docentes formados en inglés como segunda lengua</t>
  </si>
  <si>
    <t>Corresponde a los docentes que actualmente participan en el Programa de Tutor Virtual  e Inmersiones en San Andrés Versión I y II en alianza con el Ministerio de Educación Nacional. Adicionalmente se inició de la definición de la ruta de operación en los Parques Educativos, que se materializa en el año 2014.</t>
  </si>
  <si>
    <t>Instituciones educativas implementando el programa de intensificación de inglés como segunda lengua</t>
  </si>
  <si>
    <t>Escuelas Normales Superiores de: Copacabana, Fredonia, Puerto Berrío, Santa Rosa, Jardín, Urrao e Instituciones Educativas de Carepa, Sonsón, Caucasia, Amalfí, Arboletes, Anzá, Guadalupe, Jardín, San Luis, Santuario, Caucasia, Caldas  a través de los Programas Tutores Virtuales e Inmersiones Etapa I y II</t>
  </si>
  <si>
    <t xml:space="preserve"> Fondo becas para la educación superior</t>
  </si>
  <si>
    <t>2012050000207</t>
  </si>
  <si>
    <t xml:space="preserve">apoyo a financiación a los jóvenes para el acceso y la permanencia en la educación superior Departamento de Antioquia </t>
  </si>
  <si>
    <t>Becas asignadas para acceder a la educación superior (incluye Fondo Gilberto Echeverry)</t>
  </si>
  <si>
    <t>Del total de beneficiarios 568 becas fueron legalizadas para la primera convocatoria correspondiente al período académico 2013-1 y 2.160 becas legalizaron en la convocatoria del período académico 2013-2. Del fondo Gilberto Echeverry se encuentran activos 1.100 créditos para educación superior. Total a diciembre 3.828</t>
  </si>
  <si>
    <t>2012050000257</t>
  </si>
  <si>
    <t>Fortalecimiento a las instituciones de educación superior oficial Tecnológico de Antioquia</t>
  </si>
  <si>
    <t xml:space="preserve">Eliana </t>
  </si>
  <si>
    <t>Jóvenes con Futuro</t>
  </si>
  <si>
    <t>2012050000218</t>
  </si>
  <si>
    <t xml:space="preserve">Capacitación a estudiantes en formación para el trabajo Departamento de Antioquia </t>
  </si>
  <si>
    <t>Estudiantes matriculados en programas de formación para el trabajo apoyados por el Departamento</t>
  </si>
  <si>
    <t>2.792 jóvenes matriculados en programas técnicos laborales en las distintas regiones del Departamento, Municipios certificados y no certificados. A la fecha se realiza convocatoria para 1.500 cupos</t>
  </si>
  <si>
    <t xml:space="preserve"> Mejoramiento de la gestión académica</t>
  </si>
  <si>
    <t>2012050000172</t>
  </si>
  <si>
    <t xml:space="preserve">Capacitación, Asesoría y asistencia técnica en gestión curricular, planeación pedagógica y evaluación de los aprendizajes en los establecimientos educativos 117 municipios no certificados del departamento de Antioquia </t>
  </si>
  <si>
    <t>Establecimientos educativos con planes de área en matemáticas, lenguaje, ciencias e inglés ajustados a la formación por competencias</t>
  </si>
  <si>
    <t xml:space="preserve">De las 451 Instituciones que tiene a cargo el Proyecto de Mejoramiento de la Media se ejecuta en 350, lo están realizando los asesores pedagogicos.
La asesorías y asistencias técnicas realizadas por los asesores, están sujeta a factores que van más allá de la disponibilidad de recursos y que pueden afectar el normal funcionamiento de ellas, por ejemplo, situaciones desfavorables de orden público, seguridad, logística, etc. </t>
  </si>
  <si>
    <t>ClauDIA ESCOBAR</t>
  </si>
  <si>
    <t>Dotaciones de material educativo entregados a los establecimientos educativos oficiales</t>
  </si>
  <si>
    <t>El dato corresponde a las dotaciones de Fundación Secretos para Contar, Fundación Escuela Nueva y Fundalectura</t>
  </si>
  <si>
    <t>Establecimientos educativos que incorporan el componente ambiental en el PEI e implementan al menos un PRAES</t>
  </si>
  <si>
    <t>Instituciones  Educativas que trabajan en el fortalecimiento de su PRAE y con las que se creará la red de Escuelas Verdes.</t>
  </si>
  <si>
    <t>Docentes que participan del programa encuentro con los números</t>
  </si>
  <si>
    <t>Correción: El total de docentes que participaron en el Encuentro con los Números es 1021 (766 en el evento en Envigado y 255 en Apartadó)</t>
  </si>
  <si>
    <t>MARIA ISABEL</t>
  </si>
  <si>
    <t xml:space="preserve"> Olimpiadas del conocimiento: Selección Antioquia del conocimiento (Alianza Medellín Antioquia)</t>
  </si>
  <si>
    <t>2012050000160</t>
  </si>
  <si>
    <t>Implementación de las olimpiadas en los 124 municipios del Departamento Antioquia</t>
  </si>
  <si>
    <t>Estudiantes que han participado en las Olimpiadas del conocimiento</t>
  </si>
  <si>
    <t>La meta que se estableció para 2013 fue de 60.000 estudiantes inscritos en las Olimpiadas del Conocimiento. Este número fue superado, razón por la cual se iguala al total de inscritos para el presente año, haciendo la claridad que se sobrepasó la meta planteada por la Secretaría de Educación.</t>
  </si>
  <si>
    <t>CAROLINA GALLEGO</t>
  </si>
  <si>
    <t xml:space="preserve"> Ciencia, tecnología, arte e innovación (Alianza Medellín Antioquia)</t>
  </si>
  <si>
    <t>2012050000158</t>
  </si>
  <si>
    <t>Fortalecimiento de la Ciencia, tecnología, arte e innovación en los establecimientos educativos oficiales de los municipios no certificados del departamento de antioquia</t>
  </si>
  <si>
    <t>Establecimientos educativos oficiales que participan con proyectos en la feria de la ciencia, la tecnología y la innovación</t>
  </si>
  <si>
    <t>se realizo 18 intervenciones con la estrategia que beneficio 127 EE.</t>
  </si>
  <si>
    <t>DANIELA</t>
  </si>
  <si>
    <t>Estudiantes que participan en las rutas del conocimiento</t>
  </si>
  <si>
    <t>Participación de 12070 estudiantes en rutas de conocimiento.</t>
  </si>
  <si>
    <t xml:space="preserve"> Premio Antioquia la más Educada (Alianza Medellín Antioquia)</t>
  </si>
  <si>
    <t>2012050000193</t>
  </si>
  <si>
    <t xml:space="preserve">Fortalecimiento de la calidad educativa a través de los premios "Antioquia la más educada" en 124 municipios del Departamento de Antioquia </t>
  </si>
  <si>
    <t>Docentes, directivos docentes y estudiantes postulados al Premio Antioquia la más educada</t>
  </si>
  <si>
    <t>335 docentes y directivos docentes y 36 estudiantes</t>
  </si>
  <si>
    <t>Establecimientos educativos postulados al Premio Antioquia la más educada</t>
  </si>
  <si>
    <t>En el año 2013 se postularon 173 Establecimientos educativos con experiencias significativas y 17 al Premio de calidad institucional.</t>
  </si>
  <si>
    <t>2012050000073</t>
  </si>
  <si>
    <t xml:space="preserve">Adquisición servicios escolares complementarios para los estudiantes de las IE oficiales Departamento de Antioquia </t>
  </si>
  <si>
    <t>Estudiantes beneficiados con estímulos de gratuidad escolar</t>
  </si>
  <si>
    <t xml:space="preserve">El resultado es la matrícula Oficial (499847), por administración y contratación 35000, con un total de 516214. </t>
  </si>
  <si>
    <t>Apropiación social de las TIC</t>
  </si>
  <si>
    <t>2012050000162</t>
  </si>
  <si>
    <t>Desarrollo de estrategias de formación y acompañamiento para el uso y apropiación de las TIC en los municipios no certificados</t>
  </si>
  <si>
    <t>Emprendedores que participan en cursos de capacitación para el uso de las redes sociales para la comercialización de sus productos</t>
  </si>
  <si>
    <t>Esta actividad se realiza conjuntamtne con la Secretaria de Productividad y competitividad. Son los responsables de la ejecución de esta actividad.</t>
  </si>
  <si>
    <t>Ciudadanos que participan de cursos en línea</t>
  </si>
  <si>
    <t>Partiparon 16667 Ciudadanos en cursos en linea, a travez de la plataforma de Operación Éxito con el fin de mejorar sus competencias.</t>
  </si>
  <si>
    <t>Cursos escolares en línea planeados y publicados por establecimientos educativos oficiales</t>
  </si>
  <si>
    <t>2 cursos de Refuerzo de competencias en lenguaje y matemáticas 2 para grado 10, con dedicación de 120 horas y 10 cursos para grado undécimo, 8 en profundización y 2 en componente flexible con dedicación de 70 horas. (beneficio para 16.398 alumnos)</t>
  </si>
  <si>
    <t>Ciudadanos participando de los clubes creativos de arte y ciencia</t>
  </si>
  <si>
    <t>La estrategia Clubes Antioquia Digital cuenta con dos fases, la primera fase  contó con una participación de 3159 estudiantes y una segunda fase que contó con una participación de 2344 estudiantes.</t>
  </si>
  <si>
    <t>Establecimientos educativos acompañados y asesorados en la incorporación de las TIC al currículo escolar</t>
  </si>
  <si>
    <t>Se acompañaron 359 Establecimientos educativos en el desarrollo de clases con el uso de TIC.</t>
  </si>
  <si>
    <t>Docentes que hacen uso de las Redes Sociales para apoyar la enseñanza de las diferentes disciplinas</t>
  </si>
  <si>
    <t>Se tiene la Red virtual de Maestros digitales, los cuales se apoyan en esta herramienta social que orienta sobre el uso de diferentes contenidos educativos digitales para apoyar sus clases, se cuenta con 425 Maestros. Red de lenguaje 1.600 docentes y red de matemáticas 2.000 docentes. Total general 4.025 docentes</t>
  </si>
  <si>
    <t>Ciudadanos que realizan inmersión en las TIC</t>
  </si>
  <si>
    <t xml:space="preserve">Se realizaron muestras académicas de uso y apropiación de TIC en parques educativos y en inmersiones itinerantes con la Unidad Móvil de Antioquia Digital, talleres de accesibilidad digital, participanción de docentes y estudiantes en el encuentro internacional Virtual Educa y un congreso de maestro investigador sobre el uso de TIC.  </t>
  </si>
  <si>
    <t>2012050000282</t>
  </si>
  <si>
    <t>Mejoramiento acceso y permanencia de la educación a los jóvenes de las subregiones de Antioquia Universidad de Antioquia - Departamento de Antioquia</t>
  </si>
  <si>
    <t>ELIANA</t>
  </si>
  <si>
    <t>Formación de agentes educativos que atienden primera infancia y articulación primera infancia-preescolar con enfoque diferencial</t>
  </si>
  <si>
    <t>2012050000203</t>
  </si>
  <si>
    <t>Capacitación  de agentes educativos de primera infancia  para la articulación con preescolar desde un enfoque diferencial  en 117 municipios no certificados en educación del Departamento de Antioquia.</t>
  </si>
  <si>
    <t>Agentes educativos formados para la atención a la primera infancia con enfoque diferencial</t>
  </si>
  <si>
    <t xml:space="preserve">El proceso se inicio en el segundo semestre de 2013 con el apoyo de la Gerencia de Infancia y adolescencia y culmino en diciembre con la formación de los agentes educativos </t>
  </si>
  <si>
    <t>Establecimientos Educativos capacitados para incorporar en los Planes de estudio de educación preescolar los procesos pedagógicos y académicos de la Primera Infancia con enfoque diferencial</t>
  </si>
  <si>
    <t>Se planea ejecutar en 2014.</t>
  </si>
  <si>
    <t>221420007</t>
  </si>
  <si>
    <t>2012050000122</t>
  </si>
  <si>
    <t>Construcción 40 parques educativos en igual número de municipios Departamento de Antioquia</t>
  </si>
  <si>
    <t>Parques educativos construidos y en funcionamiento</t>
  </si>
  <si>
    <t>La primera convocatoria de 45 parques se encuentran así: 4 parques cofinanciados con faternidad Medellín en obra (Vigia del Fuerte-Támesis-Titiribí-Tarso), los demás se encuentran en prepliegos y detalles finales de diseño. Los de la 2 convocatoria, 35 parques, están en etapa de diseño. Los parques educativos serán entregados en 2014 y 2015.</t>
  </si>
  <si>
    <t>Mirar si el proyecto de semilleros sigue siendo válido para incluirlo y hacerle el seguimiento.</t>
  </si>
  <si>
    <t>Presupuesto real semestre 1 2013 (Junio 30)</t>
  </si>
  <si>
    <t>Encuentros zonales de rectores, directores, secretarios y jefes de nucleo para asesoria y asistencia técnica</t>
  </si>
  <si>
    <t>N° de encuentros</t>
  </si>
  <si>
    <t xml:space="preserve">No ha sido posible realizar la convocatoria a la totalidad de los rectores de las difrentes subregiones debido a problemas logisticos y costos </t>
  </si>
  <si>
    <t>Encuentros departamentales de directores de núcleo  para el fortalecimento de asesoria y asistencia técnica</t>
  </si>
  <si>
    <t>Debido a las nuevas funciones dadas a los directores de núcleo, se han programado muchos más eventos con todos ellos con el fin de fijar las directrices de trabajo de las diferentes unidades</t>
  </si>
  <si>
    <t xml:space="preserve">Talleres para implementar la ruta metodológica </t>
  </si>
  <si>
    <t>Jornadas Pedagógicas  formativas sobre cultura de la legalidad</t>
  </si>
  <si>
    <t>Número de jornadas</t>
  </si>
  <si>
    <t>Jornadas de Seguimiento al proceso de actualización a los Manuales de Convivencia</t>
  </si>
  <si>
    <t>Con el alcance del contrato celebrado se aumenta la meta</t>
  </si>
  <si>
    <t xml:space="preserve">Talleres sobre cultura de la Legalidad a Personeros y contralores Escolares </t>
  </si>
  <si>
    <t xml:space="preserve">Asesorias al proceso de formación a Personeros y contralores Escolares </t>
  </si>
  <si>
    <t>Número de asesorías</t>
  </si>
  <si>
    <t>Entrega de cuadernillos de apoyo al proceso de formación de personeros y contralores escolares</t>
  </si>
  <si>
    <t>Número de cuadernillos</t>
  </si>
  <si>
    <t xml:space="preserve">La cifra reportada corresponde al módulo virtual en competencias ciudadanas para la convivenciay la entrega del material elaborado con Bancolombia, Corporación Región, Cinde y Conciudadanía se relizara en el primer semestre del 2014, </t>
  </si>
  <si>
    <t>Talleres de formación a equipos de convivencia escolar en los municipios priorizados</t>
  </si>
  <si>
    <t>Equipo de convivencia realizo los talleres en 104 municipios</t>
  </si>
  <si>
    <t>Jornadas pedagógicas al proceso de formación</t>
  </si>
  <si>
    <t xml:space="preserve">Realización de jornadas pedagógicas </t>
  </si>
  <si>
    <t>Se realizo proceso de contratación, fue declarada desierta la licitación.</t>
  </si>
  <si>
    <t>Realización de talleres teórico prácticos</t>
  </si>
  <si>
    <t>Capacitación y actividades de bienestar laboral de servidores y servidoras de la Secretaría de Educación Departamental</t>
  </si>
  <si>
    <t>Numero de eventos</t>
  </si>
  <si>
    <t>Los encuentros para la vigencia: Día de la Mujer, Evento Quirama, juegos servidores y jornada pedagógica de fin de año.</t>
  </si>
  <si>
    <t xml:space="preserve">fortalecimiento de los sistemas de información en la secretaría de educación en el departamento de Antioquia </t>
  </si>
  <si>
    <t>Talleres dictados sobre el manejo de SIMAT y SIGCE</t>
  </si>
  <si>
    <t>Talleres realizados en Guatapé, Entrerrios, Sta Rosa de Osos 2, Marinilla 2, Sonsón, Valparaiso, San Jerónimo, Carmen de Viboral, Sopetrán y Frontino. Se llevaran a cabo 10 más en distintas zonas.</t>
  </si>
  <si>
    <t>Computadores adquiridos para la secretraria</t>
  </si>
  <si>
    <t>Se compraron 50 equipos de escritorio y 28 portatiles</t>
  </si>
  <si>
    <t xml:space="preserve">Numero de tramites para docentes virtualizados </t>
  </si>
  <si>
    <t>Adquisicion de licencia de software para el manejo presupuestal, contable y financiero de los fondos de servicios educativos</t>
  </si>
  <si>
    <t>Adquisición de Licencia Argis para la Secretaria de Educación.</t>
  </si>
  <si>
    <t>Contrato de adquisicion de paneleria y puestos de trabajo</t>
  </si>
  <si>
    <t>Número de contratos</t>
  </si>
  <si>
    <t>Se encuentra en ejecución el contrato, inicio a mediados de noviembre y finaliza en el mes de enero de 2014.</t>
  </si>
  <si>
    <t>Contrato de diseño de redes electricas</t>
  </si>
  <si>
    <t xml:space="preserve">Se encuentra ejecutado </t>
  </si>
  <si>
    <t>Contrato de obra civil, redes electricas y de datos.</t>
  </si>
  <si>
    <t>Se encuentra en trámite precontractual</t>
  </si>
  <si>
    <t xml:space="preserve">Sedes con dotación y mejoramiento de infraestructura física de sedes de educación superior oficial </t>
  </si>
  <si>
    <t>Número de sedes</t>
  </si>
  <si>
    <t>En el segundo semestre finalizó la primera etapa  e inició la primera parte para la segunda etapa de la adecuación de los terrenos de la Sede Apartadó de la Universidad de Antioquia, que tardó más de lo programado por dificultades en el terreno, se constituyeron reservas para iniciar obras en el primer semestre de 2014.</t>
  </si>
  <si>
    <t>Contratos para selección, reclutamiento, entrenamiento y seguimiento</t>
  </si>
  <si>
    <t>N° contratos</t>
  </si>
  <si>
    <t>Contratos para designación de estudiantes de semestre de práctica</t>
  </si>
  <si>
    <t>Eventos y estrategias comunicacionales</t>
  </si>
  <si>
    <t>N° eventos</t>
  </si>
  <si>
    <t>Convocatorias a Practicantes de Excelencia y Servicio Social Académico. Durante el primer semestre de 2013 se realiza convocatoria de ambos programas para  estudiantes que ingresan en agosto. Durante el segundo semestre se realiza convocatoria del programa Practicantes de Excelencia para estudiantes que inician en febrero de 2014. La convocatoria para Serivicio Social se pospone para 2014.</t>
  </si>
  <si>
    <t>Contrato para apoyo administrativo del proyecto</t>
  </si>
  <si>
    <t>La asignación actual del proyecto es: $12.252.175.000</t>
  </si>
  <si>
    <t>Establecimientos Educativos que Implementan modelos pedagógigos flexibles en la educación media.</t>
  </si>
  <si>
    <t>Número de Establecimientos Educativos</t>
  </si>
  <si>
    <t>20 Instituciones Educativas de media fueron beneficiadas con asistencia técnica y dotación para la implementación de un modelo flexible de media todas ellas de las subregiones de Urabá y Bajo Cauca.</t>
  </si>
  <si>
    <t>Incentivos a la Permanencia entregados a estudiante de media.</t>
  </si>
  <si>
    <t>Número de incentivos</t>
  </si>
  <si>
    <t>Docentes y Directivos Docentes Capacitados en Gestión Escolar</t>
  </si>
  <si>
    <t>Número de doc y dir doc</t>
  </si>
  <si>
    <t>La formación se llevo acabo en las subregiones de antioquia y la formación fue en gestión curricular de aula por competencias y evaluación con énfasis en proyecto de vida.</t>
  </si>
  <si>
    <t>Estudiantes participando en programas de orientación vocacional</t>
  </si>
  <si>
    <t>Número de estudiantes</t>
  </si>
  <si>
    <t>El programa de Semilleros de Emprendimiento (que contempla un modulo de orientación vocacional) inició en el mes de agosto.</t>
  </si>
  <si>
    <t>Eventos de promoción y difusión realizados para apoyar programas de educación en las subregiones de Antioquia (Ferias del Bachiller)</t>
  </si>
  <si>
    <t xml:space="preserve">No. de eventos </t>
  </si>
  <si>
    <t>La contratación de las Ferias del Bachiller se adelantaron en el primer semestre. Las Ferias se realizaron durante el mes de septiembre</t>
  </si>
  <si>
    <t>Publicacion del estudio de Tasas de Absorción</t>
  </si>
  <si>
    <t>Número de publicaciones</t>
  </si>
  <si>
    <t>No se realizó dicha actividad</t>
  </si>
  <si>
    <t>Estudiantes Participando en el Programa Nivel Cero.</t>
  </si>
  <si>
    <t>No se realizó dicha actividad. Se adelantó una formación a estudiantes en refuerzo de competencias en lenguaje y matemáticas.</t>
  </si>
  <si>
    <t>Traducción y Publicación del Estudio “Higher Education in Regional and City Development" de la OECD</t>
  </si>
  <si>
    <t>Contratar el personal de apoyo y gestión del proyecto de Mejoramiento de la Educación Media</t>
  </si>
  <si>
    <t>Número de contratos de personal</t>
  </si>
  <si>
    <t>Corresponde a los contratos de prestación de servicios del personal técnico y administrativo del proyecto de mejoramiento de la educación media.</t>
  </si>
  <si>
    <t>Auditoría a los estados financieros e Instituciones educativas del Proyecto de Mejoramiento de la Educación Media.</t>
  </si>
  <si>
    <t>Número de auditorías</t>
  </si>
  <si>
    <t>Se realizó durante el primer semestre la auditoría a los estados financieros de 2012 del proyecto de mejoramiento de la educación media, resultado entregado en el segundo semestre</t>
  </si>
  <si>
    <t>La asignación actual del proyecto es: $1.968.505.000</t>
  </si>
  <si>
    <t>Estudiantes participando en programas articulados con la educación superior</t>
  </si>
  <si>
    <t>Número  de estudiantes</t>
  </si>
  <si>
    <t>Cifra entregada por el SENA, pendiente de validación</t>
  </si>
  <si>
    <t xml:space="preserve">Instituciones educativas de la media con convenios de articulación con la educación técnica, tecnológica y superior </t>
  </si>
  <si>
    <t>Número  de instituciones educativas</t>
  </si>
  <si>
    <t>Intituciones educativas que reciben dotación para fortalecimiento del componente técnico en la media</t>
  </si>
  <si>
    <t>La contratación de la profesional encargada se hizo al finalizar mayo de 2013. El Certificado ante el Banco de Proyectos aún no se tiene</t>
  </si>
  <si>
    <t>Creación del fondo de becas para maestrías</t>
  </si>
  <si>
    <t>Número de Fondos</t>
  </si>
  <si>
    <t>Fondo creado</t>
  </si>
  <si>
    <t>Becas de maestría asignadas</t>
  </si>
  <si>
    <t>Número de becas</t>
  </si>
  <si>
    <t xml:space="preserve">Inscripción de 1.707 docentes y la cifra corresponde a los seleccionados, la asignación de becas es fectiva para el semestre I de 2014 </t>
  </si>
  <si>
    <t>Docentes acompañados y apoyados en los procesos de investigación derivados de las maestrías</t>
  </si>
  <si>
    <t>Número de docentes acompañados</t>
  </si>
  <si>
    <t xml:space="preserve">El acompañamiento se hará luego de la asignación de las becas </t>
  </si>
  <si>
    <t>Docentes capacitados en programas de accesibilidad digital,  para apoyar los procesos educativos de estudiantes en situación de discapacidad</t>
  </si>
  <si>
    <t>N° docentes</t>
  </si>
  <si>
    <t>Inicia el proceso contractual en septiembre Antiqouia Digital UNE, informa Maria Luisa Zapata G.</t>
  </si>
  <si>
    <t>Conformación del equipo gestor del proyecto, con sus diferentes comités y elaboración del plan de trabajo</t>
  </si>
  <si>
    <t>Número de equipos conformados</t>
  </si>
  <si>
    <t xml:space="preserve">Conformación de Clúster de Educación de Calidad en Antioquia </t>
  </si>
  <si>
    <t>Número de clúster</t>
  </si>
  <si>
    <t xml:space="preserve">Investigación sobre la educación en Antioquia
Caracterización de Actores y Agentes Educativos.
</t>
  </si>
  <si>
    <t>Número de investigaciones</t>
  </si>
  <si>
    <t xml:space="preserve">Las investigaciones sólo se iniciarán a partir del primer semestre de 2014 </t>
  </si>
  <si>
    <t>Definición de nueva metodología y sistema de medida de la calidad educativa.</t>
  </si>
  <si>
    <t>Número de metodologías</t>
  </si>
  <si>
    <t>La definición de nueva metodología se trabajará en 2014</t>
  </si>
  <si>
    <t>Contrato de  Interventoría</t>
  </si>
  <si>
    <t>El contrato es de supervisión</t>
  </si>
  <si>
    <t>Evento académico de apertura del programa de acompañamiento y fortalecimiento de las Normales.</t>
  </si>
  <si>
    <t>Se realizó evento de apertura en contrato que benefició a 9 Normales.</t>
  </si>
  <si>
    <t>Implementacion y seguimiento del programa en las 17 Normales Superiores</t>
  </si>
  <si>
    <t>Número de Escuelas Normales</t>
  </si>
  <si>
    <t>El programa de acompañamiento se realizó en 11 Normales.</t>
  </si>
  <si>
    <t>Informes de evaluación y presentación de productos.</t>
  </si>
  <si>
    <t>Número de informes</t>
  </si>
  <si>
    <t>Sobre el programa de acompañamiento se han realizado 4 reuniones con Directivos de SEDUCA.</t>
  </si>
  <si>
    <t>Sedes de educación superior oficial con mejoramiento de infraestructura física</t>
  </si>
  <si>
    <t>Convenio de Cooperación MEN- (Empréstito con el Banco Mundial) - SEDUCA,  para Proyecto de Educación Rural  en Antioquia; Y SECRETOS PARA CONTAR.</t>
  </si>
  <si>
    <t>Municipios acompañados en estrategias didácticas para estimular las competencias comunicativas y las metodologías activas</t>
  </si>
  <si>
    <t>N° de municipios acompañados</t>
  </si>
  <si>
    <r>
      <rPr>
        <sz val="8"/>
        <color theme="1"/>
        <rFont val="Calibri"/>
        <family val="2"/>
        <scheme val="minor"/>
      </rPr>
      <t>Convenio de Asociación Departamento – Secretaría de Educación &amp; Fundación Secretos para Contar. 2013-AS-15-0014
Meta: 10 municipios, 279 CER, 430 docentes: 7 CER de Angelópolis, 32 CER de Salgar; 48 CER de San Carlos; 45 CER de Nariño; 14 CER de Alejandría; 26 CER de Mutatá; 26 CER de Valdivia; 35 CER de Uramita; 38 CER de Peque, 8 CER de Cisneros.</t>
    </r>
    <r>
      <rPr>
        <sz val="11"/>
        <color theme="1"/>
        <rFont val="Calibri"/>
        <family val="2"/>
        <scheme val="minor"/>
      </rPr>
      <t xml:space="preserve">
</t>
    </r>
  </si>
  <si>
    <t>Red académica de docentes rurales del departamento con asesoría y asistencia técnica en pedagogías activas</t>
  </si>
  <si>
    <t>N° red académica</t>
  </si>
  <si>
    <t xml:space="preserve">7 municipios como nodos de red para atender 115 docentes líderes. Requiere mayor gestión la formación de todos los maestros rurales nuevos. </t>
  </si>
  <si>
    <t>Profesionales contratados para establecer línea de base de los compromisos asumidos en  los Pactos de los 117 municipios</t>
  </si>
  <si>
    <t>Número de profesionales</t>
  </si>
  <si>
    <t>No se contrataron los profesionales presupuestados</t>
  </si>
  <si>
    <t>Municipios con monitoreo y seguimiento a los compromisos suscritos en los Pactos</t>
  </si>
  <si>
    <t>Número de municipios monitoreados</t>
  </si>
  <si>
    <t>Se inició el seguimiento a los mpios y sus IE en Mayo y se finalizó en Octubre</t>
  </si>
  <si>
    <t>Encuentros subregionales</t>
  </si>
  <si>
    <t>Número de encuentros</t>
  </si>
  <si>
    <t>Los Encuentros se empezaron a realizar el 31 de Agosto y se terminaron el 25 de octubre</t>
  </si>
  <si>
    <t xml:space="preserve">Hechos educativos divulgados a través de medios de comunicación propios o externos </t>
  </si>
  <si>
    <t>N° de Hechos educativos</t>
  </si>
  <si>
    <t>La meta inicial para la vigencia 2013 fue establecida muy baja.</t>
  </si>
  <si>
    <t>Foros educativos departamentales reailzados</t>
  </si>
  <si>
    <t>Número de foros</t>
  </si>
  <si>
    <t>Foros: Historia, matematicas, etnoeducación, contralores, seminarios red de lenguaje, encuentros con los números, encuentros de seguimiento a pactos, talleres de legalidad en la escuela, Expomotricidad, Maestro Investigador, Congreso Nacional de Gestión Integral-Nutresa, etc</t>
  </si>
  <si>
    <t>Estudio para la caracterización  de la educación de personas jóvenes y adultas en el departamento de Antioquia.</t>
  </si>
  <si>
    <t>Número de estudios</t>
  </si>
  <si>
    <t>No ha iniciado el proceso.</t>
  </si>
  <si>
    <t>Asesoría y asistencia técnica para la  revisión y/o elaboración de los  PEI y los sistemas institucionales de evaluación de los EE que atienden la población joven y adulta del departamento</t>
  </si>
  <si>
    <t>Niños, adolescentes y jovenes infractores apoyados en su reheducacion social</t>
  </si>
  <si>
    <t>Numero de beneficiarios</t>
  </si>
  <si>
    <t>El año terminó con reducción en la matrícula</t>
  </si>
  <si>
    <t>Municipios que implementan la estrategia La Escuela Busca al Niño y la Niña</t>
  </si>
  <si>
    <t>Número de municipios</t>
  </si>
  <si>
    <t>En la primer semestre se benefiaron 10 municipios, para el segundo se incluyeron los 8 restantes para totalizar 18 municipios</t>
  </si>
  <si>
    <t>Documento final de caracterización de la población impactada por municipio</t>
  </si>
  <si>
    <t>Número de documentos</t>
  </si>
  <si>
    <t>Documento final de 10 municipios del primer semestre</t>
  </si>
  <si>
    <t>Diagnóstico Factores de Riesgo en Municipios no certificados</t>
  </si>
  <si>
    <t>Plan de Acción Prevención y Gestión del Riesgo por Municipio</t>
  </si>
  <si>
    <t>Mujeres beneficiadas con la estrategia la escuela busca a la mujer adulta</t>
  </si>
  <si>
    <t>Número de mujeres beneficiadas</t>
  </si>
  <si>
    <t>Durante el semestre se atendieron 1.315, de las cuales 1.030 culminaron estudios satisfactoriamente</t>
  </si>
  <si>
    <t>Municipios impactados con la estrategia la escuela busca a la mujer adulta</t>
  </si>
  <si>
    <t>Publicación de contenidos educativos  en la red de portales de Antioquia Digital</t>
  </si>
  <si>
    <t>Número de contenidos</t>
  </si>
  <si>
    <t>Funcionamiento y publicación de los portales públicos de la red</t>
  </si>
  <si>
    <t>Número de portales</t>
  </si>
  <si>
    <t>Número de aplicativos</t>
  </si>
  <si>
    <t>Talleres de capacitación a agentes educativos</t>
  </si>
  <si>
    <t>Eventos culturales, deportivos, recreativos y de uso del tiempo libre</t>
  </si>
  <si>
    <t>Se realizarion 4 Subregionales. Se proyectan la etapa departamental, juegos nacionales de servidores públicos y un zonal regional del magisterio.</t>
  </si>
  <si>
    <t>Matricula Estudiantes en el Politécnico Colombiano Jaime Isaza Cadavid en la Sede Central.</t>
  </si>
  <si>
    <t>Matricula Estudiantes en el Politecnico Colombiano Jaime Isaza Cadavid en las Regiones.</t>
  </si>
  <si>
    <t>Cifra pendiente de validación por vacaciones del personal responsable</t>
  </si>
  <si>
    <t>Mejoramiento de la Infraestructura física intervenida en el PCJIC.</t>
  </si>
  <si>
    <t xml:space="preserve">N° de M² </t>
  </si>
  <si>
    <t xml:space="preserve">Computadores comprados  </t>
  </si>
  <si>
    <t>Número de computadores</t>
  </si>
  <si>
    <t>EL PROCESO DE ADQUISICIÓN SE LLEVA A CABO EN EL SEGUNDO SEMESTRE, SE REQUIERE HACER VALIDACIÓN CON LA IES, AL MOMENTO DE DILIGENCIAR EL FORMATO SE ENCUENTRA EN VACACIONES</t>
  </si>
  <si>
    <t>Infraestructura Tecnológica reestructurada</t>
  </si>
  <si>
    <t>Número de infraestructura</t>
  </si>
  <si>
    <t>SE REQUIERE HACER VALIDACIÓN CON LA IES, AL MOMENTO DE DILIGENCIAR EL FORMATO SE ENCUENTRA EN VACACIONES</t>
  </si>
  <si>
    <t>Plantas Físicas con mantenimiento</t>
  </si>
  <si>
    <t>Numero de plantas físicas</t>
  </si>
  <si>
    <t>Plantas fisicas terminadas de convenios antiguos</t>
  </si>
  <si>
    <t>Numero de plantas físicas construidas y/o terminadas</t>
  </si>
  <si>
    <t>Plantas fisicas con reposicion, terminadas</t>
  </si>
  <si>
    <t>Numero de plantas físicas con reposición</t>
  </si>
  <si>
    <t>Se encuentra en proceso de liquidación el contrato celebrado con el Politecnico.</t>
  </si>
  <si>
    <t>Contrato de Interventoría técnica de las obras contratadas</t>
  </si>
  <si>
    <t>Numero de contratos</t>
  </si>
  <si>
    <t>Plantas Físicas con Diseño</t>
  </si>
  <si>
    <t>Numero de plantas físicas con diseño</t>
  </si>
  <si>
    <t>Se adelantan diseños de una Sede en Buritica y otra en Puerto Triunfo.</t>
  </si>
  <si>
    <t>Alumnos beneficiados con la estrategia de contratación de la prestación del servicio educativo</t>
  </si>
  <si>
    <t>Número de alumnos</t>
  </si>
  <si>
    <t>Total de alumnos contratados de grado transición a undécimo</t>
  </si>
  <si>
    <t>Contratos celebrados para la prestación del servicio educativo</t>
  </si>
  <si>
    <t>Alumnos beneficiados con apoyo psicopedagógico</t>
  </si>
  <si>
    <t>Personal especializado contratado para la atencion de poblacion con necesidades especiales</t>
  </si>
  <si>
    <t>Número de personas</t>
  </si>
  <si>
    <t>Contratación de modelos linguisticos, intérpretes de señas, tiflólogos, psicólogos, licenciados en educación especial.</t>
  </si>
  <si>
    <t>Docentes de aula de apoyo oficiales</t>
  </si>
  <si>
    <t>Número de docentes</t>
  </si>
  <si>
    <t>Adultos beneficiados con la estrategia de formación a población en extraedad y adultos por contrato</t>
  </si>
  <si>
    <t>Número de adultos</t>
  </si>
  <si>
    <t>Alumnos contratados clei 2 al 6</t>
  </si>
  <si>
    <t>Contratos celebrados para la formación de adultos y jóvenes en extraedad</t>
  </si>
  <si>
    <t xml:space="preserve">Propuesta de la ruta metodológica con soporte conceptual de las unidades itinerantes de apoyo </t>
  </si>
  <si>
    <t>Numero de propuestas</t>
  </si>
  <si>
    <t>Se realizó propuesta de formación a docentes que atienden población víctimas del conflicto</t>
  </si>
  <si>
    <t>Unidades itinerantes implementadas</t>
  </si>
  <si>
    <t>Numero de unidades itinerantes</t>
  </si>
  <si>
    <t>Se ejecutará en el año 2014</t>
  </si>
  <si>
    <t xml:space="preserve">Documento con los lineamientos conceptuales y pedagógicos para la atención educativa a escolares afectados por el conflicto armado. </t>
  </si>
  <si>
    <t>Numero de documentos</t>
  </si>
  <si>
    <t>Documentos sistematizados del proceso, con  estrategias de sostenibilidad para ser desarrolladas por  los establecimientos educativos.</t>
  </si>
  <si>
    <t xml:space="preserve">Contrato para provisionar en las IE Oficiales de los Muncpios no Certificados Auxiliares Administrativos, Auxiliares de Biblioteca, Granjeros y Tesoreros 
</t>
  </si>
  <si>
    <t>Contratato para provisionar el personal de aseo y servicios generales en las IE Oficiales de los Muncpios no Certificados</t>
  </si>
  <si>
    <t xml:space="preserve">Contratato del personal para el apoyo de los procesos misionales de importancia estratégica de la Secretaría de Educación Departamental </t>
  </si>
  <si>
    <t>Contrato de personal para apoyo procesos misionales, Cobertura (apoyo a la supervisión) y Subsecretaria (apoyo a direcciones de núcleo).</t>
  </si>
  <si>
    <t xml:space="preserve">Pago de nómina del personal Docente y Administrativos de la Secretaría de Educación Departamental
</t>
  </si>
  <si>
    <t>Numero de pagos</t>
  </si>
  <si>
    <t xml:space="preserve">Dotación y sostenimiento de sedes Educativas con acceso a internet </t>
  </si>
  <si>
    <t>Número de sedes con acceso a internet</t>
  </si>
  <si>
    <t>Se sostendrá la meta en el valor del primer semestre y no se conectarán las 261 proyectadas para el segundo semestre, debido a que solo podrían ser hasta el momento de tipo satelital con un costo superior a lo que puede sostener el proyecto. Adicionalmente se está pendiente de ampliación de infraestructura y asignación de espectro para UMTS a edatel.</t>
  </si>
  <si>
    <t xml:space="preserve">Dotación de sedes educativas con aulas Digitales </t>
  </si>
  <si>
    <t>Entrega de computadores a Establecimientos Educativos</t>
  </si>
  <si>
    <t>Contrato para seguimiento e interventoría</t>
  </si>
  <si>
    <t>El contrato está en etapa precontractual, ya que se va a hacer un único cntrato con las necesidades de varias áreas de la secretaría.</t>
  </si>
  <si>
    <t>Sostenimiento de los sitios Públicos con Acceso a Internet</t>
  </si>
  <si>
    <t>Número de sitios públicos</t>
  </si>
  <si>
    <t>Redes de matemáticas conformadas y apoyadas</t>
  </si>
  <si>
    <t>N° de redes</t>
  </si>
  <si>
    <t>Se conforma solo una red de matemáticas en el departamento. No son tres.</t>
  </si>
  <si>
    <t>Cupos para formacion  y actualización de docentes y directivos docentes</t>
  </si>
  <si>
    <t>N° de cupos de docentes formados</t>
  </si>
  <si>
    <t>El reporte corresponde a la participación de los docentes  en: Rectores Líderes Transformadores, Seminarios Red de Lenguaje, Formación en Cátedra Afrodescendiente, Formación en Matemáticas, Congreso Maestro Investigador, Todos a Aprender, Líderes Siglo XXI, Educación Sexual, entre otros.Agentes educativos formados en accesibilidad digital y sistematización de experiencias significativas.</t>
  </si>
  <si>
    <t>Informes de seguimiento y acompañamiento a  los procesos de actualización y formación</t>
  </si>
  <si>
    <t>N° de infomes</t>
  </si>
  <si>
    <t>El equipo conformado en el  procedimiento de formación docente elaboró informe.</t>
  </si>
  <si>
    <t>Cupos para capacitación a docentes en inglés como segunda lengua</t>
  </si>
  <si>
    <t>N° Cupos</t>
  </si>
  <si>
    <t>Se realizó curso de inmesrión a 5 Docentes financiado por el MEN. Se espera de la voluntad administrativa para lograr el objetivo</t>
  </si>
  <si>
    <t>Becas asignadas para educación superior (técnica profesional, tecnología y universitaria) a estudiantes del Departamento de Antioquia.</t>
  </si>
  <si>
    <t>Se realizan dos convocatorias al año.</t>
  </si>
  <si>
    <t>Pago personal nómina</t>
  </si>
  <si>
    <t>Número de pagos</t>
  </si>
  <si>
    <t>Pago de energía</t>
  </si>
  <si>
    <t>Becas asignadas para formación para el trabajo a estudiantes del departamento de Antioquia</t>
  </si>
  <si>
    <t>La matrícula e inicio de clases se dieron durante el mes de abril. La matrícula sufre variaciones debido a factores como la deserción de los jóvenes y a los cambios en la oferta de formación programada inicialmente, estos cambios se deben mayormente a los procesos internos de cada una de las instituciones.</t>
  </si>
  <si>
    <t>Instituciones educativas con planes de área de lenguaje alineados  a los estándares curriculares</t>
  </si>
  <si>
    <t xml:space="preserve">N° Instituciones educativas </t>
  </si>
  <si>
    <t>De las 451 Instituciones que tiene a cargo el Proyecto de Mejoramiento de la Media se ejecuta en 350, lo están realizando los asesores pedagogicos. Este indicador no puede sumarse con el indicador del área de matemáticas por que son las mismas instituciones</t>
  </si>
  <si>
    <t>Instituciones educativas con planes de área de matemáticas alineados  a los estándares curriculares</t>
  </si>
  <si>
    <t>N° Instituciones educativas</t>
  </si>
  <si>
    <t>De las 451 Instituciones que tiene a cargo el Proyecto de Mejoramiento de la Media se ejecuta en 350, lo están realizando los asesores pedagogicos.Este indicador no puede sumarse con el indicador del área de lenguaje por que son las mismas instituciones</t>
  </si>
  <si>
    <t xml:space="preserve">Instituciones educativas con planes de área de inglés impactando el PEI </t>
  </si>
  <si>
    <t>Se adelantó la actividad durante el segundo semestre.</t>
  </si>
  <si>
    <t xml:space="preserve">Docentes de la red del área de matemáticas que participan en el segundo encuentro Departamental con los numeros </t>
  </si>
  <si>
    <t>N° de docentes</t>
  </si>
  <si>
    <t>El total de docentes que participaron en el Encuentro con los Números es 1021 (766 en el evento en Envigado y 255 en Apartadó)</t>
  </si>
  <si>
    <t xml:space="preserve">Establecimientos educativos con dotación de material educativo </t>
  </si>
  <si>
    <t>N°  establecimientos educativos beneficiados</t>
  </si>
  <si>
    <t>Corresponde a las colecciones de secretos para contar, guias de escuela nueva y plan nacional de lectura.</t>
  </si>
  <si>
    <t>Docentes formados en la implementación de los proyectos ambientales escolares</t>
  </si>
  <si>
    <t>Actualmente se encuentra en proceso de contratación la formación de docentes en implementación de proyectos ambientales escolares PRAES</t>
  </si>
  <si>
    <t>Estudiantes inscritos en primera fase</t>
  </si>
  <si>
    <t>N° Estudiantes</t>
  </si>
  <si>
    <t>Estudiantes capacitados en lenguaje y matematicas</t>
  </si>
  <si>
    <t>Se priorizaron 15 municipios donde se realizó el proceso de capacitación.</t>
  </si>
  <si>
    <t>Docentes capacitados en lenguaje y matematicas</t>
  </si>
  <si>
    <t>N Docentes</t>
  </si>
  <si>
    <t xml:space="preserve">Se capacitarón docentes de las redes de matemáticas y de lenguaje, Enseña por Antioquia y UPB.
</t>
  </si>
  <si>
    <t>Numero de eventos de semifinales regionales</t>
  </si>
  <si>
    <t>N° de Eventos</t>
  </si>
  <si>
    <t>Semifinales Subregionales.</t>
  </si>
  <si>
    <t xml:space="preserve">Evento de Gran final </t>
  </si>
  <si>
    <t>Evento de premiación</t>
  </si>
  <si>
    <t>Estímulos entregados a estudiantes</t>
  </si>
  <si>
    <t>Premios a ganadores Subregionales</t>
  </si>
  <si>
    <t>Becas entregadas a estudiantes</t>
  </si>
  <si>
    <t>Fue premiado un estudiante más de la Subregión Valle de Aburra</t>
  </si>
  <si>
    <t xml:space="preserve">Convenio Alianza-AMA con parque Explora  para promover en los establecimientos educativos oficiales proyectos de feria de la ciencia, la tecnología, el arte y la innovación. </t>
  </si>
  <si>
    <t>Número de Establecimientos Educativos beneficiados</t>
  </si>
  <si>
    <t xml:space="preserve">Rutas del conocimiento en las que participan los estudiantes </t>
  </si>
  <si>
    <t>Establecimientos apoyados en el aprovechamiento del tiempo libre en actividades de deporte, fomento a la lectura, bilinguismo, arte y cultura</t>
  </si>
  <si>
    <t>N establecimientos</t>
  </si>
  <si>
    <t>Jornadas escolares complementarias con Comfenalco deportivo, beneficiando 4.025 estudiantes en 76 Municipios.Intercolegiados Superate con el deporte.</t>
  </si>
  <si>
    <t>Evento lanzamiento del Premio</t>
  </si>
  <si>
    <t xml:space="preserve">El evento de lanzamiento se realizó el 5 de junio de 2013 </t>
  </si>
  <si>
    <t>Grupos de docentes formados en sistematización de experiencias</t>
  </si>
  <si>
    <t>Número de  grupos formados</t>
  </si>
  <si>
    <t>El programa de formación se realiza durante los meses de septiembre, octubre y noviembre de 2013.</t>
  </si>
  <si>
    <t>Postulaciones de docentes e instituciones educativas</t>
  </si>
  <si>
    <t>Número de postulaciones</t>
  </si>
  <si>
    <t>En el año 2013 tuvimos 173 postulaciones por Experiencias Significativas, 36 postulaciones de estudiantes y 17 postulaciones de establecimientos educativos a Calidad.</t>
  </si>
  <si>
    <t>Evento de gala de premiación</t>
  </si>
  <si>
    <t>El evento de Gala o Premiación se realizará el 13 de noviembre de 2013.</t>
  </si>
  <si>
    <t xml:space="preserve">Contrato para adquisición de pólizas de accidentes para estudiantes oficiales  </t>
  </si>
  <si>
    <t>N° de contratos</t>
  </si>
  <si>
    <t>Estudiantes beneficiados con póliza de accidentes</t>
  </si>
  <si>
    <t>N° de estudiantes</t>
  </si>
  <si>
    <t>Apoyo a municipios  con la estrategia de transporte escolar</t>
  </si>
  <si>
    <t>N° de municipios</t>
  </si>
  <si>
    <t>Estudiantes beneficiados con transporte escolar</t>
  </si>
  <si>
    <t>N° de alumnos</t>
  </si>
  <si>
    <t xml:space="preserve">Formación de docentes en el uso de las Redes Sociales en la enseñanza de las diferentes disciplinas </t>
  </si>
  <si>
    <t xml:space="preserve">Establecimientos educativos acompañados y asesorados  en la incorporación de las TIC al currículo escolar </t>
  </si>
  <si>
    <t>Número de establecimientos educativos</t>
  </si>
  <si>
    <t xml:space="preserve">Cursos escolares en línea elaborados por los establecimientos educativos oficiales </t>
  </si>
  <si>
    <t>Número de cursos escolares</t>
  </si>
  <si>
    <t>Se inició el proceso de construcción de los cursos escolares en línea desde el mes de noviembre de 2012 en la primera etapa de Apropiación, pero solo hasta iniciar el segundo acompañamiento a los colegios digitales en el mes de octubre, podremos tener los cursos en línea publicados.</t>
  </si>
  <si>
    <t xml:space="preserve">Ciudadanos participando en los clubes creativos de arte y ciencia </t>
  </si>
  <si>
    <t>Número de ciudadanos</t>
  </si>
  <si>
    <t xml:space="preserve">Ciudadanos participando de en cursos en línea </t>
  </si>
  <si>
    <t>Realización de actividades que permitan la inmersión en las TIC  por parte de ciudadanos</t>
  </si>
  <si>
    <t>Pago docentes</t>
  </si>
  <si>
    <t>Proceso de convenio de asociación con la Fundación Saldarriaga Concha para la formación de agentes educativos</t>
  </si>
  <si>
    <t>N° agentes educativos formados</t>
  </si>
  <si>
    <t>Se hizo la caracterización de los agentes educativos y la inversión en el segundo semestre.</t>
  </si>
  <si>
    <t>Seguimiento, acompañamiento e interventoría a la formación</t>
  </si>
  <si>
    <t>N° informes</t>
  </si>
  <si>
    <t>El proceso de interventoría inicia en el segundo semestre.</t>
  </si>
  <si>
    <t>Parques educativos con inicio de ejecución de obra</t>
  </si>
  <si>
    <t>Numero de parques educativos</t>
  </si>
  <si>
    <t>La primera convocatoria de 45 parques se encuentran así: 4 parques en obra (Vigia del Fuerte-Támesis-Titiribí-Tarso), 11 publicados en página y los restantes 30 en detalles finales para su publicación en página. Los de la 2 convocatoria, 35 parques, están en etapa de diseño. Los parques educativos serán entregados en 2014 y 2015.</t>
  </si>
  <si>
    <t>4.4 Mujeres protagonistas del desarrollo</t>
  </si>
  <si>
    <t>4.4.1. "Mujeres sin miedo"</t>
  </si>
  <si>
    <t xml:space="preserve"> Comunicación Pública Perceptual para el desarrollo de las mujeres.</t>
  </si>
  <si>
    <t>20120500000097</t>
  </si>
  <si>
    <t>072097-001</t>
  </si>
  <si>
    <t>Implementación de la estrategía mujeres sin miedo en las nueve subregiones de Antioquia con prioridad en Urabá, Bajo Cauca, nordeste y Valle de aburrá</t>
  </si>
  <si>
    <t>Observatorio de Asuntos de Género de Antioquia implementado anualmente</t>
  </si>
  <si>
    <t>Campañas regionales de Movilización Social</t>
  </si>
  <si>
    <t>Mesas Regionales de Mujeres sin Miedo</t>
  </si>
  <si>
    <t>Hechos Sociales movilizadores anuales</t>
  </si>
  <si>
    <t>Empresas que incorporan buenas prácticas de equidad de género</t>
  </si>
  <si>
    <t>Movilización Social: Las Fabiolas, (Mujeres Víctimas del Conflicto Armado)</t>
  </si>
  <si>
    <t>Mujeres participantes Carrera Atlética Mujeres Sin Miedo</t>
  </si>
  <si>
    <t xml:space="preserve"> Comadres Rurales</t>
  </si>
  <si>
    <t>2012050000178</t>
  </si>
  <si>
    <t>072178-001</t>
  </si>
  <si>
    <t xml:space="preserve">implementación proyecto comadres en 60 municipios de Antioquia </t>
  </si>
  <si>
    <t>Municipios beneficiados por el Plan Siembra</t>
  </si>
  <si>
    <t>Municipios con mujeres entrenadas y haciendo uso de programas de fomento y acceso al crédito y al ahorro</t>
  </si>
  <si>
    <t>4.4.3 "Superando brechas de género"  (Acciones afirmativas)</t>
  </si>
  <si>
    <t xml:space="preserve"> Mujeres Jóvenes Talento de Antioquia</t>
  </si>
  <si>
    <t>2012050000098</t>
  </si>
  <si>
    <t>072098-001</t>
  </si>
  <si>
    <t xml:space="preserve">Implementación movilización social: mujeres jóvenes talento en Antioquia </t>
  </si>
  <si>
    <t>Mujeres postuladas a Mujeres Jóvenes Talento</t>
  </si>
  <si>
    <t>Política pa´ Mujeres</t>
  </si>
  <si>
    <t>2012050000179</t>
  </si>
  <si>
    <t>072179-001</t>
  </si>
  <si>
    <t xml:space="preserve">Capacitación y entrenamiento político para mujeres de las 9 regiones de Antioquia </t>
  </si>
  <si>
    <t>Mujeres participantes en Política pa´ mujeres</t>
  </si>
  <si>
    <t>Red de Mujeres Públicas</t>
  </si>
  <si>
    <t>2012050000101</t>
  </si>
  <si>
    <t>072101-001</t>
  </si>
  <si>
    <t xml:space="preserve">Fortalecimiento y apoyo para la creación de redes locales de mujeres públicas en 80 municipios de Antioquia </t>
  </si>
  <si>
    <t>Municipios con Redes locales de Mujeres Públicas activas</t>
  </si>
  <si>
    <t>Municipios con organizaciones de Mujeres con capacidad para incidir en el Desarrollo Local</t>
  </si>
  <si>
    <t xml:space="preserve"> Secretarías y Alcaldías que Suman</t>
  </si>
  <si>
    <t>2012050000102</t>
  </si>
  <si>
    <t>072102-001</t>
  </si>
  <si>
    <t xml:space="preserve">Implementación secretarías y alcaldías que suman en los municipios de Antioquia </t>
  </si>
  <si>
    <t>Dependencias de la Administración Departamental con programas que impactan favorablemente a las mujeres</t>
  </si>
  <si>
    <t>Alcaldías con oficinas de Equidad de Género para las Mujeres creadas y/o fortalecidas</t>
  </si>
  <si>
    <t>Operadores de Justicia formados en Justicia y Género</t>
  </si>
  <si>
    <t>Municipios con mujeres jóvenes entrenadas en el manejo de las TIC`s</t>
  </si>
  <si>
    <t>Instituciones Normales Superiores intervenidas en Genero y Educación</t>
  </si>
  <si>
    <t>El Diplomado se realizó con 29 docentes de diferentes IE, pero ninguno de ellos de Instituciones Normales Superiores.</t>
  </si>
  <si>
    <t>Municipios que implementan la Escuela busca la Mujer Adulta</t>
  </si>
  <si>
    <t>Plan Estratégico de Igualdad de Oportunidades aprobado por Ordenanza</t>
  </si>
  <si>
    <t>Equidad de Género</t>
  </si>
  <si>
    <t xml:space="preserve">Creación de Mesas de Seguridad Pública </t>
  </si>
  <si>
    <t>Fase II de la Campaña de Comunicación Pùblica Perceptual para el Desarrollo de las Mujeres</t>
  </si>
  <si>
    <t>Campaña de Prevención del Embarazo Adolescente</t>
  </si>
  <si>
    <t>Conmemoracion Semana de Erradicación de la Violencia Contra las Mujeres</t>
  </si>
  <si>
    <t>Conmemoraciòn Mes por los Derechos de las Mujeres</t>
  </si>
  <si>
    <t>Fase II - Observatorio de Asuntos de Género</t>
  </si>
  <si>
    <t>Realización de la 2a Carrera Deportiva Municipal "Mujeres Sin Miedo"</t>
  </si>
  <si>
    <t>Campaña Regionales Empresas con Buenas Practicas de Equidad de Género</t>
  </si>
  <si>
    <t>Definición de las bases dell Concurso, selección de regiones. Se implementará en el 2014.</t>
  </si>
  <si>
    <t>Formulacion y diseño participativo del modelo de reparaciòn integral "Las Fabiolas"</t>
  </si>
  <si>
    <t>Nuevas Granjas Integrales para Mujeres "Plan Siembra"</t>
  </si>
  <si>
    <t>Granjas</t>
  </si>
  <si>
    <t>Proyecto Municipal de Microcredito para Mujeres</t>
  </si>
  <si>
    <t>Se diseñó el programa en asocio de la Secretaría de Productividad, se implementará en el 2014.</t>
  </si>
  <si>
    <t>Realización de los Concursos Municipales Mujeres Jóvenes Talento</t>
  </si>
  <si>
    <t>Realización de los Concursos Regionales Mujeres Jóvenes Talento</t>
  </si>
  <si>
    <t>Acto Final del Concursos Regionales Mujeres Jóvenes Talento</t>
  </si>
  <si>
    <t>Diseño y puesta en marcha Fase I de la Escuela de Entrenamiento Política pa´Mujeres</t>
  </si>
  <si>
    <t>Promoción y creación de Redes Locales de Mujeres Públicas</t>
  </si>
  <si>
    <t>Redes</t>
  </si>
  <si>
    <t>Promoción y creación de Redes Regionales de Mujeres Públicas</t>
  </si>
  <si>
    <t>Encuentros Departamentales Mujeres Publicas</t>
  </si>
  <si>
    <t>Encuentros Departamentales de Asociaciones de Mujeres</t>
  </si>
  <si>
    <t>Celebración Regional Día de la Madre Comunitaria</t>
  </si>
  <si>
    <t xml:space="preserve">Fortalecimiento para la incidencia politica de Redes municipales de Mujeres </t>
  </si>
  <si>
    <t>Diseño, socialización e implementación de protocolos de transversalidad para las dependencias</t>
  </si>
  <si>
    <t>Conformación, capacitación, entrenamiento y puesta en marcha del equipo de Agentes de Igualdad</t>
  </si>
  <si>
    <t>nùmero</t>
  </si>
  <si>
    <t xml:space="preserve">Acompañamiento a Secretarias y/o oficinas municiples existentes de Equidad de Genero para las mujeres </t>
  </si>
  <si>
    <t>Promoción para la creación de Secretarias y Oficinas de Equidad de Género</t>
  </si>
  <si>
    <t>Diplomado en "Género y Justicia" para Operadores Judiciales</t>
  </si>
  <si>
    <t>Diplomado en "Género y Educación" para docentes Normalistas</t>
  </si>
  <si>
    <t>Implementación de la Escuela Busca la Mujer Adulta</t>
  </si>
  <si>
    <t>Diseño y formaulación participativa del Plan de Igualdad de Oportunidades de Antioquia</t>
  </si>
  <si>
    <t>Formulación, diseño y puesta en marcha del proyecto Mujeres Digitales</t>
  </si>
  <si>
    <t>Secretaría de Infraestructura Física</t>
  </si>
  <si>
    <t>2012050000234</t>
  </si>
  <si>
    <t>Desarrollo de sistemas de información en la Secretaría de infraestructura física</t>
  </si>
  <si>
    <t>Sistema de Gestión Vial en Antioquia implementado</t>
  </si>
  <si>
    <t>Vigencias 2012 y 2013:
Recolección, levantamiento, sistematización y homologación de información vial en el Departamento de Antioquia. Construcción de geodatabase y emisión de 8 circulares de definición de inventario de vías a cargo del Departamento. Levantamiento de inventario general (no detallado) de la red vial terciaria del Departamento. Ello corresponde a un avance del 50%.
Durante las vigencias 2013-2015 se avanzará en el diseño (2013) y operación (2014-2015) de un centro de control para la gestión de la información primaria vial como estrategia de mantenimiento y actualización continua de la información.  El Centro de control es una estrategia pionera en el país. La operación se prevé para 2014</t>
  </si>
  <si>
    <t>5.3 Infraestructura Sostenible</t>
  </si>
  <si>
    <t>5.3.1 Planeación e Innovación para la Infraestructura de Antioquia</t>
  </si>
  <si>
    <t xml:space="preserve"> Planificación y gestión de la infraestructura en Antioquia</t>
  </si>
  <si>
    <t>2009050000110</t>
  </si>
  <si>
    <t xml:space="preserve">Estudios de planes viales subregionales participativos en 8 subregiones del departamento de Antioquia </t>
  </si>
  <si>
    <t>Planes viales subregionales participativos realizados</t>
  </si>
  <si>
    <t>Se avanza en la ejecución de los planes viales subregionales participativos para 8 subregiones (incluye homologación del Plan del Magdalena Medio), suscritos en diciembre de 2012, contrato No. 2012-SS-20-0149, inversión  $1.800 millones. Entrega de productos marzo 2014.
La meta se alcanzará al 100% al finalizar 2014</t>
  </si>
  <si>
    <t>2012050000124</t>
  </si>
  <si>
    <t xml:space="preserve">Estudio del plan de infraestructura y movilidad 2030 Departamento de Antioquia </t>
  </si>
  <si>
    <t>Plan de infraestructura y movilidad 2030 formulado</t>
  </si>
  <si>
    <t>Para la elaboración del Plan de Movilidad se tramitó y fue aprobada por la Honorable Asamblea Departamental, la Ordenanza 14 que autoriza comprometer vigencias futuras ordinarias 2014, requeridas para el inicio del proceso precontractual del proyecto. Se configuraron 4 proyectos que componen el Plan  con plazo 2013-2014.
1."Plan Escenarios 2030 de la infraestructura para el transporte y la movilidad en Antioquia; Oportunidades, restricciones y necesidades para potenciar la connectividad multimodal y regional". En ejecución noviembre 2013-octubre 2014
2. Encuesta origen-destino. Concurso de méritos en proceso precontractual. En ejecución Noviembre 2013-Junio 2014
3. Definición de instrumentos para ejecución del plan. Contrato en ejecución septiembre 2013-Diciembre 2014. Ejecuta CIDER de Uniandes.
4. Investigación evolución histórica de la infraestructura en el Departamento. Contrato en ejecución Noviembre 2013-Mayo 2014. Ejecuta EAFIT.
La meta se alcanzará al 100% al finalizar 2014</t>
  </si>
  <si>
    <t xml:space="preserve"> Investigaciones y estudios aplicados al área de infraestructura</t>
  </si>
  <si>
    <t>2012050000189</t>
  </si>
  <si>
    <t>Investigaciones y estudios aplicados al área de infraestructura</t>
  </si>
  <si>
    <t>Investigaciones y estudios realizadas sobre infraestructura vial</t>
  </si>
  <si>
    <t>Durante 2013 se avanzó en la viabilización de proyectos de investigación ante el OCAD de Ciencia y TEcnología del SGR. Adicionalmente se apropiaron recursos para realizar proyectos de investigación aplicada como la metodologíapar a la gestión socioambiental para obras de infraestructura.
Vigencia 2013:
Se viabilizaron 3 investigaciones aplicadas ante el OCAD de ciencia y tecnología del SGR 2012 y 1 del 2013, todas ellas en ejecución hasta 2015. Para viabilización 2014 se encuentran otras 2 investigaciones.
1. Diseño experimental sistemas constructivos alternativos para rasantes, Asociado UdeA, UdeM
2. Diseño experimental sistemas constructivos alternativos para estabilización de taludes, asociado CIPAV
3. Diseño experimental sistemas constructivos alternativos para revegetalización de taludes, asociado Unalmed
4. Sistemas prefabricados para Vivienda, asociado UPB</t>
  </si>
  <si>
    <t xml:space="preserve"> Código 201205SGR0017</t>
  </si>
  <si>
    <t>182R17001</t>
  </si>
  <si>
    <t>Estudio, selección y estructuración de sistemas tecnológicos alternativos para estabilización de la red vial secundaria en el departamento de Antioquia  (Estudios para endurecimiento de suelos, tratamiento de taludes y nuevos pavimentos)</t>
  </si>
  <si>
    <t>Como requisito para presentación ante el OCAD de Ciencia y tecnología, fue inscrito el proyecto con código 182R17001 en el banco de proyecto del DNP. Este proyecto aporta al indicador de "Investigaciones y estudios realizadas sobre infraestructura vial". En el marco de este proyecto se suscribieron 3 convenios
1. Diseño experimental sistemas constructivos alternativos para rasantes, Asociado UdeA, UdeM. Convenio 2013-CF-20-0184
2. Diseño experimental sistemas constructivos alternativos para estabilización de taludes, asociado CIPAV. Convenio 4600000549
3. Diseño experimental sistemas constructivos alternativos para revegetalización de taludes, asociado Unalmed. Convenio 4600000522</t>
  </si>
  <si>
    <t>Código 2013000100160</t>
  </si>
  <si>
    <t>043R38</t>
  </si>
  <si>
    <t>Desarrollo de diseños arquitectónicos y técnicos para soluciones de vivienda a bajo costo en sistemas de hormigón y tierra cruda en el departamento de Antioquia</t>
  </si>
  <si>
    <t>Como requisito para presentación ante el OCAD de Ciencia y tecnología, fue inscrito el proyecto con código 2013000100160 en el banco de proyecto del DNP. Este proyecto aporta al indicador de "Investigaciones y estudios realizadas sobre infraestructura vial". En el marco de este proyecto se suscribió 1 convenio
1. Sistemas prefabricados para Vivienda, asociado UPB. Convenio 4600001122</t>
  </si>
  <si>
    <t xml:space="preserve"> Estudios, diseños y estructuraciones para el desarrollo de la infraestructura en Antioquia</t>
  </si>
  <si>
    <t>2012050000009</t>
  </si>
  <si>
    <t>Inventario y gestión predial en la red vial secundaria del Departamento de Antioquia</t>
  </si>
  <si>
    <t>Estudios, diseños, actualizaciones, auditorías, asesorías y estructuraciones de infraestructura física realizados</t>
  </si>
  <si>
    <t xml:space="preserve">Se realizó el saneamiento y legalización de 10 fajas prediales que incluye el proceso de compra. </t>
  </si>
  <si>
    <t>2012050000167</t>
  </si>
  <si>
    <t xml:space="preserve">Estudios de prefactibilidad y factibilidad para el cobro de valorización en la RVS en el Departamento de Antioquia </t>
  </si>
  <si>
    <t>Estudios de prefactibilidad/factibilidad para el cobro de valorización en la RVS</t>
  </si>
  <si>
    <t>Vigencia 2013: Estudios realizados
1. Prefactibilidad de valorización para las vías de la T de la Leche, subregión Norte, Cto 2013-SS-20-0022
2. Prefactibilidad de valorización para las vía Puerto Nare-Pto Triunfo, Cto 4600000542
3. Estudio de factibilidad de valorización para la doble calzada Hatillo- Barbosa-Pradera. Terminado en julio de 2013. 
En ejecución:
1. Factibilidad de valorización para el proyecto Circuito de los Embalses, realizado en el marco del estudio de estructuración del proyecto
2. Factibilidad proyecto Conexión vial Aburrá Oriente, túnel y dllo complementario (fase 2 contrato de concesión 97CO201811), Cto 2013-SS-20-0006</t>
  </si>
  <si>
    <t>2012050000188</t>
  </si>
  <si>
    <t xml:space="preserve">Implementación del banco de costos de proyectos en el Departamento de Antioquia </t>
  </si>
  <si>
    <t>Banco de costos de proyectos implementado</t>
  </si>
  <si>
    <t>Fortalecimiento equipo de trabajo: contratación un temporal para la formulación, calibración y análisis de indicadores de costos de obra pública. La contratación del profesional se hizo efectiva a partir del mes de junio de 2013</t>
  </si>
  <si>
    <t>2012050000011</t>
  </si>
  <si>
    <t xml:space="preserve">Estudios de infraestructura de transporte en la red vial secundaria departamento </t>
  </si>
  <si>
    <t>Se viabilizó el Convenio con el FONADE para la realización de los estudios de estructuración del proyecto. Durante el primer semestre se tramitó la vigencia Futura ante la H. Asamblea Departamental y el proyecto inició en el mes de junio de 2013. Se apropiaron recursos para la suscripción de convenios y contratos para la elaboración de estudios como la metodología de gestión socioambiental para obras de infraestructura,entre otros
En ejecución:
1. Estructuración técnica legal y financiera para el proyecto Ruta de los embalses.
2. Evaluación final de impacto del contrato BID
3. Plan Vial Departamental viabilizado</t>
  </si>
  <si>
    <t>2012050000233</t>
  </si>
  <si>
    <t xml:space="preserve">Diseño de la guía socioambiental para el Departamento de Antioquia </t>
  </si>
  <si>
    <t>Guía socio ambiental elaborada</t>
  </si>
  <si>
    <t>Vigencia 2013:
Se avanza con la Universidad Nacional (convenio suscrito en agosto de 2013) en la realización de un proyecto integral para la contrucción de la metodología para la gestión socioambiental de obras de infraestructura, que incluye enfoque para funcionarios, para contratistas y para ciudadanos. Es una investigación aplicada con plazo hasta 2015. 
El valor total del Convenio es 930 millones de pesos que incluye 500 millones de aportes del DEpartamento (ver también ejecución proyecto estudios de infraestructura e investigaciones aplicadas) y 430 millones de Unlamed. Acta de Inicio 16 de agosto de 2013</t>
  </si>
  <si>
    <t>2012050000007</t>
  </si>
  <si>
    <t>Fortalecimiento Institucional al Programa PVIE - BID en el Departamento de Antioquia - Fortalecimiento</t>
  </si>
  <si>
    <t>Se avanzó en la formulación del proyecto guía para la Evaluación Final y la selección del Consultor. El proyecto inicia durante el segundo semestre de 2013 y cuenta con Vigencia futura 2014. tiempo de realización 6 meses</t>
  </si>
  <si>
    <t xml:space="preserve">Fortalecimiento Institucional al Programa PVIE - BID en el Departamento de Antioquia - Auditoria Financiera </t>
  </si>
  <si>
    <t>Vigencia 2013:
Auditoría financiera vigencia 2012 (feb-junio 2013)
Auditoría financiera vigencia 2013 (nov 2013-junio 2014) en ejecución. El proyecto cuenta con vigencia futura 2014</t>
  </si>
  <si>
    <t>5.3.2 Antioquia Conectada: Infraestructura para la Integración y Competitividad de Antioquia</t>
  </si>
  <si>
    <t xml:space="preserve"> Obras de infraestructuras nacionales y/o supra departamentales en Antioquia.</t>
  </si>
  <si>
    <t>2012050000294</t>
  </si>
  <si>
    <t>Vías nuevas, mejoradas y/o rehabilitadas financiadas por el Gobierno Nacional</t>
  </si>
  <si>
    <t>Proyecto Autopistas para la Prosperidad acordado entre las partes e inicio de su construcción</t>
  </si>
  <si>
    <t xml:space="preserve">Logros:
1. Acuerdo de participación y desembolsos de las partes, Nación 13.1 billones + Gobernación y Municipio de Medellín 1 billon
2. Inicio de la etapa de preinversión que incluye rehabilitación de tramos de control y complementación de los estudios
3. Proceso de precalificación para 7 tramos (septiembre 2013) e inicio de proceso de precalificación para otros 2 tramos
4. Apertura de procesos de licitación para 5 tramos (Octubre de 2013)
5. Reformulación de proyecto de vigencias futuras para el proyecto por parte de los socios
6. Aprobación de vigencias futuras para la ejecución del proyecto Nación + Gobernación de Antioquia + Municipio de Medellín
7. Firma Convenio para ejecución del Túnel del Toyo
</t>
  </si>
  <si>
    <t>Corredor Ancón Sur - Primavera: Avance construcción,  8,9 km.
Troncal del Nordeste, avance rehabilitación y mejoramiento, 28,5 km 
Intercambio La Madera, construcción 1 km. Proyecto finalizado.
Barbosa - Puerto berrío: avance mto y rehabilitación 6.3 km.
Ciudad Bolivar - Camilo C: avance mantenimiento 22,97 km.
Hatillo - Tarazá: mantenidos 17 km.
El Tigre - Tasidó: mejorados 22,68 km.
La Unión - Sonsón: mantenidos 54 km. Proyecto Finalizado
Medellín - La Pintada: Mantenidos 14 km. Proyecto Finalizado
Puente Aurrá - Santa Fe de Antioquia: mantenidos 6 km. Proyecto Finalizado</t>
  </si>
  <si>
    <t>2012050000296</t>
  </si>
  <si>
    <t>Desarrollo de proyectos de infraestructura de transporte Supra Departamentales a través de contratos Plan en Antioquia y departamentos limítrofes</t>
  </si>
  <si>
    <t>Proyectos de infraestructura supra departamentales coordinados y ejecutados</t>
  </si>
  <si>
    <t>Vigencia 2012:
Coordinación y firma del Acuerdo del Contrato PLAN Atrato-Gran Darién: Suscripción del Acuerdo Estratégico sept,13/12 por gobernadores Antioquia, Cordoba y Chocó, los tres alcaldes elegidos de los 25 que hacen parte y el Director del DNP en representación del gobierno nacional.
Vigencia 2013:
Convenio suscrito INVIAS - Gobernación de Antioquia para la realización de la línea de movilidad del Acuerdo estratégico para contrato PLAN. Incluye los recursos requeridos para inversiones en la vía San Pedro - El tres, por 14.000 millones para ejecución 2014. Se avanza durante 2013 en el mantenimiento de la vía con recursos propios del Departamento.</t>
  </si>
  <si>
    <t>2008050000385</t>
  </si>
  <si>
    <t>Construcción Obras de Protección para la recuperación de una parte del Litoral Caribe,</t>
  </si>
  <si>
    <t>El contrato hace parte de proyectos suscritos en la anterior administración pendientes de financiamiento y terminación. Durante el primer semestre de 2013 se terminaron las obras y  la liquidación y aprobación de pago final se realizó durante el segundo semestre de 2013</t>
  </si>
  <si>
    <t xml:space="preserve"> Conexiones viales del Valle de Aburrá con subregiones vecinas (Alianza Medellín-Antioquia)</t>
  </si>
  <si>
    <t>2012050000278</t>
  </si>
  <si>
    <t>Mejoramiento Conexión Vial Aburrá Norte</t>
  </si>
  <si>
    <t>Sitios críticos recuperados Conexión vial Aburrá – Norte</t>
  </si>
  <si>
    <t>11 sitios críticos atendidos a la fecha, 8 durante la vigencia 2012 y 3 durante la vigencia 2013. En  ejecución 3 sitios críticos</t>
  </si>
  <si>
    <t>Obras complementarias construidas Conexión vial Aburrá – Norte</t>
  </si>
  <si>
    <t>3 obras complementariass realizadas a la fecha, 2 durante la vigencia 2012 y 1 durante la vigencia 2013, así
Vigencia 2012:
1. Terminación y puesta en servicio de la vía Hatillo-Barbosa
2. Mantenimiento periódico K0 - K6, doble calzada Niquía - Hatillo.
Vigencia 2013:
3. Empalme ruta 62
En ejecución:
1-Terminación y puesta en servicio de la vía Barbosa-Pradera. Inició septiembre 1 de 2013. Avance 25%
2-Puente Girardota, avance 1%
3-Puente Fundadores, avance 14%
4-Puente peatonal de Cando, avance 12%
5-Puente peatonal de Bodegas del Norte, avance 19%
6. Estacion de peaje Niquia, avance 90%
7. Infraestructura de iluminacion tramo Hatillo-Barbosa, avance 99,5% 
Planeadas para vigencia 2014: 
1. Puente de Urquita, jurisdicción municipio de San Jerónimo</t>
  </si>
  <si>
    <t>2012050000317</t>
  </si>
  <si>
    <t>Construcción, mantenimiento y operación Conexión vial Aburrá - Oriente</t>
  </si>
  <si>
    <t>Vías nuevas construidas Conexión vial Aburrá – Oriente</t>
  </si>
  <si>
    <t>Vigencias 2012-2013:
Realización de estudios complementarios y avance en proceso de gestión social del proyecto</t>
  </si>
  <si>
    <t>Vías operadas y mantenidas anualmente Conexión vial Aburrá – Oriente</t>
  </si>
  <si>
    <t>52.4</t>
  </si>
  <si>
    <t>Se realiza de forma anual el mantenimiento rutinario a los 44 km de la Conexión vial Aburrá-Oriente + 4 km adicionales tramo doble calzada Las Palmas - Chuscalito los Balsos. Incluye servicios de policía de carreteras, ambulancia, grúa.</t>
  </si>
  <si>
    <t>Sitios críticos recuperados Conexión vial Aburrá – Oriente</t>
  </si>
  <si>
    <t>Vigencia 2013:
1. Punto crítico K6+300 de Santa Elena
2. Punto crítico K7+700 - K8+030 (El pingüino) Santa Elena
3. Punto crítico K15+580.  Santa Elena
En ejecución:
Rehabilitación de punto crítico a la altura del Colegio San Jose sobre la  doble calzada Las Palmas</t>
  </si>
  <si>
    <t>2012050000259</t>
  </si>
  <si>
    <t>Construcción operación y mantenimiento conexión vial Aburrá Río Cauca</t>
  </si>
  <si>
    <t>Vías rehabilitadas, mejoradas o mantenidas anualmente Conexión vial Aburrá - Río Cauca</t>
  </si>
  <si>
    <t>Se realiza de forma anual el mantenimiento rutinario de las vías de la conexión (35 km). A partir de 2012 se incluye contrato para mantenimiento rutinario y mecánico de la vía antigua (55 km), para un total de 90 km.
Señalización en 39 km de de la vía antigua
Se avanza en la intervención en 6 puntos críticos sobre la conexión</t>
  </si>
  <si>
    <t>Vías construidas Conexión vial Aburrá - Río Cauca</t>
  </si>
  <si>
    <t>Vigencia 2013:
Construcción de los 4,1 km de la Conexión vial Guillermo Gaviria Correa y obras complementarias. 
Contrato e Obra No. 2013-OO-20-0026  y contrato de Interventoria No.2013-SS-20-0030. Fecha de inicio, octubre 21 de 2013. Fecha estimada de terminación, octubre de 2015</t>
  </si>
  <si>
    <t>2010050000033</t>
  </si>
  <si>
    <t>Aburrá - Sur</t>
  </si>
  <si>
    <t>Obras realizadas en el desarrollo vial del Aburrá – Sur</t>
  </si>
  <si>
    <t xml:space="preserve">sin recursos 2013 pero con ejecución física
Vigencia 2012:
Puente La 80 Sur y terminación de puesta en servicio de la segunda fase puente 60 sur
Vigencia 2013:
Rehabilitación y repavimentación de la vía Ancón Sur - Mayorca 7,2 km.
En ejecución:
Mantenimiento periódico de la vía desde Ayurá hasta el puente de la 80 sur (Pilsen)
</t>
  </si>
  <si>
    <t xml:space="preserve"> Mantenimiento, recuperación y desarrollo de la Red Vial Secundaria (RVS)</t>
  </si>
  <si>
    <t>2012050000008</t>
  </si>
  <si>
    <t>Mantenimiento, rehabilitación y mejoramiento de la red vial secundaria RVS del Departamento de Antioquia</t>
  </si>
  <si>
    <t>Vías rehabilitadas de la RVS</t>
  </si>
  <si>
    <t>Vigencia 2012: 737 km
Incluye obras realizadas en el programa Colombia Humanitaria (26 tramos viales)
Vigencia 2013: 
Incluye obras realizadas con financiación mediante préstamo BID así:
BID fase 1 =  569,3 km 
BID Fase 2 = Avance 1125,1 km
EL indicador incluye 143, 1 km de estabilizaciones quimicas</t>
  </si>
  <si>
    <t>Vías mantenidas en la RVS</t>
  </si>
  <si>
    <t>Vigencia 2012:
2,343 km que incluyen 927 km por mantenimiento rutinario para las vías del Departamento y 1,416 km por mantenimiento mecánico
Vigencia 2013:
1,721 km mantenidos a la fecha en el marco de contratos de mantenimiento rutinario 2012-2013 más 725,5 km mantenidos en el marco de contratos de mantenimiento rutinario de mediano plazo 2013-2015
No incluye el indicador, los 2.427,6 km de mantenimiento manual reportados a la fecha y realizados en el marco de los contratos</t>
  </si>
  <si>
    <t>Vías mantenidas en la RVS (municipios priorizados - desplazados)</t>
  </si>
  <si>
    <t>Vigencia 2012:
155,4 km por mantenimiento rutinario para las vías del Departamento
370 km mantenidos a la fecha en el marco de contratos de mantenimiento rutinario 2012-2013 más 355,5 km mantenidos en el marco de contratos de mantenimiento rutinario de mediano plazo 2013-2015
No incluye el indicador, los 1.331,4 km de mantenimiento manual reportados a la fecha y realizados en el marco de los contratos</t>
  </si>
  <si>
    <t>Puntos críticos mitigados en RVS</t>
  </si>
  <si>
    <t>Vigencia 2012:
23 puntos críticos atendidos con soluciones estructurales sobre la RVS. No incluye la atención de 73 eventos de emergencia atendidos con remoción de derrumbes y mantenimiento mecánico
Vigencia 2013:
29 puntos críticos atendidos en el marco del contrato de Urgencia Manifiesta y de contratos de mantenimiento subregional
Vía Betulia - Urrao, K6+000, K7+900, K31+500
Vía Betania - El Tablazo - Puente Nuevo, K16+400
Vía El Líbano - La Ye , K0+700
Vía Támesis - Guayabal - Valparaiso , K9+400, K11+600
Vía La Cortada -Yolombo, K13+300
Vía Alto de Dolores - Maceo, K1+200, K1+400, K1+500, K1+550, K1+600, K2+850
Vía San Roque - Cristales - Caramanta, K19+000
Vía Manglar - Giraldo, K1+650
Vía Puente de occidente-Olaya-Liborina, K5+500, K7+600, K7+650, K7+850, K8+500, K11+600
Vía Pajarito-San Pedro de Los Milagros, K3+450, K10+700
Vía Puente Gavino-Gómez Plata, K12+100, K19+800
Vía San Rafael-San Carlos, K13+000
Vía La Piñuela-San Francisco, K0+600
Vía Sonsón - La Quiebra - Nariño, K14+800</t>
  </si>
  <si>
    <t>Mantenimiento, recuperación y desarrollo de la Red Vial Secundaria (RVS)</t>
  </si>
  <si>
    <t>201205SGR0021</t>
  </si>
  <si>
    <t>Habilitación de circuitos viales subregionales en Antioquia para potenciar la conectividad y accesibilidad del Departamento.</t>
  </si>
  <si>
    <t>Mantenimiento y/o rehabilitación en los circuitos viales</t>
  </si>
  <si>
    <t>Los circuitos viales son una iniciativa de conectividad intra y supra subregional. Durante la vigencia 2012 se avanzó en la viabilización de recursos para el proyecto ante el Sistema General de Regalías
Vigencia 2013:
Etapa 1: plazo de ejecución agosto 2013 - agosto 2014, inversión de 64,500 millones.
Avance 2013 = 104,7 km
Etapa 2: inversión 77,500 millones plazo de ejecución enero 2014 - julio 2015</t>
  </si>
  <si>
    <t>2012050000213</t>
  </si>
  <si>
    <t>Recuperación de la malla víal del departamento de Antioquia PVIE BID - OBRA</t>
  </si>
  <si>
    <t>Por requerimiento del Banco Interamericano de Desarrolo, BID, se inscribió en el banco de proyectos departamental el proyecto con código 2012050000213, el cual corresponde a la descripción de las actividades financiadas con recursos del emprestito BID. Las actividades alimentan el indicador "Vías rehabilitadas", por lo que los resultados se presentan como asociados a dicho indicador en el proyecto 2012050000008 
Vigencia 2012: 737 km
Incluye obras realizadas en el programa Colombia Humanitaria (26 tramos viales)
Vigencia 2013: 
Incluye obras realizadas con financiación mediante préstamo BID así:
BID fase 1 =  569,3 km 
BID Fase 2 = Avance 1125,1 km
EL indicador incluye 143, 1 km de estabilizaciones quimicas</t>
  </si>
  <si>
    <t>Recuperación de la malla víal del departamento de Antioquia PVIE BID - INTERVENTORIA</t>
  </si>
  <si>
    <t>Por requerimiento del Banco Interamericano de Desarrolo, BID, se inscribió en el banco de proyectos departamental el proyecto con código 2012050000213, el cual corresponde a la descripción de las actividades de interventoría financiadas con recursos del emprestito BID. Las actividades alimentan el indicador "Vías rehabilitadas", por lo que los resultados se presentan como asociados a dicho indicador en el proyecto 2012050000008 
Vigencia 2012: 737 km
Incluye obras realizadas en el programa Colombia Humanitaria (26 tramos viales)
Vigencia 2013: 
Incluye obras realizadas con financiación mediante préstamo BID así:
BID fase 1 =  569,3 km 
BID Fase 2 = Avance 1125,1 km
EL indicador incluye 143, 1 km de estabilizaciones quimicas</t>
  </si>
  <si>
    <t>2012050000168</t>
  </si>
  <si>
    <t>Construcción y pavimentación de las vías en la RVS</t>
  </si>
  <si>
    <t>Vías de la RVS pavimentadas</t>
  </si>
  <si>
    <t>Vigencia 2012:
Incluye 54.4 km pavimentados durante 2012 con recursos de la misma vigencia, asociados a la terminación de proyectos suscritos en administraciones previas. 
Granada-San Carlos, 11 km
Sonsón-La Quiebra, 9 km
La Quiebra-Argelia, 2.5 km
Nariño-La Quiebra, 2.5 km
San Antonio-Alto El Chuscal, 2 km
Caldas-Angelopolis, 14,1 km
San Jerónimo Poleal-San Pedro de los Milagros, 7 km
La S-Campamento, 2 km
La Y - Valdivia, 1.3 km
San José del Nus - Caracolí, 3 km
Vigencia 2013: 
Vía La Bodega-Tarso-Pueblorrico, 0,5 km
Incluye los km mantenidos con obras de parcheos y los km mejorados con tratamientos superficiales de doblerriego
Parcheos en RVS: 146,2 km</t>
  </si>
  <si>
    <t>Vías de la RVS pavimentadas o construidas Municipios priorizados</t>
  </si>
  <si>
    <t>Vigencia 2012:
Incluye 27 km pavimentados en municipios prioprizados por desplazamiento, durante 2012 con recursos de la misma vigencia, asociados a la terminación de proyectos suscritos en administraciones previas. 
Granada-San Carlos, 11 km
Sonsón-La Quiebra, 9 km
La Quiebra-Argelia, 2.5 km
Nariño-La Quiebra, 2.5 km
San Antonio-Alto El Chuscal, 2 km
Vigencia 2013: 
Incluye los km mantenidos con obras de parcheos y los km mejorados con tratamientos superficiales de doblerriego
Parcheos en RVS que conecta municipios desplazados: 62,2 km</t>
  </si>
  <si>
    <t>2012050000019</t>
  </si>
  <si>
    <t>Mantenimiento, rehabilitación, mejoramiento y construcción de puentes de la red vial secundaria RVS en el Departamento de Antioquia</t>
  </si>
  <si>
    <t>Puentes mantenidos</t>
  </si>
  <si>
    <t>Vigencia 2012:
Puente Gabino
Puente Carlos Lleras Restrepo
Vigencia 2013: 
Puente entrada al municipio de Titiribí
Puente 
Inició proceso precontractual para el mantenimiento y rehabilitación integral de Puente de Occidente. Adjudicación programada, noviembre de 2013</t>
  </si>
  <si>
    <t>Puentes construidos</t>
  </si>
  <si>
    <t xml:space="preserve">Vigencia 2012:
Puente Alejandría, municipio Alejandría
Puente Tafetanes, municipio Granada
Puente Vahito, municipio Granada
Puente El Aquilon, municipio Peque
Puente Tachoelala, municipio Heliconia
Puente K14+00 vía Alto del Chuscal-Heliconia, municipio Heliconia
Puente Sabaletas, K21+100, municipio Valparaíso
Puente quebrada San Lorenzo K22+060, municipio Yolombó
Puente K20+950, vía Porcesito - El Mango, municipio Amalfi
</t>
  </si>
  <si>
    <t>2013050000002</t>
  </si>
  <si>
    <t>Rehabilitación y mantenimiento de vías específicas con recursos del Peaje Pajarito en la Subregión Norte del Departamento de Antioquia</t>
  </si>
  <si>
    <t>Como requisito para el tramite de la Ordenanza 41 (17 de diciembre de 2012) aprobada por la Honorable Asamblea Departamental, debió registrarse en el Banco de proyectos departamental, el proyecto 2013050000002, en el cual se describen las activiidades y recursos de inversión recaudados en el peaje pajarito, con destinación específica a las vías de influencia directa. Los productos de los contratos realizados se asocian a los indicadores de producto del proyecto 2012050000008 "Mantenimiento, rehabilitación y mejoramiento de la red vial secundaria RVS del Departamento de Antioquia"</t>
  </si>
  <si>
    <t>2012050000198</t>
  </si>
  <si>
    <t>Renovación y aumento de la señalización en las vías de la red vial secundaria en el Departamento de Antioquia</t>
  </si>
  <si>
    <t>Vías señalizadas RVS</t>
  </si>
  <si>
    <t>Vigencia 2012:
Incluye señalización en los 54.4 km pavimentados.
Vigencia 2013:
Incluye señalización en los 22 km asociados a la repavimentación de la vía Jericó-Canaan-Jamaica
En ejecución:
Contrato para señalización informativa vertical, señales SI04 y SI05. plazo sept 2013-enero 2014. Avance 2013, 680 km. Programado 2014, 3,900 km</t>
  </si>
  <si>
    <t>5.3.3 Infraestructura para el desarrollo sostenible de las comunidades locales</t>
  </si>
  <si>
    <t xml:space="preserve"> Cofinanciación de proyectos a nivel subregional y/o local</t>
  </si>
  <si>
    <t>2012050000204</t>
  </si>
  <si>
    <t>Apoyo al sistema de cofinanciación la intervención de vías terciarias</t>
  </si>
  <si>
    <t>Vías terciarias intervenidas por sistema de cofinanciación</t>
  </si>
  <si>
    <t>Programa de apoyo con maquinaria para el mantenimiento de vías terciarias de municipios
Vigencia 2012:
Convenio de alquiler de maquinaria 2012-CF-20-034. resultados equivalentes a 493,6 km en 35 municipios
Vigencia 2013:
De una meta de 850,4 km de mantenimiento, con convenios suscritos, se avanzó en 772,7 km en 49 municipios. Durante el primer semestre de 2014 se completarán los restantes 77 km en 10 municipios al mismo tiempo que se inicia con el programa 2014.</t>
  </si>
  <si>
    <t>Vías terciarias intervenidas por sistema de cofinanciación (en los municipios priorizados - desplazados)</t>
  </si>
  <si>
    <t>Programa de apoyo con maquinaria para el mantenimiento de vías terciarias de municipios. Los datos específicos para municipios priorizados por desplazamiento
Vigencia 2012:
Convenio de alquiler de maquinaria 2012-CF-20-034. resultados equivalentes a 253 km en 21 municipios
Vigencia 2013:
De una meta de 850,4 km de mantenimiento, con convenios suscritos, se incluyen 21 municipios priorizados por desplazamiento equivalentes a una meta de 410,6 km ejecutados en su totalidad durante 2013</t>
  </si>
  <si>
    <t>2012050000295</t>
  </si>
  <si>
    <t>Apoyo al mejoramiento de vías urbanas en algunos municipios del departamento de Antioquia</t>
  </si>
  <si>
    <t>Vías urbanas intervenidas por sistema de cofinanciación</t>
  </si>
  <si>
    <t xml:space="preserve">Programa de apoyo con sacos de cemento a la pavimentación municipal de vías urbanas
Vigencia 2012:
36 municipios, 65,345 sacos de cemento, 17,5 km
Vigencia 2013:
112 municipios con convenios 2013 para ejecución de obra. 
En ejecución 85 municipios para un avance de 15,8 km de vías urbanas pavimentadas. 66,7 km  de meta de pavimentación para los 112 convenios suscritos con finalización de obra programada para primer trimestre de 2014. </t>
  </si>
  <si>
    <t>2012050000211</t>
  </si>
  <si>
    <t>Mejoramiento de parques en algunos municipios del Departamento de Antioquia</t>
  </si>
  <si>
    <t>Parques municipales intervenidos por sistema de cofinanciación</t>
  </si>
  <si>
    <t>Se incorporaron recursos para la liquidación de contrato suscrito en 2009 para la realización de obras de remodelación de la Plazuela Henao del muncipio de Sonsón</t>
  </si>
  <si>
    <t>2012050000212</t>
  </si>
  <si>
    <t>Apoyo a la construcción, mantenimiento y rehabilitaciónde puentes en la red vial terciaria del Departamento de Antioquia</t>
  </si>
  <si>
    <t>Puentes intervenidos por sistema de cofinanciación</t>
  </si>
  <si>
    <t>Vigencia 2012:
Puente colgante vehicular, río Sanjuancito, Municipio San Juan de Urabá
Puente K7+00 sector El Dos-El Tres, municipio Turbo
Puente K18+00 vía El TRes-San Pedro</t>
  </si>
  <si>
    <t>2012050000312</t>
  </si>
  <si>
    <t>Apoyo a los municipios para el mantenimiento de la Red Vial Terciaria Caminos de Herradura</t>
  </si>
  <si>
    <t>No tiene indicador en el plan de desarrollo</t>
  </si>
  <si>
    <t>Se celebró convenio con el municipio de Peque para el mantenimiento y construcción de obras en camino de herradura. El municipio realizó los procesos de contratación con juntas de acción comunal. La obra se terminó durante la vigencia 2013</t>
  </si>
  <si>
    <t xml:space="preserve"> Mantenimiento, mejoramiento y operación de los cables</t>
  </si>
  <si>
    <t>2012050000111</t>
  </si>
  <si>
    <t xml:space="preserve">Mantenimiento, mejoramiento y operación de los Cables aéreos fuera del valle de Aburrá </t>
  </si>
  <si>
    <t>Cables operados, mantenidos y/o mejorados por año en Antioquia</t>
  </si>
  <si>
    <t>Vigencia 2012:
6 cables operaron durante la vigencia 2012. El cable de Argelia estuvo cerrado al público
Vigencia 2013:
6 cables con operación durante la vigencia 2013. Los cables de Jericó y Yarumal tuvieron cierres temporales durante el primer semestre. 
El cable de Argelia se abrirá al público en diciembre de 2013.
A partir de enero de 2013 se desarrolla el contrato de Urgencia Manifiesta para atención integral de los 7 cables debido a la emergencia del cable de Jericó. Inició el proceso precontractual para la licitación (obra e interventoría) del mantenimiento y operación de los 6 cables aéreos a cargo del Departamento 2014-2015.
 El cable Sopetrán no es a cargo del Departamento</t>
  </si>
  <si>
    <t>2012050000242</t>
  </si>
  <si>
    <t xml:space="preserve">Apoyo a proyectos nuevos de infraestructura de protección en algunos municipios del Departamento de Antioquia </t>
  </si>
  <si>
    <t>Proyectos de infraestructura nuevos construidos por sistema de cofinanciación</t>
  </si>
  <si>
    <t xml:space="preserve">Consultoría para la estructuración y viabilización de la estrategia de gestión, administración y articulación integral de la información primaria vial en Antioquia </t>
  </si>
  <si>
    <t>Estudios</t>
  </si>
  <si>
    <t>En ejecución proyecto para el diseño (2013) y operación (2014-2015) de un centro de control para la gestión de la información primaria vial como estrategia de mantenimiento y actualización continua de la información. Se avanza en contrato de estructuración que inició en septiembre 2013. Durante todo el año se avanzó en la consolidación de la propuesta, marco conceptual y propuesta contractual</t>
  </si>
  <si>
    <t>Estudios para desarrollar bases de datos que faciliten la planeación y reporte de información de la gestión en infraestructura</t>
  </si>
  <si>
    <t xml:space="preserve">Se desarrollo un contrato (obra e interventoría) para el levantamiento del inventario vial de 1,700 km (33% aprox) a cargo del Departamento, el cual permitió completar la longitud total con inventario detallado. </t>
  </si>
  <si>
    <t>Desarrollo y operación de centro de gestión de información primaria vial</t>
  </si>
  <si>
    <t>Compilación y formulación de protocolos para la gestión de la información primaria vial. Información de línea base 2012 y 2013 levantada para las intervenciones por vía</t>
  </si>
  <si>
    <t>Elaboración de los planes viales subregionales participativos, PVSP para 7 subregiones de Antioquia y homologación de Magdalena Medio. Investigación aplicada</t>
  </si>
  <si>
    <t>Se avanza en la ejecución de los planes viales subregionales participativos para 8 subregiones (incluye homologación del Plan del Magdalena Medio), suscritos en diciembre de 2012, contrato No. 2012-SS-20-0149, inversión  $1.800 millones. Entrega de productos primer semestre 2014.</t>
  </si>
  <si>
    <t>Profesional universitario</t>
  </si>
  <si>
    <t>Los temporales se posesionaron el 24 de junio de 2013</t>
  </si>
  <si>
    <t>Consultoría para la construcción de plan de infraestructura y movilidad del Departamento a 2030, con consideraciones de integración multimodal y conectividad intra y supra departamental.</t>
  </si>
  <si>
    <t>Se viabilizó la elaboración de 4 estudios que configuran la construcción del Plan de Movilidad: Consultoría para elaboración del Plan, Consultoría para elaboración de la Encuesta Origen-Destino y Proyecto de estudios avanzados de política, regulación, gobernanza y financiación para la construcción de instrumentos de ejecución del plan escenarios 2030 de la infraestructura, el transporte y la movilidad e investigación histórica sobre la evolución de la infraestructura en el Departamento. Los contratos iniciaron ejecución en el segundo semestre de 2013. Todos los proyectos se amparan con vigencia futura ordinaria 2013-2014 y su ejecución continua durante la vigencia 2014</t>
  </si>
  <si>
    <t>Estudio aplicado al área de planeación en infraestructura de transporte</t>
  </si>
  <si>
    <t>Se apropiaron $150.392.000 millones para el proyecto "Propuesta metodológica para la gestión integral socioambiental de proyectos de infraestructura", desarrollado como una proyecto de investigación en Convenio con la Fac. de Minas de UNALMED. Valor total del convenio 930 millones de pesos. Valor aportes de la Gobernación de Antioquia, $500.000.000 millones de pesos. Acta de Inicio 16 de agosto de 2013.</t>
  </si>
  <si>
    <t>Investigación aplicada para el  estudio, selección y estructuración de sistemas tecnológicos alternativos de estabilización, endurecimiento y/o pavimentación de rasantes en pruebas piloto en Antioquia</t>
  </si>
  <si>
    <t>Objetivo 2 Investigación aplicada viabilizada ante el OCAD de ciencia y tecnología del SGR 2012.Se avanza en la ejecución del Convenio con UdeA por un valor total de $4.066.034.352. Acta de inicio Agosto de 2013. Plazo de ejecución 2013-2014</t>
  </si>
  <si>
    <t>Investigación aplicada para el  estudio, selección y estructuración de sistemas tecnológicos alternativos de estabilización de taludes con estructuras biomecanicas en pruebas piloto en Antioquia</t>
  </si>
  <si>
    <t>Objetivo 1 Investigación aplicada viabilizada ante el OCAD de ciencia y tecnología del SGR 2012. Se avanza en la ejecución del Convenio con CIPAV por un valor total de $926.929.543. Acta de inicio Agosto de 2013. . Plazo de ejecución 2013-2014</t>
  </si>
  <si>
    <t>Investigación aplicada para el  estudio, selección y estructuración de sistemas tecnológicos alternativos de protección vegetal de taludes para prevencion de la erosión en pruebas piloto en Antioquia</t>
  </si>
  <si>
    <t>estudios</t>
  </si>
  <si>
    <t>Objetivo 3 Investigación aplicada viabilizada ante el OCAD de ciencia y tecnología del SGR 2012. Se avanza en la ejecución del Convenio con Unalmed por un valor total de $481.262.104. Acta de inicio Agosto de 2013. . Plazo de ejecución 2013-2014</t>
  </si>
  <si>
    <t>Investigación Desarrollo de diseños arquitectónicos y técnicos para soluciones de vivienda a bajo costo en sistemas de hormigón y tierra cruda en el departamento de Antioquia</t>
  </si>
  <si>
    <t>Investigación aplicada viabilizada ante el OCAD de ciencia y tecnología del SGR 2013-2014 . Convenio suscrito en 2013. Inicia ejecución en 2014. Valor total  $3,200,000</t>
  </si>
  <si>
    <t>Saneamiento y legalización de fajas prediales</t>
  </si>
  <si>
    <t>Consultoría para la realización del estudio de prefactibilidad para determinar el cobro de valorización en proyectos viales de la Secretaría de Infraestructura Física</t>
  </si>
  <si>
    <t>Se realizaron los siguientes estudios de prefactibilidad
1. Prefactibilidad de valorización para las vías de la T de la Leche, subregión Norte, Cto 2013-SS-20-0022
2. Prefactibilidad de valorización para las vía Puerto Nare-Pto Triunfo, Cto 4600000542
3. Factibilidad de valorización para el proyecto Circuito de los Embalses, realizado en el marco del estudio de estructuración del proyecto</t>
  </si>
  <si>
    <t>Fortalecimiento institucional para la implementación de la estrategia de Banco de Costos en la Secretaría de Infraestructura Física</t>
  </si>
  <si>
    <t>profesional universitario</t>
  </si>
  <si>
    <t>Los temporales se posesionaron a partir del 24 de junio de 2013</t>
  </si>
  <si>
    <t>Estructuración técnica, legal y financiera para la viabilización del proyecto vial Circuito de los Embalses en el Departamento de Antioquia</t>
  </si>
  <si>
    <t>Se viabilizó el Convenio con el FONADE para la realización de los estudios de estructuración del proyecto. Durante el primer semestre se tramitó la vigencia Futura ante la H. Asamblea Departamental y el proyecto inició en el mes de junio de 2013</t>
  </si>
  <si>
    <t>Fortalecimiento Institucional para el seguimiento y apropiación de los estudios, diseños, actualizaciones, auditorías, asesorías y estructuraciones de infraestructura  física realizados.</t>
  </si>
  <si>
    <t>Apoyo a la gestión y fortalecimiento institucional con 2 profesionales</t>
  </si>
  <si>
    <t>Estudios y diseños técnicos necesarios para intervenir la red vial secundaria</t>
  </si>
  <si>
    <t>Se apropiaron recursos para la suscripción de convenios y contratos para la elaboración de estudios como la metodología de gestión socioambiental para obras de infraestructura,entre otros
En ejecución:
1. Estructuración técnica legal y financiera para el proyecto Ruta de los embalses.
2. Evaluación final de impacto del contrato BID
3. Plan Vial Departamental viabilizado
4. Centro de control de la información primaria vial</t>
  </si>
  <si>
    <t>Elaboración de la guía socioambiental del Departamento de Antioquia para obras de infraestructura</t>
  </si>
  <si>
    <t>Se viabilizó la realización del proyecto de investigación llamado "Propuesta metodológica para la gestión integral socioambiental de proyectos de infraestructura" en Convenio con la Fac. de Minas de UNALMED por un valor total de 930 millones de pesos. Acta de Inicio 16 de agosto de 2013</t>
  </si>
  <si>
    <t>Fortalecimiento Institucional para el seguimiento de programa PVIE - BID</t>
  </si>
  <si>
    <t>Fortalecimiento institucional con contratación de los seguimientos profesionales 
3 Ingenieros seguimiento obra
1 Coordinador tecnico de ingenieros seguimiento obra
1 Sistemas de información
4 planeación señalización
4 profesionales de la unidad coordinadora del contrato BID</t>
  </si>
  <si>
    <t>Consultoría Evaluación del programa PVIE - BID</t>
  </si>
  <si>
    <t>Se avanzó en la formulación del proyecto guía para la Evaluación Final y la selección del Consultor. El proyecto no inició durante la vigencia 2013. Elcontrato de prestámo fue prorrogado hasta el 16 diciembre de 2014. Así, la evaluación final se realizará durante 2014</t>
  </si>
  <si>
    <t>Realización de auditoría financiera 2012 Y 2013 externa al programa PVIE - BID</t>
  </si>
  <si>
    <t>Auditoría financiera vigencia 2012 (feb-junio 2013)
Auditoría financiera vigencia 2013 (nov 2013-junio 2014)</t>
  </si>
  <si>
    <r>
      <t>2013050000023</t>
    </r>
    <r>
      <rPr>
        <sz val="10"/>
        <color rgb="FF222222"/>
        <rFont val="Arial"/>
        <family val="2"/>
      </rPr>
      <t> </t>
    </r>
  </si>
  <si>
    <r>
      <t>183023</t>
    </r>
    <r>
      <rPr>
        <sz val="10"/>
        <color rgb="FF222222"/>
        <rFont val="Arial"/>
        <family val="2"/>
      </rPr>
      <t> </t>
    </r>
  </si>
  <si>
    <t>Construcción de las autopistas para la prosperidad </t>
  </si>
  <si>
    <t>Proyecto Autopistas para la Prosperidad acordado entre las partes e inicio de su construcción.</t>
  </si>
  <si>
    <t>Fortalecimiento institucional para la implementación de la estrategia de Seguimiento a las vías nuevas, mejoradas y/o rehabilitadas por el Gobierno Nacional en Antioquia</t>
  </si>
  <si>
    <t>Mejoramiento y otros vía EL TRES - San Pedro de Uraba</t>
  </si>
  <si>
    <t>Los recursos derivados del Convenio de cooperación INVIAS - Gobernación no fueron desembolsados durante la vigencia 2013. Serán desembolsados en enero 2014. La ejecución de los mismos se realizará durante 2014</t>
  </si>
  <si>
    <t>Estudios y otros vía Riosucio (Choco) - Bajirá-Caucheras </t>
  </si>
  <si>
    <t>Obras de protección</t>
  </si>
  <si>
    <t>Construcción obra Intercambio vial Girardota, obra e interventoría</t>
  </si>
  <si>
    <t>Proyecto con vigencia futura aprobada 2013-2014. Obra en ejecución</t>
  </si>
  <si>
    <t>Construcción obra Puente Fundadores, obra e interventoría</t>
  </si>
  <si>
    <t>Construcción obras Puentes Peatonales Candó y Bodegas del Norte, obra e interventoría</t>
  </si>
  <si>
    <t>Construcción de obras de mitigación Fallo de Ancón, obra e interventoría</t>
  </si>
  <si>
    <t>Atención de puntos críticos</t>
  </si>
  <si>
    <t>Construcción obras de mitigación sitios críticos Vía Santa Elena. Obra e interventoría</t>
  </si>
  <si>
    <t>Inversión Túnel de Oriente. Incorporación de aportes al contrato de concesión No. 97-CO-20-1811, celebrado para el Desarrollo de la Conexión Vial Aburrá - Oriente, siscrito entre el Departamento de Antioquia y la Concesión Túnel Aburrá Oriente S.A.</t>
  </si>
  <si>
    <t>Mantenimiento Doble Calzada Las Palmas y vía Santa Elena. Incorporación de aportes al contrato de concesión No. 97-CO-20-1811 (otrosí No. 14)</t>
  </si>
  <si>
    <t>Construcción 4,1 km y obras complementarias (Incorporación de aportes al Convenio Interadministrativo 0583/96)</t>
  </si>
  <si>
    <t>Se avanza en el proceso de adjudicación, a cargo del Departamento para  la construcción de los 4,1 km y obras complementarias. Fecha estimada de inicio de obra, septiembre de 2013</t>
  </si>
  <si>
    <t>Construcción obras de mitigación en sitios críticos antigua vía el mar, obra e interventoría</t>
  </si>
  <si>
    <t># puntos críticos</t>
  </si>
  <si>
    <t>7 puntos críticos atendidos en la antigua vía al mar</t>
  </si>
  <si>
    <t>sin recursos 2013 pero con ejecución física</t>
  </si>
  <si>
    <t>Mejoramiento y pavimentación tramo Ancón Sur-Mayorca</t>
  </si>
  <si>
    <t>Rehabilitación y repavimentación de la vía Ancón Sur - Mayorca 7,2 km.</t>
  </si>
  <si>
    <t>Contratos de mantenimiento rutinario en las subregiones de Antioquia. Obra e interventoría</t>
  </si>
  <si>
    <t xml:space="preserve">1,721 km mantenidos a la fecha en el marco de contratos de mantenimiento rutinario 2012-2013 </t>
  </si>
  <si>
    <t>Contratos de mantenimiento, rehabilitación y mejoramiento de la red vial secundaria en las subregiones de Antioquia. Obra e interventoría</t>
  </si>
  <si>
    <t>725,5 km mantenidos en el marco de contratos de mantenimiento rutinario de mediano plazo 2013-2015
No incluye el indicador, los 2.427,6 km de mantenimiento manual reportados a la fecha y realizados en el marco de los contratos</t>
  </si>
  <si>
    <t>Obras de mitigación a puntos críticos</t>
  </si>
  <si>
    <t>Vigencia 2013:
29 puntos críticos atendidos en el marco del contrato de Urgencia Manifiesta y de contratos de mantenimiento subregional</t>
  </si>
  <si>
    <t>Atención a emergencias por derrumbe en la red vial secundaria</t>
  </si>
  <si>
    <t>Fortalecimiento institucional para el seguimiento, supervisión y verificación en campo del cumplimiento de las obras</t>
  </si>
  <si>
    <t>profesional</t>
  </si>
  <si>
    <t>Apoyo a la gestión y fortalecimiento institucional con profesionales</t>
  </si>
  <si>
    <t>Cannán-Jericó</t>
  </si>
  <si>
    <t>Se inició el proceso precontractual para la rehabilitación y reparcheo de la vía Canaán-Jericó. Inicia ejecución en 2014. Recursos de INVIAS</t>
  </si>
  <si>
    <t>Rehabilitación de circuitos viales subregionales 2012. Contratos de mantenimiento, rehabilitación y mejoramiento de la red vial secundaria en las subregiones de Antioquia. Obra e interventoría</t>
  </si>
  <si>
    <t>Elaboración de documentación de estrategias de planeación para los circuitos viales subregionales 2012</t>
  </si>
  <si>
    <t>Se avanza en la suscripción de contrato de operador social 2014-2015 que incluye entre sus alcances la realización de esta actividad</t>
  </si>
  <si>
    <t>Contratos de obra para el mantenimiento, rehabilitación de tramos viales BID Fase 1.</t>
  </si>
  <si>
    <t>Se ejecutaron al 100% todas las obras de rehabilitación financiadas con recursos de prestamo BID durante el primer semestre de 2013 (BID fase 1) equivalentes a 569,3 km. 7 contratos de obra</t>
  </si>
  <si>
    <t>Contratos de obra para el mantenimiento, rehabilitación de tramos viales BID Fase 2.</t>
  </si>
  <si>
    <t>Se contrataron 9 proyectos de obra (BID fase 2), de los cuales se ejecutaron 7 al 100% y 2 terminan durante el mes de enero de 2014. ) equivalentes a 1.125,1  km</t>
  </si>
  <si>
    <t>Contratos de interventoría para el seguimiento a las obras de mantenimiento, rehabilitación de tramos viales BID Fase 1.</t>
  </si>
  <si>
    <t>Se ejecutaron al 100% todas las obras de rehabilitación financiadas con recursos de prestamo BID durante el primer semestre de 2013 (BID fase 1) equivalentes a 569,3 km. 7 contratos de interventoría</t>
  </si>
  <si>
    <t>Contratos de interventoría para el seguimiento a las obras de mantenimiento, rehabilitación de tramos viales BID Fase 2.</t>
  </si>
  <si>
    <t>Se contrataron 8 proyectos de interventoría (BID fase 2), de los cuales se ejecutaron 7 al 100% y 1 terminan durante el mes de febrero de 2014. ) equivalentes a 1.125,1  km</t>
  </si>
  <si>
    <t>puentes mantenidos</t>
  </si>
  <si>
    <t>Los recursos están apropiados para los contratos de mantenimiento, rehabilitación y mejoramiento de la red vial secundaria en las subregiones de Antioquia. Se adjudicaron los días 20 y 21 de agosto de 2013
En indicadores físicos de asociados a la construcción, rehabilitación y/o mantenimiento de puentes se cuentan a junio 30 las obras del Puente Carlos Lleras Restrepo sobre el río Cauca, municipio de Caucasia y el Puente en la entrada al municipio de Titiribí realizado en el marco del contrato de mantenimientos subregional Suroeste del primer semestre</t>
  </si>
  <si>
    <t>km pavimentados (doble riego)</t>
  </si>
  <si>
    <t>Los recursos están apropiados para los contratos de mantenimiento, rehabilitación y mejoramiento de la red vial secundaria en las subregiones de Antioquia. Se adjudicaron los días 20 y 21 de agosto de 2013</t>
  </si>
  <si>
    <t>km reparcheos</t>
  </si>
  <si>
    <t>Parcheos en RVS: 146,2 km</t>
  </si>
  <si>
    <t>Mejoramiento y rehabilitación de las vías La Yé-Belmira (código 62AN18-2) y Pajarito-San Pedro de los Milagros-Entrerrios-Santa Rosa de Osos (código 62AN18) (sector Entrerrios-Santa Rosa de Osos) en la subregión Norte del Departamento de Antioquia</t>
  </si>
  <si>
    <t>Producción e instalación de la señalización vertical informativa para la red vial a cargo del departamento de Antioquia</t>
  </si>
  <si>
    <t>Vigencia 2012:
Incluye señalización en los 54.4 km pavimentados.
Vigencia 2013:
Incluye señalización en los 22 km asociaos a la repavimentación de la vía Jericó-Canaan-Jamaica
En ejecución:
Contrato para señalización informativa vertical, señales SI04 y SI05. plazo sept 2013-enero 2014. Avance 2013, 680 km. Programado 2014, 3,900 km</t>
  </si>
  <si>
    <t>Mantenimiento mecánico y atención de emergencias por derrumbe en vías terciarias</t>
  </si>
  <si>
    <t>Cofinanciación en obras de pavimentación de vías urbanas y obras de urbanismo complementarias</t>
  </si>
  <si>
    <t>Mejoramiento de parques  en algunos municipios del Departamento de Antioquia</t>
  </si>
  <si>
    <t>Ejecución de actividades para el mejoramiento de parques</t>
  </si>
  <si>
    <t>Mantenimiento mecánico al camino de herradura en el muncipio de Peque</t>
  </si>
  <si>
    <t>Se celebró convenio con el municipio de Peque el cual realizó los procesos de contratación con juntas de acción comunal. La obra se terminó durante la vigencia 2013</t>
  </si>
  <si>
    <t>Estructuración del sistema de operación y mantenimiento integral de los cales aéreos a cargo del Departamento de Antioquia</t>
  </si>
  <si>
    <t>No se realizó dada las necesidades de realización del contrato de Urgencia Manifiesta</t>
  </si>
  <si>
    <t>Contrato integral para la operación y mantenimiento de los cables aéreos a cargo del Departamento de Antioquia</t>
  </si>
  <si>
    <t>cables</t>
  </si>
  <si>
    <t>Realización de Evaluación, diagnóstico, puesta a punto, actualización técnica y tecnológica, operación de pruebas y capacitación en atención de emergencia de los municipios de Jardín (408M), Jericó (710M), Yarumal (245M), Municipio de Sopetrán, San Andrés de Cuerquia (2132M), Nariño (2798M) y Argelia (2100M) y demás actividades requeridas para superación de la emergencia.</t>
  </si>
  <si>
    <t>Contrato</t>
  </si>
  <si>
    <t>A partir de enero de 2013 se desarrolla el contrato de Urgencia Manifiesta para atención integral de los 7 cables debido a la emergencia del cable de Jericó. Inició el proceso precontractual para la licitación (obra e interventoría) del mantenimiento y operación de los 6 cables aéreos a cargo del Departamento 2014-2015.
 El cable Sopetrán no es a cargo del Departamento</t>
  </si>
  <si>
    <t>contrato para la construcción de obras de mitigacion, proteccion y/o restauracion hidraulica para proteccion de vias a cargo del Departamento</t>
  </si>
  <si>
    <t>El proyecto no se viabilizó al no ser posible validar la modalidad de contratación con juntas de acción comunal municipales</t>
  </si>
  <si>
    <t>Tiempo total real  (Días)</t>
  </si>
  <si>
    <t>Departamento Administrativo de Planeación</t>
  </si>
  <si>
    <t>VARIACIÓN DE RECURSOS  FINANCIEROS SEMESTRE 1 
(Pesos)</t>
  </si>
  <si>
    <t xml:space="preserve"> Implementación de la Gestión para Resultados en la Gobernación - Presupuesto para Resultados (Alianza Medellín Antioquia)</t>
  </si>
  <si>
    <t>2009050000017</t>
  </si>
  <si>
    <t>221093-001</t>
  </si>
  <si>
    <t xml:space="preserve">Gestión para resultados GpR para el Departamento de Antioquia </t>
  </si>
  <si>
    <t>Implementación del presupuesto por resultados en la Gobernación de Antioquia</t>
  </si>
  <si>
    <t>Se adelantó el Concurso de Méritos y se seleccionó al Consorcio F&amp;N para iniciar la implementación del Presupuesto por Resultados en la Gobernación. Pero fue necesario realizar la cesión del Contrato en septiembre, el nuevo contratista entregó el Plan de trabajo, el diagnóstico actualizado y el modelo técnico preliminar. La implementación de los dos pilotos se hará durante el 2014, con las Secretarías de Educación e Infraestructura.</t>
  </si>
  <si>
    <t>2008050000059</t>
  </si>
  <si>
    <t>220078-001</t>
  </si>
  <si>
    <t xml:space="preserve">Implementación de sistemas de monitoreo y evaluación de la gestión  departamental y municipal y bancos de proyectos en el Departamento de Antioquia </t>
  </si>
  <si>
    <t>El sistema Omega tenía un avance a junio 30 de un 24%. En lo financiero la variación es negativa debido a los traslados realizados a la Secretaría de Gestión Humana y a la Dirección de Catastro.</t>
  </si>
  <si>
    <t>2012050000125</t>
  </si>
  <si>
    <t>222125-001</t>
  </si>
  <si>
    <t>Fortalecimiento del sistema de información de la Dirección de Sistemas de indicadores para el Departamento de Antioquia</t>
  </si>
  <si>
    <t>El sistema de indicadores tenía un avance a septiembre 30 de un 22%. En lo financiero la variación es negativa debido a los traslados realizados a las diferentes direcciones de planeación</t>
  </si>
  <si>
    <t>2012050000332</t>
  </si>
  <si>
    <t>222332-001</t>
  </si>
  <si>
    <t>Sistematización de la información espacial del Departamento de Antioquia</t>
  </si>
  <si>
    <t>El sistema de información espacial del departamento tenía un avance a septiembre 30 de un 0 %. En lo financiero la variación es positiva debido a los traslados recibidos por el tema de vigencias futuras de la OVC.</t>
  </si>
  <si>
    <t>Fortalecimiento de la transparencia y la gestión institucional, administrativa, financiera y fiscal del municipio</t>
  </si>
  <si>
    <t>Municipios con herramientas de la gestión por resultados implementadas</t>
  </si>
  <si>
    <t>Se realizaron las visitas programadas a 9 municipios nuevos en el tema de gestión para resultados:  Amalfí, Andes, Apartadó, Arboletes, Ciudad Bolivar, Uramita,Vegachí y Pueblorrico.
Se prestó también acompañamiento técnico a 19 municipios que ya han sido atendidos en años anteriores, se exceptúa el Municipio de Amagá, por dificultades para atender al Consultor asignado.
En lo financiero, la variación negativa se explica en los traslados realizados por valor de $20.261.257  a Comunicaciones y a la Dirección de Análisis y Diseño Organizacional y se adicionaron recursos por valor de $8.966.649</t>
  </si>
  <si>
    <t>2012050000118</t>
  </si>
  <si>
    <t>222188-001</t>
  </si>
  <si>
    <t xml:space="preserve">Fortalecimeinto fiscal y financiero de los 125 municipios de Antioquia </t>
  </si>
  <si>
    <t>Municipios acompañados con herramientas y programas de saneamiento fiscal y financiero según necesidad</t>
  </si>
  <si>
    <t>Se acompañan los municipios según su necesidad (por demanda).
Además, se creó un proyecto para apoyar los municipios con peores indicadores financieros. En 2012 participaron 20 municipios. En 2013 participaron 40 municipios recibieron  acompañamiento en componenetes jurídico, financiero, contable y presupuestal.</t>
  </si>
  <si>
    <t xml:space="preserve"> Fortalecimiento de la capacidad de planificación y gestión del territorio</t>
  </si>
  <si>
    <t>2012050000060</t>
  </si>
  <si>
    <t>222060-001</t>
  </si>
  <si>
    <t xml:space="preserve">Fortalecimiento de los bancos de proyectos municipales y del Banco Departamental de Antioquia </t>
  </si>
  <si>
    <t>Bancos de Proyectos Municipales funcionando adecuadamente</t>
  </si>
  <si>
    <t>En lo financiero, el presupuesto da negativo puesto que se han hecho traslados por un valor total de $127.285.000, a la Dirección de Informática, a la Dirección de Análisis y Diseño Organizacional  y la Dirección de Catastro.
El avance corresponde a los municipios de: Caldas, Nechi, Cañasgordas, Uramita, Ciudad Bolivar, Pueblo Rico, Arboletes, Chigorodó, Caracolí y Frontino. Es de anotar que los cambios permanentes de personal implican un retroceso en cualquier avance o asesoria y asistencia ya brindada.  El principal incumplimiento se presenta en el tema del SSEPI por las dificultades en instalación y lo consideran las entidades como obsoleto o que no cubre sus necesidades de registro y seguimiento de los proyectos.</t>
  </si>
  <si>
    <t>2012050000248</t>
  </si>
  <si>
    <t>222248-001</t>
  </si>
  <si>
    <t xml:space="preserve">Fortalecimiento de la capacidad de planificación y gestión del territorio en el Departamento de Antioquia </t>
  </si>
  <si>
    <t>Espacios generados para la capacitación de servidores públicos departamentales y municipales, en planificación y gestión del desarrollo territorial</t>
  </si>
  <si>
    <t xml:space="preserve">En el 2013 se realizaron 4 jornadas de "Revisión y ajuste de los POT período 2012-2015" conjuntamente con el Ministerio de Vivienda, Ciudad y Territorio, las Corporaciones Autónomas Regionales (CORNARE, CORANTIOQUIA, CORPOURABÁ y  ÁREA METROPOLITANA) y las 125 administraciones municipales, con la participación de diferentes  organismos  del gobierno departamental. </t>
  </si>
  <si>
    <t>2008050000515</t>
  </si>
  <si>
    <t>251004-001</t>
  </si>
  <si>
    <t xml:space="preserve">Mejoramiento de los procesos de actualización y conservación catastral de los municipios del Departamento de Antioquia </t>
  </si>
  <si>
    <t>Municipios asesorados y acompañados en la gestión, depuración y mejoramiento de la información catastral</t>
  </si>
  <si>
    <t>Para Diciembre 30 se apoyo 31 procesos de actualización catastral tradicional y 11 procesos de actualización permanente, se realizarón procesos de conservación catastral a los 124 municipios del departamento impactando 87579 predios en todo el departamento</t>
  </si>
  <si>
    <t>Creación de Gerencias Subregionales como presencia, gestión y articulación institucional de la Gobernación en el territorio</t>
  </si>
  <si>
    <t>2012050000277</t>
  </si>
  <si>
    <t>222277-001</t>
  </si>
  <si>
    <t>Implementación de Gerencias Subregionales en Antioquia</t>
  </si>
  <si>
    <t>Gerencias subregionales creadas y en funcionamiento</t>
  </si>
  <si>
    <t>Se crean coordinaciones zonales por este motivo el indicador aumenta, se dejan delimitaciones zonales y no subregionales.</t>
  </si>
  <si>
    <t>La Sociedad Antioqueña del Bicentenario</t>
  </si>
  <si>
    <t>201205SGR0001</t>
  </si>
  <si>
    <t>222R01-001</t>
  </si>
  <si>
    <t xml:space="preserve">La sociedad antiqueña del bicentenario </t>
  </si>
  <si>
    <t>Investigación que permita conocer la sociedad antioqueña de la actualidad, con enfoque diferencial e incluyente</t>
  </si>
  <si>
    <t xml:space="preserve"> Fortalecimiento del Consejo Territorial de Planeación Departamental - CTPD</t>
  </si>
  <si>
    <t>2012050000244</t>
  </si>
  <si>
    <t>222244-001</t>
  </si>
  <si>
    <t xml:space="preserve">Fortalecimiento al consejo territorial de Planeación departamental </t>
  </si>
  <si>
    <t>Conceptos semestrales emitidos frente a los informes de avances del plan de desarrollo departamental 2012 - 2015</t>
  </si>
  <si>
    <t>Para el primer semestre 2013, se solicitó con radicado 201300056810 de mayo 21 de 2013, el  concepto de seguimiento al CTPD para este semestre. Para el año 2013 se ejecutó el contrato de mandato No. 4600000541 de agosto 20 de 2013 con Presencia Colombo Suiza, cuyo objeto fue "Prestar el servicio de apoyo administrativo y, mediante administración delegada, el suministro de bienes y servicios para el apoyo logístico, que sean requeridos para el cumplimiento de las actividades misionales del Consejo Territorial de Planeación Departamental de Antioquia".</t>
  </si>
  <si>
    <t>6 Proyecto integral para el desarrollo de Urabá. - Urabá: un mar de oportunidades</t>
  </si>
  <si>
    <t>6.4 Ordenamiento territorial sostenible y mecanismos para la integración</t>
  </si>
  <si>
    <t xml:space="preserve">6.4.1 Ordenamiento Territorial de Áreas Especiales </t>
  </si>
  <si>
    <t>6411</t>
  </si>
  <si>
    <t>2012050000251</t>
  </si>
  <si>
    <t>222251-001</t>
  </si>
  <si>
    <t>Formulación lineamientos de ordenamiento territorial para la subregión de Urabá Departamento de Antioquia</t>
  </si>
  <si>
    <t>Lineamientos de Ordenamiento Territorial de Urabá formulados</t>
  </si>
  <si>
    <t xml:space="preserve">Se definieron 5 lineamientos de actuación estrategica en el territorio y por tanto de ordenamiento territorial para el Desarrollo de Urabá:  
1. Lineamientos de carácter ambiental: Aprovechamiento Sostenible de la Biodiversidad
2. Lineamientos para el desarrollo víal: movilidad y transporte
3. Lineamientos de caracter social: Urabá región socialmente responsable.
4. Lineamientos de carater industrial, agroindustrial y portuario: definición del modelo de operación portuaria y zona industrial
</t>
  </si>
  <si>
    <t>6412</t>
  </si>
  <si>
    <t>2012050000255</t>
  </si>
  <si>
    <t>222255-001</t>
  </si>
  <si>
    <t>Actualización de los lineamientos de ordenamiento y manejo integral de la unidad ambiental costera del Darién</t>
  </si>
  <si>
    <t>Lineamientos de Ordenamiento y manejo integrado de la Unidad Ambiental Costera del Darién actualizados</t>
  </si>
  <si>
    <t>Desarrollo de la fase I: Construcción la agenda academica y la campaña estrategica de promoción y difusión del 1 Simposio Internacional Urabá Darién Región Biodiversa. 
Inicio de la construcción de los criterios de Turismo Sostenible y Desarrollo Local para Urabá con el apoyo y acompañamiento del CICTOURGUNE. 
Entrega del Perfil de  proyecto para el Desarrollo de la Visión estratégica (regalías) a ser presentado a Colciencias 2014.</t>
  </si>
  <si>
    <t>6413</t>
  </si>
  <si>
    <t>2012050000254</t>
  </si>
  <si>
    <t>222254-001</t>
  </si>
  <si>
    <t>Formulación de directrices y orientaciones para el ordenamiento territorial supramunicipal en Urabá Departamento de Antioquia</t>
  </si>
  <si>
    <t>Directrices y orientaciones para el ordenamiento supramunicipal en Urabá formulados</t>
  </si>
  <si>
    <t xml:space="preserve">Modelo de Desarrollo Supramunicipal para el Atrato, desarrollado con EAFIT en la 2 ETAPA del estudio. Es el primer proyecto que define las directrices y orientaciones para Urabá en el Atrato, se entrego en Junio. Los otros PMI estan en formulación con la AFD, se entregarán en junio de 2014. </t>
  </si>
  <si>
    <t>6.4.2 Mecanismos jurídicos, institucionales y financieros para el desarrollo regional.</t>
  </si>
  <si>
    <t>Proyectos de preinversión para el desarrollo integral de Urabá formulados</t>
  </si>
  <si>
    <t>1) Proyecto Biointropic: centro de biodiversidad. Se estará postulando a Impulsa. 2) Proyecto Modelo de Inersión Agroforestal de Cacao para Urabá.</t>
  </si>
  <si>
    <t xml:space="preserve">6.4.2.Mecanismos jurídicos, institucionales y financieros para el Desarrollo regional </t>
  </si>
  <si>
    <t>Planificación y gestión del desarrollo regional de Urabá</t>
  </si>
  <si>
    <t>2012050000314</t>
  </si>
  <si>
    <t>222314-001</t>
  </si>
  <si>
    <t>Estudios específicos para el desarrollo de la región de Urabá Departamento de Antioquia</t>
  </si>
  <si>
    <t>Consultorías y estudios especializadas</t>
  </si>
  <si>
    <t>1) Estudio EAFIT: Lineamientos de carácter estrategico para Urabá
2) Estudio para medir el impacto de la estrategia comunicacional del Proyecto de Urabá
3) Estudio visión estrategica para el desarrollo sostenible de la biodiversidad y los servicios ecosistemicos Urabá.</t>
  </si>
  <si>
    <t>1) Un informe de qué es el proyecto regional integral para Urabá, 2) una públicación de cómo va la Gobernación de Antioquia en Urabá "Estamos haciendo la tarea" y 3) 4 públicaciones sobre lo que estamos haciendo cómo gobernación de Antioquia en Urabá desde la Estrategía Vamos Pá Lante con Urabá (junio-agosto-octubre-diciembre) Periodico Urabá un Mar de Oportunidades.</t>
  </si>
  <si>
    <t>Talleres de planificación</t>
  </si>
  <si>
    <t>1) Taller de planificación de los lineamientos territoriales de carácter estrategico para Urabá con Funcionarios de la Gobernación de Antioquia 2) Taller de Planificación del Proyecto en Urabá y de los componentes de Desarrollo Territorial de Urabá con los Alcaldes de la Región de Urabá 3) 5 talleres de planificación de la Estrategía de Comunicación y gestión pública en Urabá con la mesa de comunicaciones en el marco de la estrategía Vamos Pa, Lante con Urabá (mensual junio - diciembre) 4) Taller de apropiación digital con comunicadores y medios de comunicación de Urabá sobre la estrategía de Comunicaciones para Urabá.</t>
  </si>
  <si>
    <t>7.2 Acuerdos para el Desarrollo territorial y sectorial</t>
  </si>
  <si>
    <t xml:space="preserve">7.2.1 Alianzas con departamentos vecinos sobre territorios compartidos </t>
  </si>
  <si>
    <t xml:space="preserve"> Esquemas asociativos territoriales</t>
  </si>
  <si>
    <t>2012050000253</t>
  </si>
  <si>
    <t>222253-001</t>
  </si>
  <si>
    <t>Apoyo para la gestión de esquemas asociativos territoriales con Departamentos vecinos</t>
  </si>
  <si>
    <t>Proyectos gestionados en el marco de los esquemas asociativos territoriales</t>
  </si>
  <si>
    <t>Se gestionaron 8 proyectos que aplican a Antioquia (porque hay otros que se desarrollarán en Chocó y Córdoba) en el marco del Contrato Plan Atrato Gran Darién, financiados con recursos de la Nación y de los 3 departamentos (que en el caso de Antioquia fueron aportados por algunas secretarías). Además, en el 2012 se gestionó el proyecto de navegabilidad del río Magdalena con recursos del gobierno nacional, de los departamentos ribereños y de Antioquia.</t>
  </si>
  <si>
    <t xml:space="preserve"> Fortalecimiento de capacidades de gestión y de planificación para el desarrollo de "Antioquia sin fronteras"</t>
  </si>
  <si>
    <t>2012050000315</t>
  </si>
  <si>
    <t>222315-001</t>
  </si>
  <si>
    <t>Fortalecimiento de las capacidades de gestión y planificación para el desarrollo de Antioquia sin fronteras</t>
  </si>
  <si>
    <t>Asesorías especializadas contratadas</t>
  </si>
  <si>
    <t>Estos recursos fueron trasladados a la Gerencia de Comunicaciones para la realizacion de eventos, talleres y conversatorios del programa "Preparémonos para la Paz". Así con el apoyo de la Federación Colombiana de Departamentos se realizó un Encuentro con los 32 gobernadores y el gobierno nacional sobre el Acuerdo de Paz con las FARC-EP, además de encuentros preparatorios en el tema de paz con la Comisión de paz del Congreso, con jóvenes, víctimas, comunidades afrodescendientes, constituyentes, reinsertados y mujeres, sobre el tema de tierras en Urabá; sobre construcción de tejido social en Ituango; en San Luis sobre construcción de memoria histórica; en Medellín un taller de capacitación de construcción de memoria histórica y con pobladores de la comuna 13. Con la Secretaría de Medio Ambiente se realizó el encuentro ambiental "Preparémonos para la Paz".</t>
  </si>
  <si>
    <t>Investigaciones realizadas</t>
  </si>
  <si>
    <t>No se realizaron investigaciones.</t>
  </si>
  <si>
    <t>7.2.2 Alianzas sectoriales estratégicas</t>
  </si>
  <si>
    <t xml:space="preserve"> Acuerdos sectoriales</t>
  </si>
  <si>
    <t>222052-001</t>
  </si>
  <si>
    <t>Apoyo para la realización de encuentros y acuerdos sectoriales de Antioquia con otros departamentos vecinos</t>
  </si>
  <si>
    <t>Encuentros sectoriales realizados</t>
  </si>
  <si>
    <t>Con el apoyo de la Federación Colombiana de Departamentos se realizó un Encuentro con los 32 gobernadores y el gobierno nacional sobre el Acuerdo de Paz con las FARC-EP. Además, en el marco del programa "Preparémonos para la Paz" se han realizado encuentros preparatorios en el tema de paz con la comisión de paz del Congreso, jóvenes, víctimas, comunidades afrodescendientes, constituyentes, reinsertados y mujeres, sobre el tema de tierras en Urabá; sobre construcción de tejido social en Ituango; en San Luis sobre construcción de memoria histórica; en Medellín un taller de capacitación de construcción de memoria histórica;y en Medellín con pobladores de la comuna 13. Con la Secretaría de Medio Ambiente se realizó el encuentro ambiental "Preparémonos para la Paz".</t>
  </si>
  <si>
    <t>7.2.4. Ordenamiento territorial y acuerdos supramunicipales</t>
  </si>
  <si>
    <t xml:space="preserve"> Institucionalización de los Lineamientos de Ordenamiento Territorial para Antioquia</t>
  </si>
  <si>
    <t>2012050000276</t>
  </si>
  <si>
    <t>222276-001</t>
  </si>
  <si>
    <t>Implementación de los lineamientos de ordenamiento territorial para Antioquia</t>
  </si>
  <si>
    <t>Política de ordenamiento territorial formulada e institucionalizada</t>
  </si>
  <si>
    <t xml:space="preserve"> Para el 2013, se adelantó la elaboración de la  estratégia para realizar la socialización y discusión de los LOTA al interior de la Gobernación, diferentes entidades y actores involucrados con el ordenamiento territorial.  Difusión de los resultados y participación en eventos, Comité Primario de Planeación Departamental (9 agosto); Asesores de la Gobernación del Valle del Cauca (12 de septiembre) y de Boyacá (11 de julio); Comisión de Ordenamiento Territorial – COT y DNP (17 de septiembre).</t>
  </si>
  <si>
    <t xml:space="preserve"> Formulación de planes y estudios para la gestión y ordenamiento territorial departamental y subregional</t>
  </si>
  <si>
    <t>2012050000037</t>
  </si>
  <si>
    <t>222037-001</t>
  </si>
  <si>
    <t xml:space="preserve">Formulación de Planes y Estudios para la Gestión y Ordenamiento Territorial departamental y subregional en el Departamento de Antioquia </t>
  </si>
  <si>
    <t>Planes y estudios formulados para la gestión del ordenamiento territorial departamental y subregional</t>
  </si>
  <si>
    <t xml:space="preserve">Para 2013 se realizó el proceso del Concurso de Méritos CM 120032013 y mediante Resolución 002372 se ordena la apertura de la elaboración de los estudios de Amenaza, Vulnerabilidad y Riesgo en 11 municipios en el área de influencia del Proyecto Hidroeléctrico Ituango: Briceño , Olaya, Toledo, Sabanalarga, Peque, Ituango, Liborina, San Andres de Cuerquia, Valdivia, Yarumal y Santa Fe de Antioquia, con aportes de Empresas Públicas de Medellín por $ 685.000.000 y por parte de la Gobernación de Antioquia $ 81.000.000 para la contratación de la interventoría, mediante la Resolución No. 095899 del 23 de septiembre de 2013 se adjudicó al Consorcio Once por valor de $ 685.000.000 el contrato. La interventoría la está ejecutando J.A.M Ingeniería y Medio Ambiente, con corte a 31 de diciembre el avance  físico fué de 15% y 10% respectivamente.
 </t>
  </si>
  <si>
    <t xml:space="preserve"> Comisión Tripartita- Gobernación de Antioquia, Área Metropolitana del Valle de Aburrá y Alcaldía de Medellín- para los procesos de ordenación territorial</t>
  </si>
  <si>
    <t>2012050000249</t>
  </si>
  <si>
    <t>222249-001</t>
  </si>
  <si>
    <t xml:space="preserve">Fortalecimiento de la estrategia de la gestión tripartita como instancia articuladora y gestión concertada mediante alianzas que direccionen y articulen acciones para la gestión territorial integrada en el Departamento de Antioquia </t>
  </si>
  <si>
    <t>Estudios formulados conjuntamente con el Área Metropolitana del Valle de Aburrá y la Alcaldía de Medellín, para fortalecer los procesos de ordenación territorial</t>
  </si>
  <si>
    <t>El avance de este proyecto depende de la gestión que actualmente realiza el Despacho del DAP con la Alcaldía de Medellín y el AMVA.</t>
  </si>
  <si>
    <t xml:space="preserve"> Promoción y gestión de mecanismos de integración supramunicipales.</t>
  </si>
  <si>
    <t>2012050000250</t>
  </si>
  <si>
    <t>222250-001</t>
  </si>
  <si>
    <t>Implementación de mecanismos de integración supramunicipales en el Valle de San Nicolás y el occidente medio, entre otros</t>
  </si>
  <si>
    <t>Mecanismos de integración supramunicipales gestionados</t>
  </si>
  <si>
    <t xml:space="preserve">Se realizaron varios encuentros con los municipios del Valle de San Nicolás y de la región de Embalses en el Oriente antioqueño, los del Occidente agropecuario y con los de la zona de transición del Valle de Aburrá con el Suroeste y Occidente,  para la identificación y concertación de líneas de acción a ser trabajadas por los municipios y la Gobernación de Antioquia, en torno a sus propias problématicas. Con la zona del Oriente cercano (Valle de San Nicolás) se identificó la necesidad de formular un Plan Director de Ordenamiento Territorial pero cuando se sacaron los pliegos para la contratación, los alcaldes manifestaron no estar de acuerdo, razón por la cual se suspendió la licitación y se paró el proyecto.  </t>
  </si>
  <si>
    <t>El valor estimado inicial fue de $89.000.000 y la contratación se realizó por $105.033.351. El valor ejecutado corresponde al primer pago del 30% y para el 70% restante se constituyó reserva presupuestal para el 2014, dada la cesión del contrato. Por directriz de la Dirección de Finanzas corresponde a la suma de saldos RPC mas total obligaciones, lo que nos da un total de $105.033.351</t>
  </si>
  <si>
    <t>Contratación de un consultor con conocimientos especializados en el tema de presupuesto por resultados</t>
  </si>
  <si>
    <t>En el concurso de méritos se seleccionó una firma consultora con un coordinador y un profesional de apoyo. Se realizó la Cesión del Contrato en septiembre  a la firma que ocupó el segundo lugar en el Concurso, quién aportó su equipo técnico. El tiempo real corresponde a la planeación y cronograma contractual.</t>
  </si>
  <si>
    <t>Publicaciones - evento en el tema de PPR</t>
  </si>
  <si>
    <t>La publicación en el tema de presupuesto por resultados, no se realizó dados los inconvenientes presentados por la cesión del contrato. Se espera hacerla durante 2014</t>
  </si>
  <si>
    <t>Contratación del mantenimiento y soporte técnico del sistema Omega</t>
  </si>
  <si>
    <t>La adición del contrato de la Mesa de Ayuda se firmó el 17 de junio de 2013 y el 10 de julio, se vinculó a la ingeniera de sistemas, hasta el 31 de diciembre.</t>
  </si>
  <si>
    <t xml:space="preserve"> Traslado entre rubros presupuestales para viáticos y gastos de viaje para los funcionarios temporales que apoyaran el banco de proyectos y la gestión para resultados</t>
  </si>
  <si>
    <t>No se requirió la realización de dicho traslado.</t>
  </si>
  <si>
    <t>Practicantes para el tema de monitoreo y Evaluación de la Gestión (Traslado a la Secretaría de Gestión Humana)</t>
  </si>
  <si>
    <t>Se realizó el traslado presupuestal programado para los dos practicantes del primer y segundo semestre en el  tema de Monitoreo.</t>
  </si>
  <si>
    <t>Actualización del Software SPSS</t>
  </si>
  <si>
    <t>Se encuentra amparada en el RPC  4500031875</t>
  </si>
  <si>
    <t>Actualización de suscripciones colección de la Hemeroteca</t>
  </si>
  <si>
    <t>Tiene CDP N° 3500025469, por valor de $6.000.000 se ejecutará en el mes de octubre de 2013.
RPC 4500034358 DE NOV 22/2013</t>
  </si>
  <si>
    <t xml:space="preserve">Pago de salario a estudiantes en práctica </t>
  </si>
  <si>
    <t>En el primer semestre se pagó un practicante con recusos de otra dependencia.  Para los 2 practicantes del segundo semestre se realizó un traslado  a la Secretaría de Gestón Humanas en el mes de mayo, mediante Decreto N° 2375 de mayo31 de 2013.</t>
  </si>
  <si>
    <t>Apoyo logístico para capacitaciones (refrigerios )</t>
  </si>
  <si>
    <t>Traslado realizado a la Gerencia de comunicaciones mediante Decreto N° 1908 de mayo 9 de 2013, quien ejecuta y reporta</t>
  </si>
  <si>
    <t>Publicacion cuentas economicas de Antioquia</t>
  </si>
  <si>
    <t>Traslado realizado a la Gerencia de comunicaciones mediante Decreto N° 1908 de mayo 9 de 2013</t>
  </si>
  <si>
    <t>Encuesta de Calidad de Vida Comisión Tripartita (Gobernación - Municipio de Medellín, Área Metropolitana del Valle de Aburrá )</t>
  </si>
  <si>
    <t>Interventoria  para la encuesta de calidad de vida por la comision tripartita</t>
  </si>
  <si>
    <t>Esta actividad esta incluida en la Encuesta de Calidad de vida</t>
  </si>
  <si>
    <t>Diseño, diagramación y elaboración de producto digital tipo multimedia interactiva con buscadores por áera temática y área geográfica para públicación de Anuario Estadístico de Antioquia 2012</t>
  </si>
  <si>
    <t>Contratación de los servicios profesionales del personal de apoyo para el Sistema de Información Georreferenciado Integrador (IDE-DataWarehouse) del Departamento</t>
  </si>
  <si>
    <t>meses</t>
  </si>
  <si>
    <t>Contratación de hardware y software Especializado en el apoyo para el Sistema de Información Georreferenciado Integrador (IDE-DataWarehouse) del Departamento</t>
  </si>
  <si>
    <t>Contratar el Outsourcing de Administración de la Infraestructura y Plataforma Tecnologica del Sistema de Información Departamental IDE</t>
  </si>
  <si>
    <t>Contratación de tres consultores para la implementación y/o sostenibilidad de las herramientas de la gestión para resultados en los municipios seleccionados.</t>
  </si>
  <si>
    <t>El tiempo durante el primer semestre corresponde a la planeación de actividades previas. El equipo de consultores, inició labores a partir del 28 de junio, se terminó el contrato desde el 6 de diciembre pero han estado haciendo los ajustes y correcciones solicitadas a los informes.</t>
  </si>
  <si>
    <t>Vinculación profesional temporal para el tema de gestión para resultados (profesional universitario - grado 4)</t>
  </si>
  <si>
    <t>El profesional fue vinculado desde marzo de 2013 y viene desempeñando sus funciones normalmente. Durante los meses de enero y febrero se realizaron las actividesdes previas requeridas.</t>
  </si>
  <si>
    <t>Publicación en el tema de GpR (folleto - boletín)</t>
  </si>
  <si>
    <t>Se diseñó y publicó el Manual del Usuario con la nueva metodología para la formulación de proyectos en SAP (Desarrollo MGA-PS), como apoyo para el proceso de socialización en el mes de enero.</t>
  </si>
  <si>
    <t>Proyecto de fortalecimiento de ingresos de 40 municipios</t>
  </si>
  <si>
    <t>No</t>
  </si>
  <si>
    <t>Se acompañaron los 40 municipios focalizados del proyecto, se abordaron componentes jurídicos, contables, financieros y presupuestales. La consultoría finalizó el 06 de Diciembre 2013.</t>
  </si>
  <si>
    <t>Practicantes de excelencia</t>
  </si>
  <si>
    <t>Durante los dos semestres del año se contó con 5  practicantes en cada uno de ellos, de diferentes perfiles.</t>
  </si>
  <si>
    <t>Estratégia de transporte para visitas de fortalecimiento municipal</t>
  </si>
  <si>
    <t>Se realizaron salidas sólo en los meses de Junio y Julio. La estrategia se replanteará en el 2014 para mejorar los impactos</t>
  </si>
  <si>
    <t>Implementación del módulo SAP de Proyectos (Traslado a la Dirección de Informática)</t>
  </si>
  <si>
    <t>Se realizó el traslado presupuestal. Los avances corresponden a la definición de requerimientos técnicos, documentación, revisión del sistema y configuración inicial. Se realizó proceso contractual para el desarrollo de la habilitación del ingreso de la formulación  de los proyectos en SAP (Desarrollo MGA-PS)</t>
  </si>
  <si>
    <t>Vinculación profesional temporal - ingeniero de sistemas</t>
  </si>
  <si>
    <t>El profesional viene trabajando en el nuevo Omega.</t>
  </si>
  <si>
    <t>Vinculación profesional temporal para bancos de proyectos y apoyo municipal</t>
  </si>
  <si>
    <t>El profesional es responsable del apoyo a los bancos de proyectos municipales.</t>
  </si>
  <si>
    <t>Contratación para la capacitación en el tema de proyectos (talleres)</t>
  </si>
  <si>
    <t>No se ha realizado contratación, los 4 talleres de capacitación fueron realizados directamente por la DMEB. La estrategia de capacitación diseñada con la ESAP no fue aprobada.</t>
  </si>
  <si>
    <t>Curso virtual en el tema de proyectos</t>
  </si>
  <si>
    <t>Con Antioquia Digital, se trabajó en el diseño y montaje de una plataforma virtual. El Portal ya está activo y se procederá a definir los contenidos para el curso virtual. El avance durante la vigencia 2013, corresponde al diseño y montaje del Portal web.</t>
  </si>
  <si>
    <t>Eventos - actividades de logística, publicaciones (Traslado a la Gerencia de Comunicaciones)</t>
  </si>
  <si>
    <t xml:space="preserve">Se hizo traslado presupuestal a la Gerencia de Comunicaciones. Se realizaron 12 eventos, para el tema de regalías, nuevo aplicativo Gesproy, Proyectos. Nuevo modelo del Banco de proyectos y Sicep. </t>
  </si>
  <si>
    <t>Practicante Dirección  para el tema del banco de proyectos. ( Traslado a la Secretaría de Gestión Humana)</t>
  </si>
  <si>
    <t>Se realizó el traslado para los practicantes del primer  y segundo semestre.</t>
  </si>
  <si>
    <t>Contratación de dos profesionales para conformar el equipo técnico del sistema general de regalías</t>
  </si>
  <si>
    <t>Se realizó la contratación de los dos profesionales para el equipo de regalías, desde el 1° de febrero de 2013. De acuerdo con la nueva normatividad de regalías, para el Ssitema de Monitoreo, Seguimiento y Control, se hizo la contratación de otros dos profesionales en el segundo semestre.</t>
  </si>
  <si>
    <t>Contratación de un técnico para conformar el equipo del sistema general de regalías</t>
  </si>
  <si>
    <t>Se realizó la contratación de un técnico para el equipo de regalías, desde el 1° de febrero de 2013. Se realizó nuevo contrato en noviembre de 2013</t>
  </si>
  <si>
    <t>Capacitación.</t>
  </si>
  <si>
    <t xml:space="preserve">En el 2013, se realizaron 4 eventos de "Revisión y ajuste de los POT periodo 2012-2015", conjuntamente con el Ministerio de Vivienda, Ciudad y Territorio, las Corporaciones Autónomas Regionales y las 125 administraciones municipales, con la participación de diferentes organismos del gobierno departamental. En el primer semestre de 2013, se realizaron 2 eventos de "Revisión y ajuste de los POT período 2012-2015".  En Abril 29 y 30 en El Santuario con 26 municipios invitados de  la jurisdicción de Cornare, además de San Roque y Puerto Triunfo.  El 4 y 5 de junio se realizó en Santa Rosa de Osos con 23 mpios invitados de la jurisdicción de Corantioquia, además de Giraldo y Cañasgordas. En el segundo semestre se realizaron dos eventos así: los días 22,23 y 24 de julio en el municipio de Medellín en la sede principal de CORANTIOQUIA y con invitados los secretarios y secretarias de Planeación de los municipios de: Medellín, Barbosa, Caldas, Copacabana, Envigado, Girardota, Itaguí, La Estrella,  Sabaneta, Caracolí, Maceo, Puerto Berrío, Puerto Nare, Yondó, Amalfi, Anorí, Cisneros, Remedios, Segovia, Vegachí, Yalí,Yolombó, Anzá, Armenia, Buriticá, Caicedo, Ebéjico, Heliconia, Liborina, Olaya, Sabanalarga, San Jerónimo, Santa Fe de Antioquia, Sopetrán, Giraldo, Amagá, Andes, Angelópolis, Betania, Betulia, Caramanta, Ciudad Bolivar, Concordia, Fredonia, Hispania, Jardín, Jericó, La Pintada, Montebello, Pueblorrico, Salgar, Santa Barbara, Támesis, Tarso, Titiribí, Valparaíso y Venecia.  Y los días 30 de Septiembre, 1 y  2 de octubre se realizó esta jornada en el Municipio de Apartadó, Auditorio Sede principal CORPOURABÁ,  con los municipios de  San Juan de Urabá, Necoclí, Arboletes, San Pedro de Urabá, Turbo, Apartadó, Carepa, Chigorodó, Mutatá, Murindó, Vigía del Fuerte, Giraldo, Urrao, Dabeiba, Peque, Uramita, Cañasgordas, Frontino, Abriaquí. 
</t>
  </si>
  <si>
    <t>Impresos y publicaciones.</t>
  </si>
  <si>
    <t>Soporte y Mejoramiento Oficina Virtual de Catastro</t>
  </si>
  <si>
    <t>Contratación de los servicios profesionales del personal de apoyo para la asesoría, acompañamiento en la gestión, depuración y mejoramiento de la información catastral de los Municipio de Antioquia</t>
  </si>
  <si>
    <t>Contratación de hardware y software Especializado en el apoyo para la asesoría, acompañamiento en la gestión, depuración y mejoramiento de la información catastral de los Municipio de Antioquia</t>
  </si>
  <si>
    <t>Se traslado recursos al proyecto 1,1,1,8</t>
  </si>
  <si>
    <t>Contratación de las actividades de mejoramiento de los procesos y procedimiento de la Dirección de Sistemas de Información y Catastro</t>
  </si>
  <si>
    <t>Evaluación Acuerdos Publicos 2012</t>
  </si>
  <si>
    <t>Número de documentos de acuerdos evaluados</t>
  </si>
  <si>
    <t>Elaboración de Acuerdos Públicos 2013</t>
  </si>
  <si>
    <t>Numero de municipios que firman Acuerdos Públicos.</t>
  </si>
  <si>
    <t>Se realizo evaluación y se considero que los 10 municipios del area metropolitana no firmarian acuerdos públicos, ya que con ellos se trabajaria bajo otra politica.</t>
  </si>
  <si>
    <t>Realización de encuentros del Gobernador con los Alcaldes.</t>
  </si>
  <si>
    <t>Número de encuentros realizados</t>
  </si>
  <si>
    <t>El encuentro del mes de junio no se hizo ya que se ha tenido una relación constante con los municipios.</t>
  </si>
  <si>
    <t>Realización de seguimiento Acuerdos Públicos 2013</t>
  </si>
  <si>
    <t>Número de informes de seguimiento</t>
  </si>
  <si>
    <t>La programación inicial se habia tomado para hacerla bimensual, pero se tomo la decisión de hacerlo mensual, a partir del mes siguiente a la firma.</t>
  </si>
  <si>
    <t>Realización de jornadas preparatorias de Regalias Regionales</t>
  </si>
  <si>
    <t>Número de jornadas preparatorias realizadas</t>
  </si>
  <si>
    <t>Preparación de salidas del Gobernador a los municipios</t>
  </si>
  <si>
    <t>Número de salidas del Gobernador a los municipios</t>
  </si>
  <si>
    <t>Elaboración  de información de contexto de los municipios de Antioquia</t>
  </si>
  <si>
    <t>Número de municipios con documento de contexto</t>
  </si>
  <si>
    <t>Realización de encuentros o reuniones con los Alcaldes del departamento para acompañamiento y seguimiento a la labor conjunta</t>
  </si>
  <si>
    <t>Número de reuniones realizadas</t>
  </si>
  <si>
    <t>Realización de la encuesta de antioquia</t>
  </si>
  <si>
    <t>Publicacion final del documento</t>
  </si>
  <si>
    <t>Contratacion de expertos para escribir capitulos referentes a los 15 temas relacionados con la sociedad antioqueña</t>
  </si>
  <si>
    <t>De acuerdo con la necesidad del proyecto se contrataron 5 expertos pára el desarrollo de esta actividad. No fueron necesarios 15 iniciales.</t>
  </si>
  <si>
    <t>Realización de foros, talleres subregionales y encuentros académicos</t>
  </si>
  <si>
    <t xml:space="preserve">Fortalecimiento al concejo territorial de Planeación departamental </t>
  </si>
  <si>
    <t>Jornada de seguimiento semestral al  PD en las subregiones.</t>
  </si>
  <si>
    <t>Realización de reuniones ordinarias mensuales. Para el segundo semestre se realizó la ejecución del Contrato No. 4600000541 de agosto 20 de 2013 cuyo objeto es: "Prestar el servicio de apoyo admvo. Y, mediante admon. Delegada, el suministro de bienes y servicios para apoyo logístico, que sean requeridos para el cumplimiento de las actividades misionales del CTPD".</t>
  </si>
  <si>
    <t>Apoyo y estructuración de foros de seguimiento al Plan y comunicaciones.</t>
  </si>
  <si>
    <t>Definición del modelo territorial de referencia</t>
  </si>
  <si>
    <t>Diagnóstico de las dimensiones físicas socioeconómicas y ambientales del territorio de Urabá</t>
  </si>
  <si>
    <t>Formulación de las directrices de ordenamiento territorial de Urabá</t>
  </si>
  <si>
    <t>Actualización de los líneamientos de manejo integrado de la Unidad Ambiental Costera del Darien</t>
  </si>
  <si>
    <t xml:space="preserve">Desarrollo de la fase I: Construcción la agenda academica y la campaña estrategica de promoción y difusión del 1 Simposio Internacional Urabá Darién Región Biodiversa. </t>
  </si>
  <si>
    <t>Análisis y redefinición de los líneamientos de manejo integrado de la Unidad Ambiental Costera del Darien</t>
  </si>
  <si>
    <t>Entrega Perfil Visión Estrategica (regalías) a ser presentado a Colciencias 2014.</t>
  </si>
  <si>
    <t>Implementación de los líneamientos de manejo integrado de la Unidad Ambiental Costera del Darien</t>
  </si>
  <si>
    <t>En construcción Criterios de Turismo Sostenible y Desarrollo Local para Urabá con el apoyo y acompañamiento del CICTOURGUNE.</t>
  </si>
  <si>
    <t>Contrato de prestación de servicios para apoyar el proceso de formulación e implementación del modelo de gestión territorial para las políticas territoriales, programas y proyectos multisectoriales que integran las líneas 6 y 7 del Plan De Desarrollo Antioquia La Más Educada</t>
  </si>
  <si>
    <t>Se celebró contrato de prestación de servicios via DAP.</t>
  </si>
  <si>
    <t>Traslado presupuestal a la Secretaria de Gestión Humana y Desarrollo Organizacional para la respectiva vinculación del practicante de excelencia para el primer semestre de 2013</t>
  </si>
  <si>
    <t>Diágnostico del Área de desarrollo territorial del litoral y de las zonas urbanas impactadas por el Proyecto Regional Integral para el desarrollo del Urabá</t>
  </si>
  <si>
    <t>Diágnostico del Área de desarrollo territorial del eje urbano Turbo-Apartadó-Carepa-Chigorodó</t>
  </si>
  <si>
    <t xml:space="preserve">PMI - URBAM. Estan en formulación con la AFD, se entregarán en junio de 2014. </t>
  </si>
  <si>
    <t>Definición de las directrices y orientaciones para el ordenamiento territorial supramunicipal</t>
  </si>
  <si>
    <t xml:space="preserve">Modelo de Desarrollo Supramunicipal para el Atrato, desarrollado con EAFIT en la 2 ETAPA del estudio. Es el primer proyecto que define las directrices y orientaciones para Urabá en el Atrato, se entrego en Junio. </t>
  </si>
  <si>
    <t>Traslado presupuestal a la Gerencia de Comunicaciones para diferentes actividades durante el año</t>
  </si>
  <si>
    <t>Comunicación y difusión del Proyecto Regional Integral para el desarrollo del Urabá</t>
  </si>
  <si>
    <t>Realización de estudios y consultorías especializadas para el desarrollo regional de Urabá</t>
  </si>
  <si>
    <t>1) Estudio EAFIT: Lineamientos de carácter estrategico para Urabá (entrega junio 2013)
2) Estudio para medir el impacto de la estrategia comunicacional del Proyecto de Urabá. (entrega dic 2013)
3) Estudio visión estrategica para el desarrollo sostenible de la biodiversidad y los servicios ecosistemicos Urabá. (entrega dic 2013)</t>
  </si>
  <si>
    <t>Los recursos de gestión se obtuvieron del gobierno nacional para financiar los siete proyectos (en jurisdicción del departamento de Antioquia) en el marco del Contrato Plan Atrato Gran Darién:</t>
  </si>
  <si>
    <t>Apoyo al proyecto para el mantenimiento y recuperación del río Magdalena</t>
  </si>
  <si>
    <t>Asesorías para el fortalecimiento de capacidades institucionales para Antioquia sin Fronteras</t>
  </si>
  <si>
    <t>Este proyecto no se ejecutó porque no se contó con los recursos</t>
  </si>
  <si>
    <t xml:space="preserve">Los recursos de gestión se obtuvieron provinieron de: UPB, PNUD,  Agencia Colombiana para la Reintegración, U. de A., Comité de Rehabilitación, ACI, Federación Nacional de Departamentos y Fundación Secretos para Contar. </t>
  </si>
  <si>
    <t xml:space="preserve">Encuentros para el análisis de las políticas macroeconómicas </t>
  </si>
  <si>
    <t xml:space="preserve">En el 2013, se adelantó la elaboración de la  estratégia para realizar la socialización y discusión de los LOTA al interior de la Gobernación, diferentes entidades y actores involucrados con el ordenamiento territorial.  Difusión de los resultados y participación en eventos, Comité Primario de Planeación Departamental (9 agosto); Asesores de la Gobernación del Valle del Cauca (12 de septiembre) y de Boyacá (11 de julio); Comisión de Ordenamiento Territorial – COT y DNP (17 de septiembre); y reunión con los integrantes de la Gobernación que serían miembros CROT Antioquia (11 de octubre).
</t>
  </si>
  <si>
    <t>Ratificación de voluntades y suscripción Convenio.</t>
  </si>
  <si>
    <t>Contratación del estudio ( Apertura proceso abierto).</t>
  </si>
  <si>
    <t>Consolidación y articulación de LOTA Fase I y II y articulación con la LOOT y con los Lineamientos nacionales de la Comisión de Ordenamiento Territorial</t>
  </si>
  <si>
    <t>Definición de la política de ordenamiento territorial</t>
  </si>
  <si>
    <t>Para 2013 se realizó el Contrato de Consultoría No. 2013-SS-120003 del 23 de octubre de 2013,  para la elaboración de los estudios de Amenaza, Vulnerabilidad y Riesgo en 11 municipios en el área de influencia del Proyecto Hidroeléctrico Ituango: Briceño, Olaya, Toledo, Sabanalarga, Peque, Ituango, Liborina, San Andres de Cuerquia, Valdivia, Yarumal y Santa Fe de Antioquia, y con aportes de Empresas Públicas de Medellín por $ 685.000.000, siendo adjudicado al Consorcio Once; por parte de la Gobernación de Antioquia, con aportes de  $ 81.000.000 para la contratación de la interventoría, mediante Contrato de Consultoría   No. 4600001274 del 11 de diciembre de 2013 . La interventoría la está ejecutando J.A.M Ingeniería y Medio Ambiente, con corte a 31 de diciembre de avance  físico del 15% y 10%, respectivamente.</t>
  </si>
  <si>
    <t xml:space="preserve">Elaboración estudios territoriales. </t>
  </si>
  <si>
    <t>Firma convenio marco.</t>
  </si>
  <si>
    <t>Formular el plan subregional de ordenamiento territorial en el Valle de San Nicolás.
Diagnóstico de problemáticas, definición de visión del territorio y concertación de acciones en el Occidente medio.</t>
  </si>
  <si>
    <t xml:space="preserve">Se realizaron varias reuniones con los alcaldes del Oriente antioqueño, se definieron lineamientos generales de trabajo y se diseñaron los pliegos para la licitación. No obstante, los alcaldes no estuvieron de acuerdo con la contratación del plan y por esa razón se suspendió la licitación y el proyecto mismo. </t>
  </si>
  <si>
    <t>ANTIOQUIA LEGAL</t>
  </si>
  <si>
    <t>222281-001</t>
  </si>
  <si>
    <t>Fortalecimiento de la transparencia y la gestión institucional, administrativa, financiera y fiscal de los municipios del Departamento de Antioquia</t>
  </si>
  <si>
    <t>Municipios con herramientas para la transparencia municipal difundidas</t>
  </si>
  <si>
    <t>Se trabajó con los mismos municipios durante todo el año; es un proceso de asesoría y/o acompañamiento</t>
  </si>
  <si>
    <t>1.4.3 Legalidad en los negocios</t>
  </si>
  <si>
    <t xml:space="preserve">Rendición pública de cuentas de proyectos de cofinanciación, con públicos específicos </t>
  </si>
  <si>
    <t>222333-001</t>
  </si>
  <si>
    <t xml:space="preserve">Fortalecimiento de la Rendición Pública de cuentas de proyectos de financiación </t>
  </si>
  <si>
    <t>Rendiciones públicas de cuentas a los beneficiarios directos de proyectos cofinanciados</t>
  </si>
  <si>
    <t xml:space="preserve">Con dos (2) grupos no alcanzamos a realizar todo el proceso; las rendiciones se harán en el 1er. Bimestre de 2014 </t>
  </si>
  <si>
    <t>Acuerdos públicos - privados para la formalización y la actuación en la legalidad y redes sociales de control</t>
  </si>
  <si>
    <t>222334-001</t>
  </si>
  <si>
    <t>Desarrollo de Acuerdos Público - Privados para la Legalización y la Actuación en la Legalidad en el Departamento de Antioquia</t>
  </si>
  <si>
    <t>(+) 200.000.000</t>
  </si>
  <si>
    <t>Acuerdos – público – privados realizados</t>
  </si>
  <si>
    <t>Se superó la meta porque se modificó la metodología para el desarrollo de pactos</t>
  </si>
  <si>
    <t>Sistema de producción de conocimiento de Antioquia legal (Alianza Medellín Antioquia)</t>
  </si>
  <si>
    <t>222335-001</t>
  </si>
  <si>
    <t>Desarrollo de un sistema de producción de conocimiento sobre cultura política y legalidad en el Departamento de Antioquia</t>
  </si>
  <si>
    <t>Publicaciones escritas o virtuales de los centros de investigación de la red sobre cultura política e ilegalidad</t>
  </si>
  <si>
    <t>Las publicaciones restantes quedaron pendientes para el 1erbimestre de 2014 porque los proyectos de investigación finalizaron en diciembre</t>
  </si>
  <si>
    <t>Instalación de rendición de cuentas como práctica</t>
  </si>
  <si>
    <t>Se están desarrollando los procesos de formación para la rendición de cuentas</t>
  </si>
  <si>
    <t>Mapa del estado del IGA en los municipios del departamento</t>
  </si>
  <si>
    <t>Diagnóstico</t>
  </si>
  <si>
    <t>Reconocimiento departamental a buenas prácticas de entes territoriales</t>
  </si>
  <si>
    <t>Reconocimiento</t>
  </si>
  <si>
    <t>El próximo 17 de septiembre se lanza la convocatoria</t>
  </si>
  <si>
    <t>Encuesta sobre percepción de legalidad en 9 subregiones</t>
  </si>
  <si>
    <t>Encuesta</t>
  </si>
  <si>
    <t>Por indicación del Gobernador, esta encuesta se suspendió y se reemplazó por la creación de una red departamental de docentes de Ética</t>
  </si>
  <si>
    <t>Presentación de avances a Procuraduría</t>
  </si>
  <si>
    <t>Reunión</t>
  </si>
  <si>
    <t>Capacitación para la rendición de cuentas</t>
  </si>
  <si>
    <t>Rendición pública de cuentas a los beneficiarios de proyectos cofinanciados</t>
  </si>
  <si>
    <t>Se desarrolló el proceso previo para la realización de rendiciones (identificación de públicos, elabora-ción de informes, formación)</t>
  </si>
  <si>
    <t>Pactos sectoriales</t>
  </si>
  <si>
    <t>Pactos firmados</t>
  </si>
  <si>
    <t>El # de pactos firmados con cada sector ha superado las expectativas</t>
  </si>
  <si>
    <t>Evento en ferias de la transparencias</t>
  </si>
  <si>
    <t>Se realizan entre agosto y octubre</t>
  </si>
  <si>
    <t>Seguimiento a pactos - evento público (agosto) Indeportes / (noviembre) Salud</t>
  </si>
  <si>
    <t>Pactos evaluados</t>
  </si>
  <si>
    <t xml:space="preserve">Desarrollo de estrategia comunicativa </t>
  </si>
  <si>
    <t>En desarrollo</t>
  </si>
  <si>
    <t>Reconocimiento a prácticas de legalidad entre pequeña y mediana empresa en las regiones (F. Transparencia)</t>
  </si>
  <si>
    <t>Práctica de legalidad</t>
  </si>
  <si>
    <t>Se harán en la última feria de la Transparencia</t>
  </si>
  <si>
    <t>222335-1</t>
  </si>
  <si>
    <t>Convocatoria para cofinanciación de proyectos de investigación en cultura política y legalidad</t>
  </si>
  <si>
    <t>Proyectos</t>
  </si>
  <si>
    <t xml:space="preserve">Por la modalidad de contratación se seleccionaron solo dos (2) proyectos.  Están en ejecución, </t>
  </si>
  <si>
    <t>La meta 2013 es de 18 publicaciones</t>
  </si>
  <si>
    <t>Encuentro aliados Antioquia Legal</t>
  </si>
  <si>
    <t>Se realizará en diciembre</t>
  </si>
  <si>
    <t>Seminario Internacional</t>
  </si>
  <si>
    <t>Se realizará en octubre</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</si>
</sst>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6" formatCode="&quot;$&quot;\ #,##0_);[Red]\(&quot;$&quot;\ #,##0\)"/>
    <numFmt numFmtId="7" formatCode="&quot;$&quot;\ #,##0.00_);\(&quot;$&quot;\ #,##0.00\)"/>
    <numFmt numFmtId="44" formatCode="_(&quot;$&quot;\ * #,##0.00_);_(&quot;$&quot;\ * \(#,##0.00\);_(&quot;$&quot;\ * &quot;-&quot;??_);_(@_)"/>
    <numFmt numFmtId="43" formatCode="_(* #,##0.00_);_(* \(#,##0.00\);_(* &quot;-&quot;??_);_(@_)"/>
    <numFmt numFmtId="164" formatCode="_(* #,##0_);_(* \(#,##0\);_(* &quot;-&quot;??_);_(@_)"/>
    <numFmt numFmtId="165" formatCode="&quot;$&quot;\ #,##0"/>
    <numFmt numFmtId="166" formatCode="_-* #,##0.00\ _€_-;\-* #,##0.00\ _€_-;_-* &quot;-&quot;??\ _€_-;_-@_-"/>
    <numFmt numFmtId="167" formatCode="_-* #,##0\ _€_-;\-* #,##0\ _€_-;_-* &quot;-&quot;??\ _€_-;_-@_-"/>
    <numFmt numFmtId="168" formatCode="0;[Red]0"/>
    <numFmt numFmtId="169" formatCode="0.0;[Red]0.0"/>
    <numFmt numFmtId="170" formatCode="#,##0_-;#,##0\-;&quot; &quot;"/>
    <numFmt numFmtId="171" formatCode="0.0"/>
    <numFmt numFmtId="172" formatCode="_-* #,##0\ _P_t_s_-;\-* #,##0\ _P_t_s_-;_-* &quot;-&quot;??\ _P_t_s_-;_-@_-"/>
    <numFmt numFmtId="173" formatCode="#,##0.00\ _€"/>
    <numFmt numFmtId="174" formatCode="_(&quot;$&quot;\ * #,##0_);_(&quot;$&quot;\ * \(#,##0\);_(&quot;$&quot;\ * &quot;-&quot;??_);_(@_)"/>
    <numFmt numFmtId="175" formatCode="0.0%"/>
    <numFmt numFmtId="176" formatCode="0#####\-###"/>
    <numFmt numFmtId="177" formatCode="_(* #,##0.0_);_(* \(#,##0.0\);_(* &quot;-&quot;??_);_(@_)"/>
  </numFmts>
  <fonts count="8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11"/>
      <color indexed="8"/>
      <name val="Calibri"/>
      <family val="2"/>
    </font>
    <font>
      <b/>
      <sz val="9"/>
      <color theme="0"/>
      <name val="Arial"/>
      <family val="2"/>
    </font>
    <font>
      <sz val="10"/>
      <color theme="0"/>
      <name val="Arial"/>
      <family val="2"/>
    </font>
    <font>
      <sz val="12"/>
      <color theme="1"/>
      <name val="Calibri"/>
      <family val="2"/>
      <scheme val="minor"/>
    </font>
    <font>
      <sz val="11"/>
      <name val="Calibri"/>
      <family val="2"/>
      <scheme val="minor"/>
    </font>
    <font>
      <sz val="9"/>
      <color theme="1"/>
      <name val="Calibri"/>
      <family val="2"/>
      <scheme val="minor"/>
    </font>
    <font>
      <b/>
      <sz val="9"/>
      <color indexed="9"/>
      <name val="Arial"/>
      <family val="2"/>
    </font>
    <font>
      <sz val="11"/>
      <color theme="1"/>
      <name val="Arial"/>
      <family val="2"/>
    </font>
    <font>
      <sz val="9"/>
      <name val="Arial"/>
      <family val="2"/>
    </font>
    <font>
      <b/>
      <sz val="9"/>
      <color theme="0"/>
      <name val="Calibri"/>
      <family val="2"/>
      <scheme val="minor"/>
    </font>
    <font>
      <sz val="9"/>
      <name val="Calibri"/>
      <family val="2"/>
      <scheme val="minor"/>
    </font>
    <font>
      <u/>
      <sz val="9"/>
      <color theme="1"/>
      <name val="Calibri"/>
      <family val="2"/>
      <scheme val="minor"/>
    </font>
    <font>
      <sz val="10"/>
      <color theme="1"/>
      <name val="Calibri"/>
      <family val="2"/>
      <scheme val="minor"/>
    </font>
    <font>
      <sz val="8"/>
      <color theme="1"/>
      <name val="Calibri"/>
      <family val="2"/>
      <scheme val="minor"/>
    </font>
    <font>
      <b/>
      <sz val="9"/>
      <color indexed="81"/>
      <name val="Tahoma"/>
      <family val="2"/>
    </font>
    <font>
      <sz val="9"/>
      <color indexed="81"/>
      <name val="Tahoma"/>
      <family val="2"/>
    </font>
    <font>
      <b/>
      <sz val="9"/>
      <name val="Arial"/>
      <family val="2"/>
    </font>
    <font>
      <sz val="10"/>
      <name val="Calibri"/>
      <family val="2"/>
      <scheme val="minor"/>
    </font>
    <font>
      <sz val="8"/>
      <name val="Arial"/>
      <family val="2"/>
    </font>
    <font>
      <sz val="11"/>
      <color theme="5"/>
      <name val="Calibri"/>
      <family val="2"/>
      <scheme val="minor"/>
    </font>
    <font>
      <sz val="10"/>
      <color theme="1"/>
      <name val="Arial"/>
      <family val="2"/>
    </font>
    <font>
      <b/>
      <sz val="8"/>
      <name val="Arial"/>
      <family val="2"/>
    </font>
    <font>
      <b/>
      <sz val="10"/>
      <name val="Calibri"/>
      <family val="2"/>
      <scheme val="minor"/>
    </font>
    <font>
      <sz val="10"/>
      <name val="Arial Narrow"/>
      <family val="2"/>
    </font>
    <font>
      <sz val="8"/>
      <name val="Arial Narrow"/>
      <family val="2"/>
    </font>
    <font>
      <sz val="9"/>
      <color theme="0"/>
      <name val="Calibri"/>
      <family val="2"/>
      <scheme val="minor"/>
    </font>
    <font>
      <sz val="7"/>
      <color theme="1"/>
      <name val="Calibri"/>
      <family val="2"/>
      <scheme val="minor"/>
    </font>
    <font>
      <sz val="10"/>
      <color indexed="9"/>
      <name val="Arial"/>
      <family val="2"/>
    </font>
    <font>
      <sz val="11"/>
      <name val="Calibri"/>
      <family val="2"/>
    </font>
    <font>
      <sz val="8"/>
      <name val="Calibri"/>
      <family val="2"/>
    </font>
    <font>
      <b/>
      <sz val="10"/>
      <name val="Arial"/>
      <family val="2"/>
    </font>
    <font>
      <sz val="10"/>
      <name val="Calibri"/>
      <family val="2"/>
    </font>
    <font>
      <sz val="11"/>
      <color indexed="8"/>
      <name val="Arial"/>
      <family val="2"/>
    </font>
    <font>
      <b/>
      <sz val="9"/>
      <color indexed="9"/>
      <name val="Calibri"/>
      <family val="2"/>
    </font>
    <font>
      <sz val="9"/>
      <name val="Calibri"/>
      <family val="2"/>
    </font>
    <font>
      <sz val="11"/>
      <color indexed="8"/>
      <name val="Calibri"/>
      <family val="2"/>
    </font>
    <font>
      <b/>
      <sz val="9"/>
      <name val="Calibri"/>
      <family val="2"/>
    </font>
    <font>
      <b/>
      <sz val="12"/>
      <name val="Calibri"/>
      <family val="2"/>
    </font>
    <font>
      <b/>
      <sz val="26"/>
      <name val="Calibri"/>
      <family val="2"/>
    </font>
    <font>
      <b/>
      <sz val="11"/>
      <name val="Calibri"/>
      <family val="2"/>
    </font>
    <font>
      <b/>
      <sz val="11"/>
      <color indexed="49"/>
      <name val="Calibri"/>
      <family val="2"/>
    </font>
    <font>
      <sz val="11"/>
      <color indexed="49"/>
      <name val="Calibri"/>
      <family val="2"/>
    </font>
    <font>
      <sz val="11"/>
      <color rgb="FF00B050"/>
      <name val="Calibri"/>
      <family val="2"/>
      <scheme val="minor"/>
    </font>
    <font>
      <sz val="8"/>
      <color rgb="FF000000"/>
      <name val="Verdana"/>
      <family val="2"/>
    </font>
    <font>
      <b/>
      <sz val="9"/>
      <color theme="1"/>
      <name val="Calibri"/>
      <family val="2"/>
      <scheme val="minor"/>
    </font>
    <font>
      <sz val="8"/>
      <color indexed="8"/>
      <name val="Calibri"/>
      <family val="2"/>
    </font>
    <font>
      <sz val="9"/>
      <color indexed="8"/>
      <name val="Calibri"/>
      <family val="2"/>
    </font>
    <font>
      <sz val="10"/>
      <color indexed="8"/>
      <name val="Arial"/>
      <family val="2"/>
    </font>
    <font>
      <sz val="22"/>
      <color indexed="10"/>
      <name val="Calibri"/>
      <family val="2"/>
    </font>
    <font>
      <sz val="11"/>
      <color indexed="8"/>
      <name val="Calibri"/>
      <family val="2"/>
      <scheme val="minor"/>
    </font>
    <font>
      <b/>
      <sz val="10"/>
      <color theme="0"/>
      <name val="Arial"/>
      <family val="2"/>
    </font>
    <font>
      <sz val="12"/>
      <name val="Calibri"/>
      <family val="2"/>
      <scheme val="minor"/>
    </font>
    <font>
      <b/>
      <sz val="9"/>
      <name val="Calibri"/>
      <family val="2"/>
      <scheme val="minor"/>
    </font>
    <font>
      <b/>
      <sz val="8"/>
      <name val="Calibri"/>
      <family val="2"/>
      <scheme val="minor"/>
    </font>
    <font>
      <b/>
      <sz val="11"/>
      <color rgb="FFFF0000"/>
      <name val="Calibri"/>
      <family val="2"/>
      <scheme val="minor"/>
    </font>
    <font>
      <b/>
      <sz val="8"/>
      <color rgb="FFFF0000"/>
      <name val="Calibri"/>
      <family val="2"/>
      <scheme val="minor"/>
    </font>
    <font>
      <b/>
      <sz val="14"/>
      <color indexed="8"/>
      <name val="Calibri"/>
      <family val="2"/>
    </font>
    <font>
      <sz val="14"/>
      <color indexed="8"/>
      <name val="Calibri"/>
      <family val="2"/>
    </font>
    <font>
      <b/>
      <sz val="14"/>
      <color indexed="9"/>
      <name val="Arial"/>
      <family val="2"/>
    </font>
    <font>
      <sz val="14"/>
      <color indexed="8"/>
      <name val="Arial"/>
      <family val="2"/>
    </font>
    <font>
      <sz val="14"/>
      <name val="Arial"/>
      <family val="2"/>
    </font>
    <font>
      <b/>
      <sz val="14"/>
      <color indexed="9"/>
      <name val="Calibri"/>
      <family val="2"/>
    </font>
    <font>
      <sz val="14"/>
      <name val="Calibri"/>
      <family val="2"/>
    </font>
    <font>
      <b/>
      <sz val="8"/>
      <color indexed="81"/>
      <name val="Tahoma"/>
      <family val="2"/>
    </font>
    <font>
      <sz val="8"/>
      <color indexed="81"/>
      <name val="Tahoma"/>
      <family val="2"/>
    </font>
    <font>
      <b/>
      <sz val="10"/>
      <color indexed="9"/>
      <name val="Arial"/>
      <family val="2"/>
    </font>
    <font>
      <sz val="10"/>
      <color rgb="FF000000"/>
      <name val="Segoe UI"/>
      <family val="2"/>
    </font>
    <font>
      <b/>
      <sz val="12"/>
      <name val="Calibri"/>
      <family val="2"/>
      <scheme val="minor"/>
    </font>
    <font>
      <b/>
      <sz val="11"/>
      <name val="Calibri"/>
      <family val="2"/>
      <scheme val="minor"/>
    </font>
    <font>
      <b/>
      <sz val="12"/>
      <name val="Arial"/>
      <family val="2"/>
    </font>
    <font>
      <sz val="10"/>
      <color rgb="FFFF0000"/>
      <name val="Calibri"/>
      <family val="2"/>
      <scheme val="minor"/>
    </font>
    <font>
      <sz val="12"/>
      <name val="Calibri"/>
      <family val="2"/>
    </font>
    <font>
      <sz val="10"/>
      <color rgb="FF222222"/>
      <name val="Arial"/>
      <family val="2"/>
    </font>
    <font>
      <sz val="9"/>
      <color theme="1"/>
      <name val="Arial"/>
      <family val="2"/>
    </font>
    <font>
      <sz val="8"/>
      <name val="Calibri"/>
      <family val="2"/>
      <scheme val="minor"/>
    </font>
    <font>
      <b/>
      <sz val="9"/>
      <color indexed="9"/>
      <name val="Calibri"/>
      <family val="2"/>
      <scheme val="minor"/>
    </font>
  </fonts>
  <fills count="23">
    <fill>
      <patternFill patternType="none"/>
    </fill>
    <fill>
      <patternFill patternType="gray125"/>
    </fill>
    <fill>
      <patternFill patternType="solid">
        <fgColor theme="0"/>
        <bgColor indexed="64"/>
      </patternFill>
    </fill>
    <fill>
      <patternFill patternType="solid">
        <fgColor indexed="53"/>
        <bgColor indexed="64"/>
      </patternFill>
    </fill>
    <fill>
      <patternFill patternType="solid">
        <fgColor theme="4" tint="0.39997558519241921"/>
        <bgColor indexed="64"/>
      </patternFill>
    </fill>
    <fill>
      <patternFill patternType="solid">
        <fgColor rgb="FFF95A13"/>
        <bgColor indexed="64"/>
      </patternFill>
    </fill>
    <fill>
      <patternFill patternType="solid">
        <fgColor rgb="FF7030A0"/>
        <bgColor indexed="64"/>
      </patternFill>
    </fill>
    <fill>
      <patternFill patternType="solid">
        <fgColor theme="0"/>
        <bgColor rgb="FF000000"/>
      </patternFill>
    </fill>
    <fill>
      <patternFill patternType="solid">
        <fgColor rgb="FFFFFF00"/>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indexed="44"/>
        <bgColor indexed="64"/>
      </patternFill>
    </fill>
    <fill>
      <patternFill patternType="solid">
        <fgColor indexed="36"/>
        <bgColor indexed="64"/>
      </patternFill>
    </fill>
    <fill>
      <patternFill patternType="solid">
        <fgColor indexed="13"/>
        <bgColor indexed="64"/>
      </patternFill>
    </fill>
    <fill>
      <patternFill patternType="solid">
        <fgColor rgb="FFFF66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6" tint="0.79998168889431442"/>
        <bgColor indexed="64"/>
      </patternFill>
    </fill>
    <fill>
      <patternFill patternType="solid">
        <fgColor indexed="30"/>
        <bgColor indexed="64"/>
      </patternFill>
    </fill>
    <fill>
      <patternFill patternType="solid">
        <fgColor theme="9"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0" fontId="5" fillId="0" borderId="0"/>
    <xf numFmtId="0" fontId="5" fillId="0" borderId="0" applyFont="0" applyFill="0" applyBorder="0" applyAlignment="0" applyProtection="0"/>
    <xf numFmtId="166" fontId="1" fillId="0" borderId="0" applyFont="0" applyFill="0" applyBorder="0" applyAlignment="0" applyProtection="0"/>
    <xf numFmtId="0" fontId="5" fillId="0" borderId="0" applyFont="0" applyFill="0" applyBorder="0" applyAlignment="0" applyProtection="0"/>
    <xf numFmtId="0" fontId="29" fillId="0" borderId="0"/>
    <xf numFmtId="44" fontId="41" fillId="0" borderId="0" applyFont="0" applyFill="0" applyBorder="0" applyAlignment="0" applyProtection="0"/>
    <xf numFmtId="43" fontId="41" fillId="0" borderId="0" applyFont="0" applyFill="0" applyBorder="0" applyAlignment="0" applyProtection="0"/>
    <xf numFmtId="0" fontId="5" fillId="0" borderId="0"/>
    <xf numFmtId="9" fontId="1" fillId="0" borderId="0" applyFont="0" applyFill="0" applyBorder="0" applyAlignment="0" applyProtection="0"/>
  </cellStyleXfs>
  <cellXfs count="705">
    <xf numFmtId="0" fontId="0" fillId="0" borderId="0" xfId="0"/>
    <xf numFmtId="0" fontId="0" fillId="0" borderId="0" xfId="0" applyProtection="1"/>
    <xf numFmtId="0" fontId="6" fillId="2" borderId="0" xfId="3" applyFont="1" applyFill="1" applyAlignment="1" applyProtection="1">
      <alignment horizontal="center" vertical="center"/>
    </xf>
    <xf numFmtId="3" fontId="6" fillId="2" borderId="0" xfId="3" applyNumberFormat="1" applyFont="1" applyFill="1" applyAlignment="1" applyProtection="1">
      <alignment horizontal="center" vertical="center"/>
    </xf>
    <xf numFmtId="0" fontId="5" fillId="2" borderId="0" xfId="3" applyFill="1" applyAlignment="1" applyProtection="1">
      <alignment vertical="center"/>
    </xf>
    <xf numFmtId="0" fontId="5" fillId="0" borderId="0" xfId="3" applyAlignment="1" applyProtection="1">
      <alignment vertical="center"/>
    </xf>
    <xf numFmtId="3" fontId="5" fillId="0" borderId="0" xfId="3" applyNumberFormat="1" applyAlignment="1" applyProtection="1">
      <alignment vertical="center"/>
    </xf>
    <xf numFmtId="0" fontId="6" fillId="0" borderId="0" xfId="3" applyFont="1" applyAlignment="1" applyProtection="1">
      <alignment horizontal="center" vertical="center"/>
    </xf>
    <xf numFmtId="49" fontId="0" fillId="0" borderId="0" xfId="0" applyNumberFormat="1" applyProtection="1"/>
    <xf numFmtId="0" fontId="0" fillId="0" borderId="0" xfId="0" applyAlignment="1" applyProtection="1">
      <alignment horizontal="justify" vertical="top" wrapText="1"/>
    </xf>
    <xf numFmtId="0" fontId="0" fillId="2" borderId="1" xfId="0" applyFill="1" applyBorder="1" applyAlignment="1" applyProtection="1">
      <alignment horizontal="justify" vertical="top" wrapText="1"/>
    </xf>
    <xf numFmtId="1" fontId="0" fillId="2" borderId="1" xfId="0" applyNumberFormat="1" applyFill="1" applyBorder="1" applyAlignment="1" applyProtection="1">
      <alignment horizontal="justify" vertical="top" wrapText="1"/>
    </xf>
    <xf numFmtId="165" fontId="0" fillId="2" borderId="1" xfId="0" applyNumberFormat="1" applyFill="1" applyBorder="1" applyAlignment="1" applyProtection="1">
      <alignment horizontal="right" vertical="top" wrapText="1"/>
    </xf>
    <xf numFmtId="165" fontId="9" fillId="2" borderId="1" xfId="0" applyNumberFormat="1" applyFont="1" applyFill="1" applyBorder="1" applyAlignment="1" applyProtection="1">
      <alignment horizontal="justify" vertical="top" wrapText="1"/>
    </xf>
    <xf numFmtId="164" fontId="0" fillId="2" borderId="1" xfId="1" applyNumberFormat="1" applyFont="1" applyFill="1" applyBorder="1" applyAlignment="1" applyProtection="1">
      <alignment horizontal="justify" vertical="top" wrapText="1"/>
    </xf>
    <xf numFmtId="0" fontId="0" fillId="2" borderId="1" xfId="0" applyFont="1" applyFill="1" applyBorder="1" applyAlignment="1" applyProtection="1">
      <alignment horizontal="justify" vertical="top" wrapText="1"/>
    </xf>
    <xf numFmtId="2" fontId="0" fillId="0" borderId="0" xfId="0" applyNumberFormat="1" applyProtection="1"/>
    <xf numFmtId="1" fontId="0" fillId="0" borderId="0" xfId="0" applyNumberFormat="1" applyAlignment="1" applyProtection="1">
      <alignment horizontal="justify" vertical="top" wrapText="1"/>
    </xf>
    <xf numFmtId="0" fontId="10" fillId="2" borderId="1" xfId="0" applyFont="1" applyFill="1" applyBorder="1" applyAlignment="1" applyProtection="1">
      <alignment horizontal="justify" vertical="top" wrapText="1"/>
    </xf>
    <xf numFmtId="3" fontId="0" fillId="2" borderId="1" xfId="0" applyNumberFormat="1" applyFill="1" applyBorder="1" applyAlignment="1" applyProtection="1">
      <alignment horizontal="right" vertical="top" wrapText="1"/>
    </xf>
    <xf numFmtId="165" fontId="0" fillId="2" borderId="4" xfId="0" applyNumberFormat="1" applyFill="1" applyBorder="1" applyAlignment="1" applyProtection="1">
      <alignment vertical="top" wrapText="1"/>
    </xf>
    <xf numFmtId="165" fontId="0" fillId="2" borderId="5" xfId="0" applyNumberFormat="1" applyFill="1" applyBorder="1" applyAlignment="1" applyProtection="1">
      <alignment vertical="top" wrapText="1"/>
    </xf>
    <xf numFmtId="164" fontId="0" fillId="0" borderId="0" xfId="1" applyNumberFormat="1" applyFont="1" applyProtection="1"/>
    <xf numFmtId="0" fontId="11" fillId="0" borderId="0" xfId="0" applyFont="1" applyProtection="1"/>
    <xf numFmtId="0" fontId="6" fillId="0" borderId="0" xfId="3" applyFont="1" applyAlignment="1" applyProtection="1">
      <alignment vertical="center"/>
    </xf>
    <xf numFmtId="0" fontId="6" fillId="2" borderId="0" xfId="3" applyFont="1" applyFill="1" applyAlignment="1" applyProtection="1">
      <alignment vertical="center"/>
    </xf>
    <xf numFmtId="3" fontId="6" fillId="0" borderId="0" xfId="3" applyNumberFormat="1" applyFont="1" applyAlignment="1" applyProtection="1">
      <alignment vertical="center"/>
    </xf>
    <xf numFmtId="0" fontId="0" fillId="2" borderId="0" xfId="0" applyFill="1" applyProtection="1"/>
    <xf numFmtId="0" fontId="11" fillId="2" borderId="0" xfId="0" applyFont="1" applyFill="1" applyProtection="1"/>
    <xf numFmtId="0" fontId="13" fillId="0" borderId="0" xfId="0" applyFont="1" applyProtection="1"/>
    <xf numFmtId="164" fontId="12" fillId="5" borderId="1" xfId="4" applyNumberFormat="1" applyFont="1" applyFill="1" applyBorder="1" applyAlignment="1" applyProtection="1">
      <alignment vertical="center" wrapText="1"/>
    </xf>
    <xf numFmtId="164" fontId="12" fillId="4" borderId="1" xfId="4" applyNumberFormat="1" applyFont="1" applyFill="1" applyBorder="1" applyAlignment="1" applyProtection="1">
      <alignment horizontal="center" vertical="center" wrapText="1"/>
    </xf>
    <xf numFmtId="164" fontId="12" fillId="5" borderId="1" xfId="4" applyNumberFormat="1" applyFont="1" applyFill="1" applyBorder="1" applyAlignment="1" applyProtection="1">
      <alignment horizontal="center" vertical="center" wrapText="1"/>
    </xf>
    <xf numFmtId="0" fontId="15" fillId="6" borderId="1" xfId="0" applyFont="1" applyFill="1" applyBorder="1" applyProtection="1"/>
    <xf numFmtId="0" fontId="11" fillId="2" borderId="1" xfId="0" applyFont="1" applyFill="1" applyBorder="1" applyAlignment="1" applyProtection="1">
      <alignment horizontal="justify" vertical="top" wrapText="1"/>
    </xf>
    <xf numFmtId="1" fontId="11" fillId="2" borderId="1" xfId="0" applyNumberFormat="1" applyFont="1" applyFill="1" applyBorder="1" applyAlignment="1" applyProtection="1">
      <alignment horizontal="justify" vertical="top" wrapText="1"/>
    </xf>
    <xf numFmtId="3" fontId="11" fillId="2" borderId="1" xfId="0" applyNumberFormat="1" applyFont="1" applyFill="1" applyBorder="1" applyAlignment="1" applyProtection="1">
      <alignment horizontal="justify" vertical="top" wrapText="1"/>
    </xf>
    <xf numFmtId="0" fontId="14" fillId="2" borderId="1" xfId="3" applyFont="1" applyFill="1" applyBorder="1" applyAlignment="1" applyProtection="1">
      <alignment horizontal="justify" vertical="top" wrapText="1"/>
    </xf>
    <xf numFmtId="0" fontId="16" fillId="2" borderId="1" xfId="0" applyFont="1" applyFill="1" applyBorder="1" applyAlignment="1" applyProtection="1">
      <alignment horizontal="justify" vertical="top" wrapText="1"/>
    </xf>
    <xf numFmtId="3" fontId="0" fillId="2" borderId="1" xfId="0" applyNumberFormat="1" applyFill="1" applyBorder="1" applyAlignment="1" applyProtection="1">
      <alignment horizontal="justify" vertical="top" wrapText="1"/>
    </xf>
    <xf numFmtId="0" fontId="0" fillId="2" borderId="1" xfId="0" quotePrefix="1" applyFill="1" applyBorder="1" applyAlignment="1" applyProtection="1">
      <alignment horizontal="justify" vertical="top" wrapText="1"/>
    </xf>
    <xf numFmtId="0" fontId="0" fillId="2" borderId="1" xfId="0" applyFill="1" applyBorder="1" applyProtection="1"/>
    <xf numFmtId="167" fontId="18" fillId="2" borderId="1" xfId="5" applyNumberFormat="1" applyFont="1" applyFill="1" applyBorder="1" applyAlignment="1" applyProtection="1">
      <alignment horizontal="right" vertical="center" wrapText="1"/>
    </xf>
    <xf numFmtId="3" fontId="10" fillId="2" borderId="1" xfId="0" applyNumberFormat="1" applyFont="1" applyFill="1" applyBorder="1" applyAlignment="1" applyProtection="1">
      <alignment horizontal="justify" vertical="top" wrapText="1"/>
    </xf>
    <xf numFmtId="0" fontId="0" fillId="2" borderId="1" xfId="0" applyFill="1" applyBorder="1" applyAlignment="1" applyProtection="1">
      <alignment horizontal="justify" vertical="center" wrapText="1"/>
    </xf>
    <xf numFmtId="0" fontId="0" fillId="2" borderId="1" xfId="0" applyFill="1" applyBorder="1" applyAlignment="1" applyProtection="1">
      <alignment horizontal="center" vertical="center" wrapText="1"/>
    </xf>
    <xf numFmtId="9" fontId="0" fillId="2" borderId="1" xfId="0" applyNumberFormat="1" applyFill="1" applyBorder="1" applyAlignment="1" applyProtection="1">
      <alignment horizontal="center" vertical="center" wrapText="1"/>
    </xf>
    <xf numFmtId="9" fontId="18" fillId="2" borderId="1" xfId="0" applyNumberFormat="1" applyFont="1" applyFill="1" applyBorder="1" applyAlignment="1" applyProtection="1">
      <alignment horizontal="center" vertical="center" wrapText="1"/>
    </xf>
    <xf numFmtId="167" fontId="0" fillId="2" borderId="1" xfId="5" applyNumberFormat="1" applyFont="1" applyFill="1" applyBorder="1" applyAlignment="1" applyProtection="1">
      <alignment horizontal="right" vertical="center" wrapText="1"/>
    </xf>
    <xf numFmtId="0" fontId="5" fillId="2" borderId="1" xfId="0" applyFont="1" applyFill="1" applyBorder="1" applyAlignment="1" applyProtection="1">
      <alignment vertical="top" wrapText="1"/>
    </xf>
    <xf numFmtId="49" fontId="0" fillId="2" borderId="1" xfId="0" applyNumberFormat="1" applyFill="1" applyBorder="1" applyAlignment="1" applyProtection="1">
      <alignment horizontal="justify" vertical="top" wrapText="1"/>
    </xf>
    <xf numFmtId="167" fontId="18" fillId="2" borderId="1" xfId="0" applyNumberFormat="1" applyFont="1" applyFill="1" applyBorder="1" applyAlignment="1" applyProtection="1">
      <alignment vertical="center"/>
    </xf>
    <xf numFmtId="0" fontId="18" fillId="2" borderId="1" xfId="0" applyFont="1" applyFill="1" applyBorder="1" applyAlignment="1" applyProtection="1">
      <alignment horizontal="center" vertical="center" wrapText="1"/>
    </xf>
    <xf numFmtId="0" fontId="0" fillId="2" borderId="0" xfId="0" applyFill="1" applyAlignment="1" applyProtection="1">
      <alignment horizontal="right" vertical="center"/>
    </xf>
    <xf numFmtId="167" fontId="18" fillId="2" borderId="1" xfId="0" applyNumberFormat="1" applyFont="1" applyFill="1" applyBorder="1" applyAlignment="1" applyProtection="1">
      <alignment horizontal="right" vertical="center"/>
    </xf>
    <xf numFmtId="0" fontId="10" fillId="2" borderId="2" xfId="0" applyFont="1" applyFill="1" applyBorder="1" applyAlignment="1" applyProtection="1">
      <alignment horizontal="justify" vertical="top" wrapText="1"/>
    </xf>
    <xf numFmtId="167" fontId="18" fillId="2" borderId="2" xfId="0" applyNumberFormat="1" applyFont="1" applyFill="1" applyBorder="1" applyAlignment="1" applyProtection="1">
      <alignment vertical="center"/>
    </xf>
    <xf numFmtId="0" fontId="0" fillId="2" borderId="5" xfId="0" applyFill="1" applyBorder="1" applyAlignment="1" applyProtection="1">
      <alignment wrapText="1"/>
    </xf>
    <xf numFmtId="0" fontId="0" fillId="2" borderId="1" xfId="0" applyFill="1" applyBorder="1" applyAlignment="1" applyProtection="1">
      <alignment vertical="top" wrapText="1"/>
    </xf>
    <xf numFmtId="0" fontId="0" fillId="2" borderId="1" xfId="0" applyFill="1" applyBorder="1" applyAlignment="1" applyProtection="1">
      <alignment wrapText="1"/>
    </xf>
    <xf numFmtId="0" fontId="0" fillId="2" borderId="1" xfId="0" applyFill="1" applyBorder="1" applyAlignment="1" applyProtection="1">
      <alignment horizontal="left" vertical="center"/>
    </xf>
    <xf numFmtId="1" fontId="18" fillId="2" borderId="1" xfId="0" applyNumberFormat="1" applyFont="1" applyFill="1" applyBorder="1" applyAlignment="1" applyProtection="1">
      <alignment vertical="center" wrapText="1"/>
    </xf>
    <xf numFmtId="0" fontId="0" fillId="2" borderId="4" xfId="0" applyFill="1" applyBorder="1" applyAlignment="1" applyProtection="1">
      <alignment vertical="center" wrapText="1"/>
    </xf>
    <xf numFmtId="0" fontId="0" fillId="2" borderId="1" xfId="0" applyFill="1" applyBorder="1" applyAlignment="1" applyProtection="1">
      <alignment vertical="center" wrapText="1"/>
    </xf>
    <xf numFmtId="0" fontId="0" fillId="2" borderId="1" xfId="0" applyFill="1" applyBorder="1" applyAlignment="1" applyProtection="1">
      <alignment horizontal="center" vertical="center"/>
    </xf>
    <xf numFmtId="0" fontId="2" fillId="2" borderId="1" xfId="0" applyFont="1" applyFill="1" applyBorder="1" applyAlignment="1" applyProtection="1">
      <alignment horizontal="justify" vertical="top" wrapText="1"/>
    </xf>
    <xf numFmtId="0" fontId="0" fillId="0" borderId="0" xfId="0" applyBorder="1" applyProtection="1"/>
    <xf numFmtId="167" fontId="0" fillId="0" borderId="0" xfId="0" applyNumberFormat="1" applyBorder="1" applyProtection="1"/>
    <xf numFmtId="0" fontId="0" fillId="0" borderId="0" xfId="0" applyAlignment="1" applyProtection="1">
      <alignment horizontal="right"/>
    </xf>
    <xf numFmtId="0" fontId="0" fillId="0" borderId="0" xfId="0" applyAlignment="1" applyProtection="1">
      <alignment horizontal="center"/>
    </xf>
    <xf numFmtId="167" fontId="6" fillId="0" borderId="0" xfId="3" applyNumberFormat="1" applyFont="1" applyAlignment="1" applyProtection="1">
      <alignment vertical="center"/>
    </xf>
    <xf numFmtId="0" fontId="6" fillId="2" borderId="0" xfId="3" applyFont="1" applyFill="1" applyAlignment="1" applyProtection="1">
      <alignment horizontal="right" vertical="center"/>
    </xf>
    <xf numFmtId="0" fontId="0" fillId="2" borderId="0" xfId="0" applyFill="1" applyAlignment="1" applyProtection="1">
      <alignment horizontal="right"/>
    </xf>
    <xf numFmtId="0" fontId="0" fillId="2" borderId="0" xfId="0" applyFill="1" applyAlignment="1" applyProtection="1">
      <alignment horizontal="center"/>
    </xf>
    <xf numFmtId="49" fontId="11" fillId="2" borderId="1" xfId="0" applyNumberFormat="1" applyFont="1" applyFill="1" applyBorder="1" applyAlignment="1" applyProtection="1">
      <alignment horizontal="justify" vertical="top" wrapText="1"/>
    </xf>
    <xf numFmtId="3" fontId="11" fillId="2" borderId="1" xfId="0" applyNumberFormat="1" applyFont="1" applyFill="1" applyBorder="1" applyAlignment="1" applyProtection="1">
      <alignment horizontal="right" vertical="top" wrapText="1"/>
    </xf>
    <xf numFmtId="3" fontId="11" fillId="2" borderId="1" xfId="0" applyNumberFormat="1" applyFont="1" applyFill="1" applyBorder="1" applyAlignment="1" applyProtection="1">
      <alignment horizontal="right" vertical="top"/>
    </xf>
    <xf numFmtId="0" fontId="14" fillId="2" borderId="1" xfId="3" applyFont="1" applyFill="1" applyBorder="1" applyAlignment="1" applyProtection="1">
      <alignment horizontal="center" vertical="top" wrapText="1"/>
    </xf>
    <xf numFmtId="168" fontId="11" fillId="2" borderId="1" xfId="0" applyNumberFormat="1" applyFont="1" applyFill="1" applyBorder="1" applyAlignment="1" applyProtection="1">
      <alignment horizontal="center" vertical="top" wrapText="1"/>
    </xf>
    <xf numFmtId="0" fontId="11" fillId="2" borderId="1" xfId="0" applyFont="1" applyFill="1" applyBorder="1" applyAlignment="1" applyProtection="1">
      <alignment horizontal="center" vertical="top" wrapText="1"/>
    </xf>
    <xf numFmtId="168" fontId="0" fillId="2" borderId="1" xfId="0" applyNumberFormat="1" applyFill="1" applyBorder="1" applyAlignment="1" applyProtection="1">
      <alignment horizontal="center" vertical="top" wrapText="1"/>
    </xf>
    <xf numFmtId="0" fontId="0" fillId="2" borderId="1" xfId="0" applyFill="1" applyBorder="1" applyAlignment="1" applyProtection="1">
      <alignment horizontal="center" vertical="top" wrapText="1"/>
    </xf>
    <xf numFmtId="0" fontId="19" fillId="2" borderId="1" xfId="0" applyFont="1" applyFill="1" applyBorder="1" applyAlignment="1" applyProtection="1">
      <alignment horizontal="justify" vertical="top" wrapText="1"/>
    </xf>
    <xf numFmtId="0" fontId="19" fillId="2" borderId="1" xfId="0" applyFont="1" applyFill="1" applyBorder="1" applyAlignment="1" applyProtection="1">
      <alignment horizontal="center" vertical="top" wrapText="1"/>
    </xf>
    <xf numFmtId="9" fontId="0" fillId="2" borderId="1" xfId="0" applyNumberFormat="1" applyFill="1" applyBorder="1" applyAlignment="1" applyProtection="1">
      <alignment horizontal="center" vertical="top" wrapText="1"/>
    </xf>
    <xf numFmtId="169" fontId="0" fillId="2" borderId="1" xfId="0" applyNumberFormat="1" applyFill="1" applyBorder="1" applyAlignment="1" applyProtection="1">
      <alignment horizontal="center" vertical="top" wrapText="1"/>
    </xf>
    <xf numFmtId="3" fontId="19" fillId="2" borderId="1" xfId="0" applyNumberFormat="1" applyFont="1" applyFill="1" applyBorder="1" applyAlignment="1" applyProtection="1">
      <alignment horizontal="right" vertical="top" wrapText="1"/>
    </xf>
    <xf numFmtId="167" fontId="19" fillId="2" borderId="1" xfId="0" applyNumberFormat="1" applyFont="1" applyFill="1" applyBorder="1" applyAlignment="1" applyProtection="1">
      <alignment horizontal="right" vertical="top"/>
    </xf>
    <xf numFmtId="167" fontId="19" fillId="2" borderId="1" xfId="5" applyNumberFormat="1" applyFont="1" applyFill="1" applyBorder="1" applyAlignment="1" applyProtection="1">
      <alignment horizontal="right" vertical="top"/>
    </xf>
    <xf numFmtId="167" fontId="11" fillId="2" borderId="1" xfId="5" applyNumberFormat="1" applyFont="1" applyFill="1" applyBorder="1" applyAlignment="1" applyProtection="1">
      <alignment horizontal="right" vertical="top"/>
    </xf>
    <xf numFmtId="165" fontId="11" fillId="2" borderId="1" xfId="0" applyNumberFormat="1" applyFont="1" applyFill="1" applyBorder="1" applyAlignment="1" applyProtection="1">
      <alignment horizontal="right" vertical="top"/>
    </xf>
    <xf numFmtId="3" fontId="0" fillId="2" borderId="1" xfId="0" applyNumberFormat="1" applyFill="1" applyBorder="1" applyAlignment="1" applyProtection="1">
      <alignment horizontal="right" vertical="center" wrapText="1"/>
    </xf>
    <xf numFmtId="168" fontId="11" fillId="2" borderId="1" xfId="0" applyNumberFormat="1" applyFont="1" applyFill="1" applyBorder="1" applyAlignment="1" applyProtection="1">
      <alignment vertical="center" wrapText="1"/>
    </xf>
    <xf numFmtId="0" fontId="0" fillId="2" borderId="1" xfId="0" applyFill="1" applyBorder="1" applyAlignment="1" applyProtection="1">
      <alignment horizontal="right"/>
    </xf>
    <xf numFmtId="167" fontId="0" fillId="2" borderId="1" xfId="5" applyNumberFormat="1" applyFont="1" applyFill="1" applyBorder="1" applyAlignment="1" applyProtection="1">
      <alignment horizontal="right" vertical="center"/>
    </xf>
    <xf numFmtId="0" fontId="0" fillId="2" borderId="5" xfId="0" applyFill="1" applyBorder="1" applyAlignment="1" applyProtection="1">
      <alignment horizontal="right"/>
    </xf>
    <xf numFmtId="3" fontId="11" fillId="2" borderId="1" xfId="0" applyNumberFormat="1" applyFont="1" applyFill="1" applyBorder="1" applyAlignment="1" applyProtection="1">
      <alignment horizontal="right" vertical="center" wrapText="1"/>
    </xf>
    <xf numFmtId="0" fontId="11" fillId="2" borderId="1" xfId="0" applyFont="1" applyFill="1" applyBorder="1" applyAlignment="1" applyProtection="1">
      <alignment horizontal="right"/>
    </xf>
    <xf numFmtId="0" fontId="0" fillId="2" borderId="1" xfId="0" applyFill="1" applyBorder="1" applyAlignment="1" applyProtection="1">
      <alignment horizontal="center" vertical="top"/>
    </xf>
    <xf numFmtId="9" fontId="0" fillId="2" borderId="5" xfId="0" applyNumberFormat="1" applyFill="1" applyBorder="1" applyAlignment="1" applyProtection="1">
      <alignment horizontal="center" vertical="top"/>
    </xf>
    <xf numFmtId="0" fontId="0" fillId="2" borderId="5" xfId="0" applyFill="1" applyBorder="1" applyAlignment="1" applyProtection="1">
      <alignment horizontal="center" vertical="center"/>
    </xf>
    <xf numFmtId="0" fontId="0" fillId="2" borderId="1" xfId="0" applyFill="1" applyBorder="1" applyAlignment="1" applyProtection="1">
      <alignment horizontal="center"/>
    </xf>
    <xf numFmtId="0" fontId="0" fillId="2" borderId="1" xfId="0" applyFill="1" applyBorder="1" applyAlignment="1" applyProtection="1">
      <alignment vertical="center"/>
    </xf>
    <xf numFmtId="0" fontId="0" fillId="2" borderId="4" xfId="0" applyFill="1" applyBorder="1" applyAlignment="1" applyProtection="1">
      <alignment vertical="center"/>
    </xf>
    <xf numFmtId="0" fontId="0" fillId="2" borderId="5" xfId="0" applyFill="1" applyBorder="1" applyAlignment="1" applyProtection="1">
      <alignment vertical="center"/>
    </xf>
    <xf numFmtId="0" fontId="0" fillId="2" borderId="4" xfId="0" applyFill="1" applyBorder="1" applyProtection="1"/>
    <xf numFmtId="0" fontId="0" fillId="2" borderId="5" xfId="0" applyFill="1" applyBorder="1" applyProtection="1"/>
    <xf numFmtId="0" fontId="0" fillId="0" borderId="0" xfId="0" applyBorder="1" applyAlignment="1" applyProtection="1">
      <alignment wrapText="1"/>
    </xf>
    <xf numFmtId="0" fontId="0" fillId="0" borderId="0" xfId="0" applyBorder="1" applyAlignment="1" applyProtection="1">
      <alignment horizontal="left" vertical="center"/>
    </xf>
    <xf numFmtId="0" fontId="0" fillId="0" borderId="0" xfId="0" applyBorder="1" applyAlignment="1" applyProtection="1">
      <alignment horizontal="right" wrapText="1"/>
    </xf>
    <xf numFmtId="168" fontId="18" fillId="0" borderId="0" xfId="0" applyNumberFormat="1" applyFont="1" applyBorder="1" applyAlignment="1" applyProtection="1">
      <alignment vertical="center" wrapText="1"/>
    </xf>
    <xf numFmtId="0" fontId="0" fillId="0" borderId="0" xfId="0" applyBorder="1" applyAlignment="1" applyProtection="1">
      <alignment vertical="center" wrapText="1"/>
    </xf>
    <xf numFmtId="167" fontId="18" fillId="0" borderId="0" xfId="0" applyNumberFormat="1" applyFont="1" applyBorder="1" applyProtection="1"/>
    <xf numFmtId="0" fontId="0" fillId="0" borderId="0" xfId="0" applyBorder="1" applyAlignment="1" applyProtection="1">
      <alignment horizontal="right"/>
    </xf>
    <xf numFmtId="0" fontId="0" fillId="0" borderId="0" xfId="0" applyBorder="1" applyAlignment="1" applyProtection="1">
      <alignment horizontal="center"/>
    </xf>
    <xf numFmtId="164" fontId="6" fillId="2" borderId="0" xfId="1" applyNumberFormat="1" applyFont="1" applyFill="1" applyAlignment="1" applyProtection="1">
      <alignment horizontal="center" vertical="center"/>
    </xf>
    <xf numFmtId="164" fontId="1" fillId="2" borderId="1" xfId="1" applyNumberFormat="1" applyFont="1" applyFill="1" applyBorder="1" applyAlignment="1" applyProtection="1">
      <alignment horizontal="justify" vertical="top" wrapText="1"/>
    </xf>
    <xf numFmtId="164" fontId="1" fillId="2" borderId="1" xfId="1" applyNumberFormat="1" applyFont="1" applyFill="1" applyBorder="1" applyAlignment="1" applyProtection="1">
      <alignment horizontal="justify" vertical="center" wrapText="1"/>
    </xf>
    <xf numFmtId="0" fontId="0" fillId="2" borderId="1" xfId="0" applyFont="1" applyFill="1" applyBorder="1" applyAlignment="1" applyProtection="1">
      <alignment horizontal="center" vertical="center" wrapText="1"/>
    </xf>
    <xf numFmtId="164" fontId="10" fillId="2" borderId="1" xfId="1" applyNumberFormat="1" applyFont="1" applyFill="1" applyBorder="1" applyAlignment="1" applyProtection="1">
      <alignment horizontal="justify" vertical="top" wrapText="1"/>
    </xf>
    <xf numFmtId="164" fontId="1" fillId="0" borderId="0" xfId="1" applyNumberFormat="1" applyFont="1" applyProtection="1"/>
    <xf numFmtId="164" fontId="0" fillId="0" borderId="0" xfId="0" applyNumberFormat="1" applyProtection="1"/>
    <xf numFmtId="170" fontId="6" fillId="0" borderId="0" xfId="3" applyNumberFormat="1" applyFont="1" applyAlignment="1" applyProtection="1">
      <alignment vertical="center"/>
    </xf>
    <xf numFmtId="170" fontId="0" fillId="2" borderId="1" xfId="0" applyNumberFormat="1" applyFill="1" applyBorder="1" applyAlignment="1" applyProtection="1">
      <alignment vertical="center"/>
    </xf>
    <xf numFmtId="0" fontId="0" fillId="0" borderId="1" xfId="0" applyBorder="1" applyAlignment="1" applyProtection="1">
      <alignment horizontal="justify" vertical="top" wrapText="1"/>
    </xf>
    <xf numFmtId="9" fontId="14" fillId="2" borderId="1" xfId="3" applyNumberFormat="1" applyFont="1" applyFill="1" applyBorder="1" applyAlignment="1" applyProtection="1">
      <alignment horizontal="justify" vertical="top" wrapText="1"/>
    </xf>
    <xf numFmtId="9" fontId="0" fillId="2" borderId="1" xfId="0" applyNumberFormat="1" applyFill="1" applyBorder="1" applyAlignment="1" applyProtection="1">
      <alignment horizontal="justify" vertical="top" wrapText="1"/>
    </xf>
    <xf numFmtId="9" fontId="0" fillId="0" borderId="1" xfId="0" applyNumberFormat="1" applyBorder="1" applyAlignment="1" applyProtection="1">
      <alignment horizontal="justify" vertical="top" wrapText="1"/>
    </xf>
    <xf numFmtId="0" fontId="11" fillId="0" borderId="3" xfId="0" applyFont="1" applyBorder="1" applyProtection="1"/>
    <xf numFmtId="0" fontId="6" fillId="2" borderId="1" xfId="3" applyFont="1" applyFill="1" applyBorder="1" applyAlignment="1" applyProtection="1">
      <alignment horizontal="center" vertical="center"/>
    </xf>
    <xf numFmtId="3" fontId="6" fillId="2" borderId="1" xfId="3" applyNumberFormat="1" applyFont="1" applyFill="1" applyBorder="1" applyAlignment="1" applyProtection="1">
      <alignment horizontal="center" vertical="center"/>
    </xf>
    <xf numFmtId="0" fontId="5" fillId="2" borderId="1" xfId="3" applyFill="1" applyBorder="1" applyAlignment="1" applyProtection="1">
      <alignment vertical="center"/>
    </xf>
    <xf numFmtId="0" fontId="5" fillId="0" borderId="1" xfId="3" applyBorder="1" applyAlignment="1" applyProtection="1">
      <alignment vertical="center"/>
    </xf>
    <xf numFmtId="0" fontId="6" fillId="0" borderId="1" xfId="3" applyFont="1" applyBorder="1" applyAlignment="1" applyProtection="1">
      <alignment horizontal="center" vertical="center"/>
    </xf>
    <xf numFmtId="49" fontId="10" fillId="2" borderId="1" xfId="0" applyNumberFormat="1" applyFont="1" applyFill="1" applyBorder="1" applyAlignment="1" applyProtection="1">
      <alignment horizontal="justify" vertical="top" wrapText="1"/>
    </xf>
    <xf numFmtId="3" fontId="0" fillId="2" borderId="1" xfId="0" applyNumberFormat="1" applyFont="1" applyFill="1" applyBorder="1" applyAlignment="1" applyProtection="1">
      <alignment horizontal="justify" vertical="top" wrapText="1"/>
    </xf>
    <xf numFmtId="171" fontId="23" fillId="2" borderId="1" xfId="0" applyNumberFormat="1" applyFont="1" applyFill="1" applyBorder="1" applyAlignment="1" applyProtection="1">
      <alignment vertical="top" wrapText="1"/>
    </xf>
    <xf numFmtId="0" fontId="23" fillId="2" borderId="1" xfId="0" applyFont="1" applyFill="1" applyBorder="1" applyAlignment="1" applyProtection="1">
      <alignment vertical="top" wrapText="1"/>
    </xf>
    <xf numFmtId="171" fontId="0" fillId="2" borderId="1" xfId="0" applyNumberFormat="1" applyFont="1" applyFill="1" applyBorder="1" applyAlignment="1" applyProtection="1">
      <alignment horizontal="justify" vertical="top" wrapText="1"/>
    </xf>
    <xf numFmtId="1" fontId="0" fillId="0" borderId="0" xfId="0" applyNumberFormat="1" applyAlignment="1" applyProtection="1">
      <alignment vertical="top"/>
    </xf>
    <xf numFmtId="171" fontId="5" fillId="7" borderId="1" xfId="0" applyNumberFormat="1" applyFont="1" applyFill="1" applyBorder="1" applyAlignment="1" applyProtection="1">
      <alignment vertical="top" wrapText="1"/>
    </xf>
    <xf numFmtId="1" fontId="10" fillId="2" borderId="1" xfId="0" applyNumberFormat="1" applyFont="1" applyFill="1" applyBorder="1" applyAlignment="1" applyProtection="1">
      <alignment horizontal="justify" vertical="top" wrapText="1"/>
    </xf>
    <xf numFmtId="0" fontId="23" fillId="2" borderId="1" xfId="0" applyNumberFormat="1" applyFont="1" applyFill="1" applyBorder="1" applyAlignment="1" applyProtection="1">
      <alignment vertical="top" wrapText="1"/>
    </xf>
    <xf numFmtId="0" fontId="0" fillId="2" borderId="1" xfId="0" applyNumberFormat="1" applyFill="1" applyBorder="1" applyAlignment="1" applyProtection="1">
      <alignment horizontal="justify" vertical="top" wrapText="1"/>
    </xf>
    <xf numFmtId="167" fontId="0" fillId="2" borderId="1" xfId="1" applyNumberFormat="1" applyFont="1" applyFill="1" applyBorder="1" applyProtection="1"/>
    <xf numFmtId="0" fontId="23" fillId="2" borderId="1" xfId="0" applyFont="1" applyFill="1" applyBorder="1" applyAlignment="1" applyProtection="1">
      <alignment vertical="center" wrapText="1"/>
    </xf>
    <xf numFmtId="0" fontId="0" fillId="2" borderId="1" xfId="0" applyFont="1" applyFill="1" applyBorder="1" applyAlignment="1" applyProtection="1">
      <alignment horizontal="right" vertical="top" wrapText="1"/>
    </xf>
    <xf numFmtId="0" fontId="5" fillId="7" borderId="5" xfId="0" applyFont="1" applyFill="1" applyBorder="1" applyAlignment="1" applyProtection="1">
      <alignment vertical="top" wrapText="1"/>
    </xf>
    <xf numFmtId="0" fontId="0" fillId="2" borderId="1" xfId="0" applyFont="1" applyFill="1" applyBorder="1" applyProtection="1"/>
    <xf numFmtId="0" fontId="0" fillId="2" borderId="1" xfId="0" applyFont="1" applyFill="1" applyBorder="1" applyAlignment="1" applyProtection="1">
      <alignment wrapText="1"/>
    </xf>
    <xf numFmtId="171" fontId="5" fillId="7" borderId="1" xfId="0" applyNumberFormat="1" applyFont="1" applyFill="1" applyBorder="1" applyAlignment="1" applyProtection="1">
      <alignment horizontal="right" wrapText="1"/>
    </xf>
    <xf numFmtId="0" fontId="5" fillId="7" borderId="1" xfId="0" applyFont="1" applyFill="1" applyBorder="1" applyAlignment="1" applyProtection="1">
      <alignment vertical="top" wrapText="1"/>
    </xf>
    <xf numFmtId="1" fontId="0" fillId="2" borderId="0" xfId="0" applyNumberFormat="1" applyFill="1" applyAlignment="1" applyProtection="1">
      <alignment vertical="top"/>
    </xf>
    <xf numFmtId="171" fontId="5" fillId="7" borderId="1" xfId="0" applyNumberFormat="1" applyFont="1" applyFill="1" applyBorder="1" applyAlignment="1" applyProtection="1">
      <alignment wrapText="1"/>
    </xf>
    <xf numFmtId="0" fontId="5" fillId="2" borderId="1" xfId="0" applyFont="1" applyFill="1" applyBorder="1" applyAlignment="1" applyProtection="1">
      <alignment horizontal="justify" wrapText="1"/>
    </xf>
    <xf numFmtId="3" fontId="0" fillId="0" borderId="0" xfId="0" applyNumberFormat="1" applyProtection="1"/>
    <xf numFmtId="164" fontId="12" fillId="5" borderId="1" xfId="6" applyNumberFormat="1" applyFont="1" applyFill="1" applyBorder="1" applyAlignment="1" applyProtection="1">
      <alignment vertical="center" wrapText="1"/>
    </xf>
    <xf numFmtId="164" fontId="12" fillId="4" borderId="1" xfId="6" applyNumberFormat="1" applyFont="1" applyFill="1" applyBorder="1" applyAlignment="1" applyProtection="1">
      <alignment horizontal="center" vertical="center" wrapText="1"/>
    </xf>
    <xf numFmtId="164" fontId="12" fillId="4" borderId="1" xfId="6" applyNumberFormat="1" applyFont="1" applyFill="1" applyBorder="1" applyAlignment="1" applyProtection="1">
      <alignment horizontal="center" vertical="center" wrapText="1"/>
      <protection locked="0"/>
    </xf>
    <xf numFmtId="164" fontId="12" fillId="5" borderId="1" xfId="6" applyNumberFormat="1" applyFont="1" applyFill="1" applyBorder="1" applyAlignment="1" applyProtection="1">
      <alignment horizontal="center" vertical="center" wrapText="1"/>
    </xf>
    <xf numFmtId="3" fontId="14" fillId="2" borderId="1" xfId="3" applyNumberFormat="1" applyFont="1" applyFill="1" applyBorder="1" applyAlignment="1" applyProtection="1">
      <alignment horizontal="justify" vertical="top" wrapText="1"/>
    </xf>
    <xf numFmtId="3" fontId="0" fillId="2" borderId="0" xfId="0" applyNumberFormat="1" applyFill="1" applyBorder="1" applyAlignment="1" applyProtection="1">
      <alignment horizontal="justify" vertical="top" wrapText="1"/>
    </xf>
    <xf numFmtId="167" fontId="0" fillId="2" borderId="1" xfId="1" applyNumberFormat="1" applyFont="1" applyFill="1" applyBorder="1" applyAlignment="1" applyProtection="1">
      <alignment vertical="top"/>
    </xf>
    <xf numFmtId="0" fontId="24" fillId="2" borderId="1" xfId="0" applyFont="1" applyFill="1" applyBorder="1" applyAlignment="1" applyProtection="1">
      <alignment vertical="top" wrapText="1"/>
    </xf>
    <xf numFmtId="0" fontId="24" fillId="2" borderId="2" xfId="0" applyFont="1" applyFill="1" applyBorder="1" applyAlignment="1" applyProtection="1">
      <alignment horizontal="justify" vertical="center" wrapText="1"/>
    </xf>
    <xf numFmtId="3" fontId="24" fillId="2" borderId="1" xfId="0" applyNumberFormat="1" applyFont="1" applyFill="1" applyBorder="1" applyAlignment="1" applyProtection="1">
      <alignment horizontal="right" vertical="center" wrapText="1"/>
    </xf>
    <xf numFmtId="167" fontId="25" fillId="2" borderId="1" xfId="1" applyNumberFormat="1" applyFont="1" applyFill="1" applyBorder="1" applyAlignment="1" applyProtection="1">
      <alignment vertical="top"/>
    </xf>
    <xf numFmtId="1" fontId="14" fillId="2" borderId="1" xfId="3" applyNumberFormat="1" applyFont="1" applyFill="1" applyBorder="1" applyAlignment="1" applyProtection="1">
      <alignment horizontal="justify" vertical="top" wrapText="1"/>
    </xf>
    <xf numFmtId="172" fontId="24" fillId="2" borderId="1" xfId="1" applyNumberFormat="1" applyFont="1" applyFill="1" applyBorder="1" applyAlignment="1" applyProtection="1">
      <alignment horizontal="justify" vertical="top" wrapText="1"/>
    </xf>
    <xf numFmtId="3" fontId="24" fillId="2" borderId="1" xfId="0" applyNumberFormat="1" applyFont="1" applyFill="1" applyBorder="1" applyAlignment="1" applyProtection="1">
      <alignment horizontal="center" vertical="top" wrapText="1"/>
    </xf>
    <xf numFmtId="3" fontId="26" fillId="2" borderId="1" xfId="0" applyNumberFormat="1" applyFont="1" applyFill="1" applyBorder="1" applyAlignment="1" applyProtection="1">
      <alignment horizontal="right" vertical="center" wrapText="1"/>
    </xf>
    <xf numFmtId="0" fontId="24" fillId="2" borderId="3" xfId="0" applyFont="1" applyFill="1" applyBorder="1" applyAlignment="1" applyProtection="1">
      <alignment vertical="top" wrapText="1"/>
    </xf>
    <xf numFmtId="0" fontId="0" fillId="8" borderId="0" xfId="0" applyFill="1" applyProtection="1"/>
    <xf numFmtId="0" fontId="23" fillId="2" borderId="0" xfId="0" applyFont="1" applyFill="1" applyBorder="1" applyAlignment="1" applyProtection="1">
      <alignment horizontal="center" vertical="center" wrapText="1"/>
    </xf>
    <xf numFmtId="3" fontId="24" fillId="2" borderId="1" xfId="0" applyNumberFormat="1" applyFont="1" applyFill="1" applyBorder="1" applyAlignment="1" applyProtection="1">
      <alignment horizontal="center" vertical="center" wrapText="1"/>
    </xf>
    <xf numFmtId="0" fontId="14" fillId="2" borderId="1" xfId="3" applyFont="1" applyFill="1" applyBorder="1" applyAlignment="1" applyProtection="1">
      <alignment horizontal="justify" vertical="top"/>
    </xf>
    <xf numFmtId="0" fontId="24" fillId="2" borderId="1" xfId="0" applyFont="1" applyFill="1" applyBorder="1" applyAlignment="1" applyProtection="1">
      <alignment horizontal="justify" vertical="top" wrapText="1"/>
    </xf>
    <xf numFmtId="0" fontId="18" fillId="2" borderId="1" xfId="0" applyFont="1" applyFill="1" applyBorder="1" applyAlignment="1" applyProtection="1">
      <alignment horizontal="justify" vertical="top" wrapText="1"/>
    </xf>
    <xf numFmtId="173" fontId="14" fillId="2" borderId="1" xfId="0" applyNumberFormat="1" applyFont="1" applyFill="1" applyBorder="1" applyAlignment="1" applyProtection="1">
      <alignment horizontal="justify" vertical="top" wrapText="1"/>
    </xf>
    <xf numFmtId="173" fontId="14" fillId="2" borderId="1" xfId="0" applyNumberFormat="1" applyFont="1" applyFill="1" applyBorder="1" applyAlignment="1" applyProtection="1">
      <alignment vertical="top" wrapText="1"/>
    </xf>
    <xf numFmtId="0" fontId="24" fillId="2" borderId="1" xfId="0" applyFont="1" applyFill="1" applyBorder="1" applyAlignment="1" applyProtection="1">
      <alignment horizontal="justify" vertical="center" wrapText="1"/>
    </xf>
    <xf numFmtId="0" fontId="5" fillId="2" borderId="1" xfId="0" applyFont="1" applyFill="1" applyBorder="1" applyAlignment="1" applyProtection="1">
      <alignment horizontal="center" vertical="center" wrapText="1"/>
    </xf>
    <xf numFmtId="0" fontId="24" fillId="2" borderId="8" xfId="0" applyFont="1" applyFill="1" applyBorder="1" applyAlignment="1" applyProtection="1">
      <alignment horizontal="justify" vertical="top" wrapText="1"/>
    </xf>
    <xf numFmtId="0" fontId="30" fillId="2" borderId="9" xfId="7" applyFont="1" applyFill="1" applyBorder="1" applyAlignment="1" applyProtection="1">
      <alignment horizontal="justify" vertical="center" wrapText="1"/>
    </xf>
    <xf numFmtId="3" fontId="0" fillId="2" borderId="2" xfId="0" applyNumberFormat="1" applyFill="1" applyBorder="1" applyAlignment="1" applyProtection="1">
      <alignment horizontal="justify" vertical="top" wrapText="1"/>
    </xf>
    <xf numFmtId="0" fontId="24" fillId="2" borderId="2" xfId="0" applyFont="1" applyFill="1" applyBorder="1" applyAlignment="1" applyProtection="1">
      <alignment vertical="top" wrapText="1"/>
    </xf>
    <xf numFmtId="0" fontId="24" fillId="2" borderId="1" xfId="0" applyFont="1" applyFill="1" applyBorder="1" applyAlignment="1" applyProtection="1">
      <alignment horizontal="center" vertical="top" wrapText="1"/>
    </xf>
    <xf numFmtId="0" fontId="24" fillId="2" borderId="7" xfId="0" applyFont="1" applyFill="1" applyBorder="1" applyAlignment="1" applyProtection="1">
      <alignment vertical="center" wrapText="1"/>
    </xf>
    <xf numFmtId="0" fontId="0" fillId="0" borderId="0" xfId="0" applyAlignment="1" applyProtection="1">
      <alignment horizontal="justify" vertical="top"/>
    </xf>
    <xf numFmtId="0" fontId="6" fillId="9" borderId="0" xfId="3" applyFont="1" applyFill="1" applyAlignment="1" applyProtection="1">
      <alignment horizontal="center" vertical="center"/>
    </xf>
    <xf numFmtId="0" fontId="6" fillId="0" borderId="0" xfId="3" applyFont="1" applyAlignment="1" applyProtection="1">
      <alignment horizontal="justify" vertical="top"/>
    </xf>
    <xf numFmtId="0" fontId="5" fillId="9" borderId="0" xfId="3" applyFill="1" applyAlignment="1" applyProtection="1">
      <alignment vertical="center"/>
    </xf>
    <xf numFmtId="0" fontId="11" fillId="2" borderId="1" xfId="0" applyFont="1" applyFill="1" applyBorder="1" applyAlignment="1" applyProtection="1">
      <alignment horizontal="justify" vertical="top"/>
    </xf>
    <xf numFmtId="1" fontId="0" fillId="2" borderId="1" xfId="0" applyNumberFormat="1" applyFill="1" applyBorder="1" applyAlignment="1" applyProtection="1">
      <alignment horizontal="right" vertical="top"/>
    </xf>
    <xf numFmtId="0" fontId="0" fillId="2" borderId="1" xfId="0" applyFill="1" applyBorder="1" applyAlignment="1" applyProtection="1">
      <alignment horizontal="justify" vertical="top"/>
    </xf>
    <xf numFmtId="49" fontId="11" fillId="2" borderId="1" xfId="0" applyNumberFormat="1" applyFont="1" applyFill="1" applyBorder="1" applyAlignment="1" applyProtection="1">
      <alignment horizontal="justify" vertical="top"/>
    </xf>
    <xf numFmtId="3" fontId="0" fillId="2" borderId="1" xfId="0" applyNumberFormat="1" applyFill="1" applyBorder="1" applyAlignment="1" applyProtection="1">
      <alignment horizontal="justify" vertical="top"/>
    </xf>
    <xf numFmtId="3" fontId="19" fillId="2" borderId="1" xfId="0" applyNumberFormat="1" applyFont="1" applyFill="1" applyBorder="1" applyAlignment="1" applyProtection="1">
      <alignment horizontal="justify" vertical="top"/>
    </xf>
    <xf numFmtId="0" fontId="0" fillId="2" borderId="2" xfId="0" applyFill="1" applyBorder="1" applyAlignment="1" applyProtection="1">
      <alignment horizontal="justify" vertical="top"/>
    </xf>
    <xf numFmtId="0" fontId="0" fillId="2" borderId="5" xfId="0" applyFill="1" applyBorder="1" applyAlignment="1" applyProtection="1">
      <alignment horizontal="justify" vertical="top"/>
    </xf>
    <xf numFmtId="0" fontId="10" fillId="2" borderId="1" xfId="0" applyFont="1" applyFill="1" applyBorder="1" applyAlignment="1" applyProtection="1">
      <alignment horizontal="justify" vertical="top"/>
    </xf>
    <xf numFmtId="0" fontId="0" fillId="2" borderId="0" xfId="0" applyFill="1" applyAlignment="1" applyProtection="1">
      <alignment horizontal="justify" vertical="top" wrapText="1"/>
    </xf>
    <xf numFmtId="0" fontId="11" fillId="2" borderId="4" xfId="0" applyFont="1" applyFill="1" applyBorder="1" applyAlignment="1" applyProtection="1">
      <alignment horizontal="justify" vertical="top"/>
    </xf>
    <xf numFmtId="0" fontId="19" fillId="2" borderId="1" xfId="0" applyFont="1" applyFill="1" applyBorder="1" applyAlignment="1" applyProtection="1">
      <alignment horizontal="justify" vertical="top"/>
    </xf>
    <xf numFmtId="171" fontId="14" fillId="7" borderId="1" xfId="0" applyNumberFormat="1" applyFont="1" applyFill="1" applyBorder="1" applyAlignment="1" applyProtection="1">
      <alignment horizontal="right" vertical="top" wrapText="1"/>
    </xf>
    <xf numFmtId="0" fontId="14" fillId="2" borderId="1" xfId="0" applyFont="1" applyFill="1" applyBorder="1" applyAlignment="1" applyProtection="1">
      <alignment vertical="top" wrapText="1"/>
    </xf>
    <xf numFmtId="0" fontId="11" fillId="2" borderId="1" xfId="0" applyFont="1" applyFill="1" applyBorder="1" applyProtection="1"/>
    <xf numFmtId="1" fontId="0" fillId="2" borderId="1" xfId="0" applyNumberFormat="1" applyFill="1" applyBorder="1" applyAlignment="1" applyProtection="1">
      <alignment horizontal="justify" vertical="top"/>
    </xf>
    <xf numFmtId="0" fontId="16" fillId="2" borderId="4" xfId="0" applyFont="1" applyFill="1" applyBorder="1" applyAlignment="1" applyProtection="1">
      <alignment horizontal="justify" vertical="top"/>
    </xf>
    <xf numFmtId="3" fontId="10" fillId="2" borderId="1" xfId="0" applyNumberFormat="1" applyFont="1" applyFill="1" applyBorder="1" applyAlignment="1" applyProtection="1">
      <alignment horizontal="justify" vertical="top"/>
    </xf>
    <xf numFmtId="3" fontId="0" fillId="2" borderId="1" xfId="0" applyNumberFormat="1" applyFill="1" applyBorder="1" applyAlignment="1" applyProtection="1">
      <alignment horizontal="center" vertical="top" wrapText="1"/>
    </xf>
    <xf numFmtId="171" fontId="14" fillId="2" borderId="1" xfId="0" applyNumberFormat="1" applyFont="1" applyFill="1" applyBorder="1" applyAlignment="1" applyProtection="1">
      <alignment horizontal="right" vertical="top" wrapText="1"/>
    </xf>
    <xf numFmtId="0" fontId="0" fillId="2" borderId="0" xfId="0" applyFill="1" applyAlignment="1" applyProtection="1">
      <alignment horizontal="justify" vertical="top"/>
    </xf>
    <xf numFmtId="0" fontId="0" fillId="10" borderId="0" xfId="0" applyFill="1" applyProtection="1"/>
    <xf numFmtId="0" fontId="6" fillId="9" borderId="0" xfId="3" applyFont="1" applyFill="1" applyAlignment="1" applyProtection="1">
      <alignment vertical="center"/>
    </xf>
    <xf numFmtId="0" fontId="0" fillId="9" borderId="0" xfId="0" applyFill="1" applyProtection="1"/>
    <xf numFmtId="3" fontId="11" fillId="2" borderId="1" xfId="0" applyNumberFormat="1" applyFont="1" applyFill="1" applyBorder="1" applyAlignment="1" applyProtection="1">
      <alignment horizontal="justify" vertical="top"/>
    </xf>
    <xf numFmtId="3" fontId="11" fillId="2" borderId="1" xfId="0" applyNumberFormat="1" applyFont="1" applyFill="1" applyBorder="1" applyProtection="1"/>
    <xf numFmtId="49" fontId="11" fillId="2" borderId="1" xfId="0" applyNumberFormat="1" applyFont="1" applyFill="1" applyBorder="1" applyProtection="1"/>
    <xf numFmtId="3" fontId="0" fillId="2" borderId="1" xfId="0" applyNumberFormat="1" applyFill="1" applyBorder="1" applyProtection="1"/>
    <xf numFmtId="1" fontId="11" fillId="2" borderId="1" xfId="0" applyNumberFormat="1" applyFont="1" applyFill="1" applyBorder="1" applyAlignment="1" applyProtection="1">
      <alignment horizontal="justify" vertical="top"/>
    </xf>
    <xf numFmtId="0" fontId="0" fillId="2" borderId="1" xfId="0" applyFill="1" applyBorder="1" applyAlignment="1" applyProtection="1">
      <alignment horizontal="center" wrapText="1"/>
    </xf>
    <xf numFmtId="3" fontId="31" fillId="2" borderId="1" xfId="0" applyNumberFormat="1" applyFont="1" applyFill="1" applyBorder="1" applyProtection="1"/>
    <xf numFmtId="3" fontId="4" fillId="2" borderId="1" xfId="0" applyNumberFormat="1" applyFont="1" applyFill="1" applyBorder="1" applyProtection="1"/>
    <xf numFmtId="3" fontId="31" fillId="2" borderId="1" xfId="0" applyNumberFormat="1" applyFont="1" applyFill="1" applyBorder="1" applyAlignment="1" applyProtection="1">
      <alignment horizontal="justify" vertical="top"/>
    </xf>
    <xf numFmtId="3" fontId="0" fillId="2" borderId="1" xfId="0" applyNumberFormat="1" applyFont="1" applyFill="1" applyBorder="1" applyProtection="1"/>
    <xf numFmtId="0" fontId="0" fillId="2" borderId="1" xfId="0" applyFont="1" applyFill="1" applyBorder="1" applyAlignment="1" applyProtection="1">
      <alignment horizontal="justify" vertical="top"/>
    </xf>
    <xf numFmtId="3" fontId="11" fillId="2" borderId="2" xfId="0" applyNumberFormat="1" applyFont="1" applyFill="1" applyBorder="1" applyAlignment="1" applyProtection="1">
      <alignment horizontal="justify" vertical="top"/>
    </xf>
    <xf numFmtId="3" fontId="11" fillId="0" borderId="1" xfId="0" applyNumberFormat="1" applyFont="1" applyBorder="1" applyAlignment="1" applyProtection="1">
      <alignment horizontal="justify" vertical="top"/>
    </xf>
    <xf numFmtId="3" fontId="11" fillId="11" borderId="1" xfId="0" applyNumberFormat="1" applyFont="1" applyFill="1" applyBorder="1" applyAlignment="1" applyProtection="1">
      <alignment horizontal="justify" vertical="top"/>
    </xf>
    <xf numFmtId="3" fontId="11" fillId="2" borderId="0" xfId="0" applyNumberFormat="1" applyFont="1" applyFill="1" applyBorder="1" applyAlignment="1" applyProtection="1">
      <alignment horizontal="justify" vertical="top"/>
    </xf>
    <xf numFmtId="0" fontId="0" fillId="2" borderId="0" xfId="0" applyFill="1" applyBorder="1" applyProtection="1"/>
    <xf numFmtId="174" fontId="6" fillId="2" borderId="0" xfId="2" applyNumberFormat="1" applyFont="1" applyFill="1" applyAlignment="1" applyProtection="1">
      <alignment horizontal="center" vertical="center"/>
    </xf>
    <xf numFmtId="0" fontId="5" fillId="0" borderId="0" xfId="3" applyAlignment="1" applyProtection="1">
      <alignment horizontal="center" vertical="center"/>
    </xf>
    <xf numFmtId="174" fontId="0" fillId="2" borderId="1" xfId="2" applyNumberFormat="1" applyFont="1" applyFill="1" applyBorder="1" applyAlignment="1" applyProtection="1">
      <alignment horizontal="center" vertical="top" wrapText="1"/>
    </xf>
    <xf numFmtId="164" fontId="9" fillId="2" borderId="1" xfId="1" applyNumberFormat="1" applyFont="1" applyFill="1" applyBorder="1" applyAlignment="1" applyProtection="1">
      <alignment horizontal="justify" vertical="top" wrapText="1"/>
    </xf>
    <xf numFmtId="0" fontId="0" fillId="2" borderId="1" xfId="0" applyFill="1" applyBorder="1" applyAlignment="1" applyProtection="1">
      <alignment horizontal="right" vertical="top" wrapText="1"/>
    </xf>
    <xf numFmtId="2" fontId="0" fillId="0" borderId="0" xfId="0" applyNumberFormat="1" applyFill="1" applyProtection="1"/>
    <xf numFmtId="0" fontId="0" fillId="0" borderId="0" xfId="0" applyFill="1" applyProtection="1"/>
    <xf numFmtId="1" fontId="0" fillId="0" borderId="0" xfId="0" applyNumberFormat="1" applyFill="1" applyAlignment="1" applyProtection="1">
      <alignment horizontal="justify" vertical="top" wrapText="1"/>
    </xf>
    <xf numFmtId="0" fontId="5" fillId="0" borderId="0" xfId="0" applyFont="1" applyFill="1" applyBorder="1" applyAlignment="1" applyProtection="1">
      <alignment vertical="top" wrapText="1"/>
    </xf>
    <xf numFmtId="174" fontId="0" fillId="0" borderId="0" xfId="2" applyNumberFormat="1" applyFont="1" applyAlignment="1" applyProtection="1">
      <alignment horizontal="center"/>
    </xf>
    <xf numFmtId="3" fontId="6" fillId="2" borderId="0" xfId="3" applyNumberFormat="1" applyFont="1" applyFill="1" applyAlignment="1" applyProtection="1">
      <alignment vertical="center"/>
    </xf>
    <xf numFmtId="49" fontId="0" fillId="2" borderId="1" xfId="0" applyNumberFormat="1" applyFill="1" applyBorder="1" applyProtection="1"/>
    <xf numFmtId="0" fontId="0" fillId="2" borderId="8" xfId="0" applyFill="1" applyBorder="1" applyAlignment="1" applyProtection="1">
      <alignment horizontal="justify" vertical="top" wrapText="1"/>
    </xf>
    <xf numFmtId="0" fontId="11" fillId="0" borderId="1" xfId="0" applyFont="1" applyBorder="1" applyAlignment="1" applyProtection="1">
      <alignment horizontal="justify" vertical="top" wrapText="1"/>
    </xf>
    <xf numFmtId="3" fontId="5" fillId="2" borderId="0" xfId="3" applyNumberFormat="1" applyFill="1" applyAlignment="1" applyProtection="1">
      <alignment vertical="center"/>
    </xf>
    <xf numFmtId="3" fontId="19" fillId="2" borderId="1" xfId="0" applyNumberFormat="1" applyFont="1" applyFill="1" applyBorder="1" applyAlignment="1" applyProtection="1">
      <alignment horizontal="justify" vertical="top" wrapText="1"/>
    </xf>
    <xf numFmtId="49" fontId="0" fillId="0" borderId="0" xfId="0" applyNumberFormat="1" applyAlignment="1" applyProtection="1">
      <alignment horizontal="justify" vertical="top" wrapText="1"/>
    </xf>
    <xf numFmtId="0" fontId="0" fillId="0" borderId="0" xfId="0" applyBorder="1" applyAlignment="1" applyProtection="1">
      <alignment horizontal="justify" vertical="top" wrapText="1"/>
    </xf>
    <xf numFmtId="0" fontId="0" fillId="2" borderId="0" xfId="0" applyFill="1" applyBorder="1" applyAlignment="1" applyProtection="1">
      <alignment horizontal="justify" vertical="top" wrapText="1"/>
    </xf>
    <xf numFmtId="49" fontId="0" fillId="0" borderId="0" xfId="0" applyNumberFormat="1" applyBorder="1" applyProtection="1"/>
    <xf numFmtId="164" fontId="0" fillId="0" borderId="1" xfId="1" applyNumberFormat="1" applyFont="1" applyBorder="1" applyAlignment="1" applyProtection="1">
      <alignment horizontal="justify" vertical="top" wrapText="1"/>
    </xf>
    <xf numFmtId="3" fontId="0" fillId="0" borderId="1" xfId="0" applyNumberFormat="1" applyBorder="1" applyAlignment="1" applyProtection="1">
      <alignment horizontal="justify" vertical="top" wrapText="1"/>
    </xf>
    <xf numFmtId="164" fontId="0" fillId="2" borderId="0" xfId="0" applyNumberFormat="1" applyFill="1" applyProtection="1"/>
    <xf numFmtId="3" fontId="18" fillId="2" borderId="1" xfId="0" applyNumberFormat="1" applyFont="1" applyFill="1" applyBorder="1" applyAlignment="1" applyProtection="1">
      <alignment horizontal="justify" vertical="top" wrapText="1"/>
    </xf>
    <xf numFmtId="49" fontId="0" fillId="0" borderId="0" xfId="0" applyNumberFormat="1" applyAlignment="1" applyProtection="1">
      <alignment wrapText="1"/>
    </xf>
    <xf numFmtId="0" fontId="11" fillId="2" borderId="2" xfId="0" applyFont="1" applyFill="1" applyBorder="1" applyAlignment="1" applyProtection="1">
      <alignment horizontal="justify" vertical="top" wrapText="1"/>
    </xf>
    <xf numFmtId="49" fontId="11" fillId="2" borderId="2" xfId="0" applyNumberFormat="1" applyFont="1" applyFill="1" applyBorder="1" applyAlignment="1" applyProtection="1">
      <alignment horizontal="justify" vertical="top" wrapText="1"/>
    </xf>
    <xf numFmtId="3" fontId="11" fillId="2" borderId="2" xfId="0" applyNumberFormat="1" applyFont="1" applyFill="1" applyBorder="1" applyAlignment="1" applyProtection="1">
      <alignment horizontal="justify" vertical="top" wrapText="1"/>
    </xf>
    <xf numFmtId="3" fontId="19" fillId="2" borderId="2" xfId="0" applyNumberFormat="1" applyFont="1" applyFill="1" applyBorder="1" applyAlignment="1" applyProtection="1">
      <alignment horizontal="justify" vertical="top" wrapText="1"/>
    </xf>
    <xf numFmtId="0" fontId="14" fillId="2" borderId="2" xfId="3" applyFont="1" applyFill="1" applyBorder="1" applyAlignment="1" applyProtection="1">
      <alignment horizontal="justify" vertical="top" wrapText="1"/>
    </xf>
    <xf numFmtId="0" fontId="0" fillId="2" borderId="2" xfId="0" applyFill="1" applyBorder="1" applyAlignment="1" applyProtection="1">
      <alignment horizontal="justify" vertical="top" wrapText="1"/>
    </xf>
    <xf numFmtId="0" fontId="0" fillId="0" borderId="2" xfId="0" applyBorder="1" applyAlignment="1" applyProtection="1">
      <alignment horizontal="justify" vertical="top" wrapText="1"/>
    </xf>
    <xf numFmtId="0" fontId="11" fillId="0" borderId="0" xfId="0" applyFont="1" applyBorder="1" applyAlignment="1" applyProtection="1">
      <alignment horizontal="justify" vertical="top" wrapText="1"/>
    </xf>
    <xf numFmtId="43" fontId="32" fillId="2" borderId="0" xfId="1" applyFont="1" applyFill="1" applyBorder="1" applyAlignment="1" applyProtection="1">
      <alignment horizontal="justify" vertical="top" wrapText="1"/>
    </xf>
    <xf numFmtId="0" fontId="11" fillId="2" borderId="0" xfId="0" applyFont="1" applyFill="1" applyBorder="1" applyAlignment="1" applyProtection="1">
      <alignment horizontal="justify" vertical="top" wrapText="1"/>
    </xf>
    <xf numFmtId="0" fontId="14" fillId="2" borderId="0" xfId="3" applyFont="1" applyFill="1" applyBorder="1" applyAlignment="1" applyProtection="1">
      <alignment horizontal="justify" vertical="top" wrapText="1"/>
    </xf>
    <xf numFmtId="0" fontId="11" fillId="0" borderId="3" xfId="0" applyFont="1" applyBorder="1" applyAlignment="1" applyProtection="1">
      <alignment horizontal="justify" vertical="top" wrapText="1"/>
    </xf>
    <xf numFmtId="0" fontId="0" fillId="0" borderId="3" xfId="0" applyBorder="1" applyAlignment="1" applyProtection="1">
      <alignment horizontal="justify" vertical="top" wrapText="1"/>
    </xf>
    <xf numFmtId="0" fontId="14" fillId="2" borderId="3" xfId="3" applyFont="1" applyFill="1" applyBorder="1" applyAlignment="1" applyProtection="1">
      <alignment horizontal="justify" vertical="top" wrapText="1"/>
    </xf>
    <xf numFmtId="0" fontId="6" fillId="12" borderId="0" xfId="3" applyFont="1" applyFill="1" applyAlignment="1" applyProtection="1">
      <alignment horizontal="center" vertical="center"/>
    </xf>
    <xf numFmtId="0" fontId="5" fillId="12" borderId="0" xfId="3" applyFill="1" applyAlignment="1" applyProtection="1">
      <alignment vertical="center"/>
    </xf>
    <xf numFmtId="0" fontId="34" fillId="2" borderId="1" xfId="0" applyFont="1" applyFill="1" applyBorder="1" applyAlignment="1" applyProtection="1">
      <alignment horizontal="justify" vertical="top" wrapText="1"/>
    </xf>
    <xf numFmtId="49" fontId="34" fillId="2" borderId="1" xfId="0" applyNumberFormat="1" applyFont="1" applyFill="1" applyBorder="1" applyAlignment="1" applyProtection="1">
      <alignment horizontal="justify" vertical="top" wrapText="1"/>
    </xf>
    <xf numFmtId="3" fontId="34" fillId="2" borderId="1" xfId="0" applyNumberFormat="1" applyFont="1" applyFill="1" applyBorder="1" applyAlignment="1" applyProtection="1">
      <alignment horizontal="justify" vertical="top" wrapText="1"/>
    </xf>
    <xf numFmtId="3" fontId="35" fillId="2" borderId="1" xfId="0" applyNumberFormat="1" applyFont="1" applyFill="1" applyBorder="1" applyAlignment="1" applyProtection="1">
      <alignment horizontal="justify" vertical="top" wrapText="1"/>
    </xf>
    <xf numFmtId="0" fontId="35" fillId="2" borderId="1" xfId="0" applyFont="1" applyFill="1" applyBorder="1" applyAlignment="1" applyProtection="1">
      <alignment horizontal="justify" vertical="top" wrapText="1"/>
    </xf>
    <xf numFmtId="0" fontId="10" fillId="2" borderId="1" xfId="0" applyFont="1" applyFill="1" applyBorder="1" applyAlignment="1" applyProtection="1">
      <alignment horizontal="center" vertical="center" wrapText="1"/>
    </xf>
    <xf numFmtId="164" fontId="0" fillId="2" borderId="1" xfId="1" applyNumberFormat="1" applyFont="1" applyFill="1" applyBorder="1" applyAlignment="1" applyProtection="1">
      <alignment horizontal="center" vertical="center"/>
    </xf>
    <xf numFmtId="6" fontId="34" fillId="2" borderId="1" xfId="0" applyNumberFormat="1" applyFont="1" applyFill="1" applyBorder="1" applyAlignment="1" applyProtection="1">
      <alignment horizontal="justify" vertical="top" wrapText="1"/>
    </xf>
    <xf numFmtId="0" fontId="10" fillId="2" borderId="1" xfId="0" applyFont="1" applyFill="1" applyBorder="1" applyAlignment="1" applyProtection="1">
      <alignment horizontal="center" vertical="center"/>
    </xf>
    <xf numFmtId="170" fontId="36" fillId="2" borderId="1" xfId="0" applyNumberFormat="1" applyFont="1" applyFill="1" applyBorder="1" applyAlignment="1" applyProtection="1">
      <alignment vertical="center"/>
    </xf>
    <xf numFmtId="9" fontId="34" fillId="2" borderId="1" xfId="0" applyNumberFormat="1" applyFont="1" applyFill="1" applyBorder="1" applyAlignment="1" applyProtection="1">
      <alignment horizontal="justify" vertical="top" wrapText="1"/>
    </xf>
    <xf numFmtId="9" fontId="10" fillId="2" borderId="1" xfId="0" applyNumberFormat="1" applyFont="1" applyFill="1" applyBorder="1" applyAlignment="1" applyProtection="1">
      <alignment horizontal="justify" vertical="top" wrapText="1"/>
    </xf>
    <xf numFmtId="0" fontId="0" fillId="12" borderId="0" xfId="0" applyFill="1" applyProtection="1"/>
    <xf numFmtId="1" fontId="5" fillId="2" borderId="1" xfId="0" applyNumberFormat="1" applyFont="1" applyFill="1" applyBorder="1" applyAlignment="1" applyProtection="1">
      <alignment horizontal="center" vertical="center" wrapText="1"/>
    </xf>
    <xf numFmtId="0" fontId="34" fillId="2" borderId="0" xfId="0" applyFont="1" applyFill="1" applyProtection="1"/>
    <xf numFmtId="49" fontId="34" fillId="0" borderId="0" xfId="0" applyNumberFormat="1" applyFont="1" applyProtection="1"/>
    <xf numFmtId="0" fontId="34" fillId="0" borderId="0" xfId="0" applyFont="1" applyProtection="1"/>
    <xf numFmtId="0" fontId="34" fillId="0" borderId="0" xfId="0" applyFont="1" applyAlignment="1" applyProtection="1">
      <alignment horizontal="justify" vertical="top" wrapText="1"/>
    </xf>
    <xf numFmtId="3" fontId="37" fillId="2" borderId="1" xfId="0" applyNumberFormat="1" applyFont="1" applyFill="1" applyBorder="1" applyAlignment="1" applyProtection="1">
      <alignment horizontal="justify" vertical="top" wrapText="1"/>
    </xf>
    <xf numFmtId="0" fontId="6" fillId="12" borderId="0" xfId="3" applyFont="1" applyFill="1" applyAlignment="1" applyProtection="1">
      <alignment vertical="center"/>
    </xf>
    <xf numFmtId="3" fontId="6" fillId="12" borderId="0" xfId="3" applyNumberFormat="1" applyFont="1" applyFill="1" applyAlignment="1" applyProtection="1">
      <alignment vertical="center"/>
    </xf>
    <xf numFmtId="0" fontId="38" fillId="0" borderId="0" xfId="0" applyFont="1" applyProtection="1"/>
    <xf numFmtId="164" fontId="12" fillId="3" borderId="1" xfId="4" applyNumberFormat="1" applyFont="1" applyFill="1" applyBorder="1" applyAlignment="1" applyProtection="1">
      <alignment vertical="center" wrapText="1"/>
    </xf>
    <xf numFmtId="164" fontId="12" fillId="13" borderId="1" xfId="4" applyNumberFormat="1" applyFont="1" applyFill="1" applyBorder="1" applyAlignment="1" applyProtection="1">
      <alignment horizontal="center" vertical="center" wrapText="1"/>
    </xf>
    <xf numFmtId="164" fontId="12" fillId="3" borderId="1" xfId="4" applyNumberFormat="1" applyFont="1" applyFill="1" applyBorder="1" applyAlignment="1" applyProtection="1">
      <alignment horizontal="center" vertical="center" wrapText="1"/>
    </xf>
    <xf numFmtId="0" fontId="39" fillId="14" borderId="1" xfId="0" applyFont="1" applyFill="1" applyBorder="1" applyProtection="1"/>
    <xf numFmtId="0" fontId="40" fillId="2" borderId="1" xfId="0" applyFont="1" applyFill="1" applyBorder="1" applyAlignment="1" applyProtection="1">
      <alignment horizontal="justify" vertical="top" wrapText="1"/>
    </xf>
    <xf numFmtId="49" fontId="40" fillId="2" borderId="1" xfId="0" applyNumberFormat="1" applyFont="1" applyFill="1" applyBorder="1" applyAlignment="1" applyProtection="1">
      <alignment horizontal="justify" vertical="top" wrapText="1"/>
    </xf>
    <xf numFmtId="3" fontId="40" fillId="2" borderId="1" xfId="0" applyNumberFormat="1" applyFont="1" applyFill="1" applyBorder="1" applyAlignment="1" applyProtection="1">
      <alignment horizontal="justify" vertical="top" wrapText="1"/>
    </xf>
    <xf numFmtId="3" fontId="40" fillId="2" borderId="1" xfId="0" applyNumberFormat="1" applyFont="1" applyFill="1" applyBorder="1" applyAlignment="1" applyProtection="1">
      <alignment horizontal="right" vertical="top" wrapText="1"/>
    </xf>
    <xf numFmtId="44" fontId="34" fillId="2" borderId="1" xfId="8" applyFont="1" applyFill="1" applyBorder="1" applyAlignment="1" applyProtection="1">
      <alignment horizontal="justify" vertical="top" wrapText="1"/>
    </xf>
    <xf numFmtId="0" fontId="0" fillId="0" borderId="0" xfId="0" applyAlignment="1" applyProtection="1">
      <alignment vertical="top"/>
    </xf>
    <xf numFmtId="0" fontId="10" fillId="2" borderId="0" xfId="0" applyFont="1" applyFill="1" applyProtection="1"/>
    <xf numFmtId="0" fontId="0" fillId="15" borderId="0" xfId="0" applyFill="1" applyProtection="1"/>
    <xf numFmtId="0" fontId="40" fillId="2" borderId="1" xfId="0" applyFont="1" applyFill="1" applyBorder="1" applyAlignment="1" applyProtection="1">
      <alignment horizontal="center" vertical="top" wrapText="1"/>
    </xf>
    <xf numFmtId="49" fontId="40" fillId="2" borderId="1" xfId="0" applyNumberFormat="1" applyFont="1" applyFill="1" applyBorder="1" applyAlignment="1" applyProtection="1">
      <alignment horizontal="center" vertical="top" wrapText="1"/>
    </xf>
    <xf numFmtId="3" fontId="40" fillId="2" borderId="1" xfId="0" applyNumberFormat="1" applyFont="1" applyFill="1" applyBorder="1" applyAlignment="1" applyProtection="1">
      <alignment horizontal="center" vertical="top" wrapText="1"/>
    </xf>
    <xf numFmtId="167" fontId="10" fillId="2" borderId="0" xfId="0" applyNumberFormat="1" applyFont="1" applyFill="1" applyProtection="1"/>
    <xf numFmtId="0" fontId="10" fillId="2" borderId="1" xfId="0" applyFont="1" applyFill="1" applyBorder="1" applyAlignment="1" applyProtection="1">
      <alignment horizontal="center" vertical="top" wrapText="1"/>
    </xf>
    <xf numFmtId="3" fontId="10" fillId="2" borderId="1" xfId="0" applyNumberFormat="1" applyFont="1" applyFill="1" applyBorder="1" applyAlignment="1" applyProtection="1">
      <alignment horizontal="center" vertical="top" wrapText="1"/>
    </xf>
    <xf numFmtId="0" fontId="14" fillId="2" borderId="1" xfId="0" applyFont="1" applyFill="1" applyBorder="1" applyAlignment="1" applyProtection="1">
      <alignment horizontal="center" vertical="top" wrapText="1"/>
    </xf>
    <xf numFmtId="3" fontId="14" fillId="2" borderId="1" xfId="0" applyNumberFormat="1" applyFont="1" applyFill="1" applyBorder="1" applyAlignment="1" applyProtection="1">
      <alignment horizontal="center" vertical="top" wrapText="1"/>
    </xf>
    <xf numFmtId="0" fontId="42" fillId="2" borderId="1" xfId="0" applyFont="1" applyFill="1" applyBorder="1" applyAlignment="1" applyProtection="1">
      <alignment horizontal="justify" vertical="top" wrapText="1"/>
    </xf>
    <xf numFmtId="49" fontId="42" fillId="2" borderId="1" xfId="0" applyNumberFormat="1" applyFont="1" applyFill="1" applyBorder="1" applyAlignment="1" applyProtection="1">
      <alignment horizontal="justify" vertical="top" wrapText="1"/>
    </xf>
    <xf numFmtId="3" fontId="42" fillId="2" borderId="1" xfId="0" applyNumberFormat="1" applyFont="1" applyFill="1" applyBorder="1" applyAlignment="1" applyProtection="1">
      <alignment horizontal="justify" vertical="top" wrapText="1"/>
    </xf>
    <xf numFmtId="3" fontId="43" fillId="2" borderId="1" xfId="0" applyNumberFormat="1" applyFont="1" applyFill="1" applyBorder="1" applyAlignment="1" applyProtection="1">
      <alignment horizontal="justify" vertical="top" wrapText="1"/>
    </xf>
    <xf numFmtId="3" fontId="44" fillId="2" borderId="1" xfId="0" applyNumberFormat="1" applyFont="1" applyFill="1" applyBorder="1" applyAlignment="1" applyProtection="1">
      <alignment horizontal="justify" vertical="top" wrapText="1"/>
    </xf>
    <xf numFmtId="0" fontId="45" fillId="2" borderId="1" xfId="0" applyFont="1" applyFill="1" applyBorder="1" applyAlignment="1" applyProtection="1">
      <alignment horizontal="justify" vertical="top" wrapText="1"/>
    </xf>
    <xf numFmtId="0" fontId="46" fillId="0" borderId="0" xfId="0" applyFont="1" applyProtection="1"/>
    <xf numFmtId="3" fontId="45" fillId="2" borderId="1" xfId="0" applyNumberFormat="1" applyFont="1" applyFill="1" applyBorder="1" applyAlignment="1" applyProtection="1">
      <alignment horizontal="justify" vertical="top" wrapText="1"/>
    </xf>
    <xf numFmtId="0" fontId="47" fillId="0" borderId="0" xfId="0" applyFont="1" applyProtection="1"/>
    <xf numFmtId="0" fontId="34" fillId="12" borderId="0" xfId="0" applyFont="1" applyFill="1" applyProtection="1"/>
    <xf numFmtId="0" fontId="0" fillId="0" borderId="0" xfId="0" applyAlignment="1" applyProtection="1">
      <alignment horizontal="center" vertical="justify"/>
    </xf>
    <xf numFmtId="0" fontId="49" fillId="0" borderId="0" xfId="0" applyFont="1" applyProtection="1"/>
    <xf numFmtId="0" fontId="11" fillId="2" borderId="8" xfId="0" applyFont="1" applyFill="1" applyBorder="1" applyAlignment="1" applyProtection="1">
      <alignment horizontal="justify" vertical="top" wrapText="1"/>
    </xf>
    <xf numFmtId="0" fontId="50" fillId="2" borderId="1" xfId="0" applyFont="1" applyFill="1" applyBorder="1" applyAlignment="1" applyProtection="1">
      <alignment horizontal="justify" vertical="top" wrapText="1"/>
    </xf>
    <xf numFmtId="0" fontId="3" fillId="2" borderId="1" xfId="0" applyFont="1" applyFill="1" applyBorder="1" applyProtection="1"/>
    <xf numFmtId="3" fontId="3" fillId="2" borderId="1" xfId="0" applyNumberFormat="1" applyFont="1" applyFill="1" applyBorder="1" applyProtection="1"/>
    <xf numFmtId="0" fontId="3" fillId="0" borderId="0" xfId="0" applyFont="1" applyProtection="1"/>
    <xf numFmtId="3" fontId="51" fillId="2" borderId="1" xfId="0" applyNumberFormat="1" applyFont="1" applyFill="1" applyBorder="1" applyAlignment="1" applyProtection="1">
      <alignment horizontal="justify" vertical="top" wrapText="1"/>
    </xf>
    <xf numFmtId="0" fontId="51" fillId="2" borderId="1" xfId="0" applyFont="1" applyFill="1" applyBorder="1" applyAlignment="1" applyProtection="1">
      <alignment horizontal="justify" vertical="top" wrapText="1"/>
    </xf>
    <xf numFmtId="3" fontId="0" fillId="0" borderId="0" xfId="0" applyNumberFormat="1" applyAlignment="1" applyProtection="1">
      <alignment horizontal="justify" vertical="top" wrapText="1"/>
    </xf>
    <xf numFmtId="0" fontId="0" fillId="12" borderId="0" xfId="0" applyFill="1" applyBorder="1" applyAlignment="1" applyProtection="1">
      <alignment horizontal="justify" vertical="top" wrapText="1"/>
    </xf>
    <xf numFmtId="0" fontId="52" fillId="2" borderId="1" xfId="0" applyFont="1" applyFill="1" applyBorder="1" applyAlignment="1" applyProtection="1">
      <alignment horizontal="justify" vertical="top" wrapText="1"/>
    </xf>
    <xf numFmtId="1" fontId="52" fillId="2" borderId="1" xfId="0" applyNumberFormat="1" applyFont="1" applyFill="1" applyBorder="1" applyAlignment="1" applyProtection="1">
      <alignment horizontal="justify" vertical="top" wrapText="1"/>
    </xf>
    <xf numFmtId="3" fontId="52" fillId="2" borderId="1" xfId="0" applyNumberFormat="1" applyFont="1" applyFill="1" applyBorder="1" applyAlignment="1" applyProtection="1">
      <alignment horizontal="justify" vertical="top" wrapText="1"/>
    </xf>
    <xf numFmtId="0" fontId="0" fillId="12" borderId="1" xfId="0" applyFill="1" applyBorder="1" applyAlignment="1" applyProtection="1">
      <alignment horizontal="justify" vertical="top" wrapText="1"/>
    </xf>
    <xf numFmtId="0" fontId="24" fillId="2" borderId="1" xfId="3" applyFont="1" applyFill="1" applyBorder="1" applyAlignment="1" applyProtection="1">
      <alignment horizontal="center" vertical="top"/>
    </xf>
    <xf numFmtId="0" fontId="52" fillId="2" borderId="1" xfId="0" applyFont="1" applyFill="1" applyBorder="1" applyAlignment="1" applyProtection="1">
      <alignment horizontal="center" vertical="top" wrapText="1"/>
    </xf>
    <xf numFmtId="0" fontId="0" fillId="2" borderId="1" xfId="0" applyFont="1" applyFill="1" applyBorder="1" applyAlignment="1" applyProtection="1">
      <alignment horizontal="center" vertical="top" wrapText="1"/>
    </xf>
    <xf numFmtId="0" fontId="53" fillId="2" borderId="1" xfId="0" applyFont="1" applyFill="1" applyBorder="1" applyAlignment="1" applyProtection="1">
      <alignment horizontal="justify" vertical="center" wrapText="1"/>
    </xf>
    <xf numFmtId="0" fontId="52" fillId="0" borderId="0" xfId="0" applyFont="1" applyBorder="1" applyAlignment="1" applyProtection="1">
      <alignment horizontal="justify" vertical="top" wrapText="1"/>
    </xf>
    <xf numFmtId="0" fontId="52" fillId="12" borderId="0" xfId="0" applyFont="1" applyFill="1" applyBorder="1" applyAlignment="1" applyProtection="1">
      <alignment horizontal="justify" vertical="top" wrapText="1"/>
    </xf>
    <xf numFmtId="0" fontId="14" fillId="12" borderId="0" xfId="3" applyFont="1" applyFill="1" applyBorder="1" applyAlignment="1" applyProtection="1">
      <alignment horizontal="justify" vertical="top" wrapText="1"/>
    </xf>
    <xf numFmtId="0" fontId="52" fillId="0" borderId="3" xfId="0" applyFont="1" applyBorder="1" applyAlignment="1" applyProtection="1">
      <alignment horizontal="justify" vertical="top" wrapText="1"/>
    </xf>
    <xf numFmtId="0" fontId="0" fillId="12" borderId="3" xfId="0" applyFill="1" applyBorder="1" applyAlignment="1" applyProtection="1">
      <alignment horizontal="justify" vertical="top" wrapText="1"/>
    </xf>
    <xf numFmtId="0" fontId="52" fillId="12" borderId="3" xfId="0" applyFont="1" applyFill="1" applyBorder="1" applyAlignment="1" applyProtection="1">
      <alignment horizontal="justify" vertical="top" wrapText="1"/>
    </xf>
    <xf numFmtId="0" fontId="14" fillId="12" borderId="3" xfId="3" applyFont="1" applyFill="1" applyBorder="1" applyAlignment="1" applyProtection="1">
      <alignment horizontal="justify" vertical="top" wrapText="1"/>
    </xf>
    <xf numFmtId="0" fontId="52" fillId="0" borderId="1" xfId="0" applyFont="1" applyBorder="1" applyAlignment="1" applyProtection="1">
      <alignment horizontal="justify" vertical="top" wrapText="1"/>
    </xf>
    <xf numFmtId="0" fontId="52" fillId="12" borderId="1" xfId="0" applyFont="1" applyFill="1" applyBorder="1" applyAlignment="1" applyProtection="1">
      <alignment horizontal="justify" vertical="top" wrapText="1"/>
    </xf>
    <xf numFmtId="0" fontId="14" fillId="12" borderId="1" xfId="3" applyFont="1" applyFill="1" applyBorder="1" applyAlignment="1" applyProtection="1">
      <alignment horizontal="justify" vertical="top" wrapText="1"/>
    </xf>
    <xf numFmtId="0" fontId="52" fillId="0" borderId="3" xfId="0" applyFont="1" applyBorder="1" applyProtection="1"/>
    <xf numFmtId="3" fontId="0" fillId="0" borderId="0" xfId="0" applyNumberFormat="1" applyAlignment="1" applyProtection="1">
      <alignment horizontal="justify" vertical="top"/>
    </xf>
    <xf numFmtId="3" fontId="34" fillId="2" borderId="1" xfId="0" applyNumberFormat="1" applyFont="1" applyFill="1" applyBorder="1" applyAlignment="1" applyProtection="1">
      <alignment horizontal="justify" wrapText="1"/>
    </xf>
    <xf numFmtId="3" fontId="35" fillId="2" borderId="1" xfId="0" applyNumberFormat="1" applyFont="1" applyFill="1" applyBorder="1" applyAlignment="1" applyProtection="1">
      <alignment horizontal="justify" wrapText="1"/>
    </xf>
    <xf numFmtId="0" fontId="0" fillId="2" borderId="1" xfId="0" applyFill="1" applyBorder="1" applyAlignment="1" applyProtection="1">
      <alignment horizontal="justify" wrapText="1"/>
    </xf>
    <xf numFmtId="171" fontId="5" fillId="2" borderId="1" xfId="0" applyNumberFormat="1" applyFont="1" applyFill="1" applyBorder="1" applyAlignment="1" applyProtection="1">
      <alignment vertical="top" wrapText="1"/>
    </xf>
    <xf numFmtId="0" fontId="5" fillId="2" borderId="1" xfId="0" applyNumberFormat="1" applyFont="1" applyFill="1" applyBorder="1" applyAlignment="1" applyProtection="1">
      <alignment vertical="top" wrapText="1"/>
    </xf>
    <xf numFmtId="0" fontId="5" fillId="2" borderId="1" xfId="0" applyFont="1" applyFill="1" applyBorder="1" applyAlignment="1" applyProtection="1">
      <alignment horizontal="justify" vertical="top" wrapText="1"/>
    </xf>
    <xf numFmtId="0" fontId="34" fillId="2" borderId="1" xfId="0" applyFont="1" applyFill="1" applyBorder="1" applyAlignment="1" applyProtection="1">
      <alignment horizontal="justify" wrapText="1"/>
    </xf>
    <xf numFmtId="1" fontId="34" fillId="2" borderId="1" xfId="0" applyNumberFormat="1" applyFont="1" applyFill="1" applyBorder="1" applyAlignment="1" applyProtection="1">
      <alignment horizontal="justify" vertical="top" wrapText="1"/>
    </xf>
    <xf numFmtId="49" fontId="0" fillId="0" borderId="0" xfId="0" applyNumberFormat="1" applyAlignment="1" applyProtection="1">
      <alignment horizontal="justify" vertical="top"/>
    </xf>
    <xf numFmtId="9" fontId="5" fillId="2" borderId="1" xfId="0" applyNumberFormat="1" applyFont="1" applyFill="1" applyBorder="1" applyAlignment="1" applyProtection="1">
      <alignment vertical="top" wrapText="1"/>
    </xf>
    <xf numFmtId="0" fontId="52" fillId="2" borderId="1" xfId="0" applyFont="1" applyFill="1" applyBorder="1" applyAlignment="1" applyProtection="1">
      <alignment horizontal="justify" vertical="top"/>
    </xf>
    <xf numFmtId="0" fontId="40" fillId="2" borderId="1" xfId="0" applyFont="1" applyFill="1" applyBorder="1" applyAlignment="1" applyProtection="1">
      <alignment horizontal="justify" vertical="top"/>
    </xf>
    <xf numFmtId="49" fontId="52" fillId="2" borderId="1" xfId="0" applyNumberFormat="1" applyFont="1" applyFill="1" applyBorder="1" applyAlignment="1" applyProtection="1">
      <alignment horizontal="justify" vertical="top"/>
    </xf>
    <xf numFmtId="0" fontId="14" fillId="2" borderId="5" xfId="3" applyFont="1" applyFill="1" applyBorder="1" applyAlignment="1" applyProtection="1">
      <alignment horizontal="justify" vertical="top" wrapText="1"/>
    </xf>
    <xf numFmtId="0" fontId="54" fillId="2" borderId="1" xfId="0" applyFont="1" applyFill="1" applyBorder="1" applyAlignment="1" applyProtection="1">
      <alignment horizontal="justify" vertical="top"/>
    </xf>
    <xf numFmtId="0" fontId="0" fillId="2" borderId="1" xfId="0" applyFill="1" applyBorder="1" applyAlignment="1" applyProtection="1">
      <alignment horizontal="left" vertical="top" wrapText="1"/>
    </xf>
    <xf numFmtId="1" fontId="52" fillId="2" borderId="1" xfId="0" applyNumberFormat="1" applyFont="1" applyFill="1" applyBorder="1" applyAlignment="1" applyProtection="1">
      <alignment horizontal="justify" vertical="top"/>
    </xf>
    <xf numFmtId="167" fontId="2" fillId="2" borderId="1" xfId="1" applyNumberFormat="1" applyFont="1" applyFill="1" applyBorder="1" applyProtection="1"/>
    <xf numFmtId="49" fontId="52" fillId="2" borderId="1" xfId="0" applyNumberFormat="1" applyFont="1" applyFill="1" applyBorder="1" applyAlignment="1" applyProtection="1">
      <alignment horizontal="justify" vertical="top" wrapText="1"/>
    </xf>
    <xf numFmtId="3" fontId="5" fillId="7" borderId="1" xfId="0" applyNumberFormat="1" applyFont="1" applyFill="1" applyBorder="1" applyAlignment="1" applyProtection="1">
      <alignment vertical="top" wrapText="1"/>
    </xf>
    <xf numFmtId="171" fontId="5" fillId="2" borderId="1" xfId="0" applyNumberFormat="1" applyFont="1" applyFill="1" applyBorder="1" applyAlignment="1" applyProtection="1">
      <alignment horizontal="justify" vertical="top" wrapText="1"/>
    </xf>
    <xf numFmtId="3" fontId="0" fillId="2" borderId="1" xfId="0" applyNumberFormat="1" applyFill="1" applyBorder="1" applyAlignment="1" applyProtection="1">
      <alignment horizontal="justify" vertical="center" wrapText="1"/>
    </xf>
    <xf numFmtId="0" fontId="5" fillId="2" borderId="1" xfId="3" applyFont="1" applyFill="1" applyBorder="1" applyAlignment="1" applyProtection="1">
      <alignment horizontal="justify" vertical="center" wrapText="1"/>
    </xf>
    <xf numFmtId="3" fontId="55" fillId="2" borderId="1" xfId="0" applyNumberFormat="1" applyFont="1" applyFill="1" applyBorder="1" applyAlignment="1" applyProtection="1">
      <alignment horizontal="center" vertical="center"/>
    </xf>
    <xf numFmtId="3" fontId="10" fillId="2" borderId="1" xfId="3" applyNumberFormat="1" applyFont="1" applyFill="1" applyBorder="1" applyAlignment="1" applyProtection="1">
      <alignment horizontal="center" vertical="center"/>
    </xf>
    <xf numFmtId="0" fontId="24" fillId="2" borderId="1" xfId="3" applyFont="1" applyFill="1" applyBorder="1" applyAlignment="1" applyProtection="1">
      <alignment horizontal="justify" vertical="center" wrapText="1"/>
    </xf>
    <xf numFmtId="0" fontId="24" fillId="2" borderId="1" xfId="3" applyFont="1" applyFill="1" applyBorder="1" applyAlignment="1" applyProtection="1">
      <alignment vertical="center"/>
    </xf>
    <xf numFmtId="0" fontId="24" fillId="2" borderId="1" xfId="0" applyNumberFormat="1" applyFont="1" applyFill="1" applyBorder="1" applyAlignment="1" applyProtection="1">
      <alignment horizontal="right" vertical="center" wrapText="1"/>
    </xf>
    <xf numFmtId="0" fontId="24" fillId="2" borderId="1" xfId="3" applyFont="1" applyFill="1" applyBorder="1" applyAlignment="1" applyProtection="1">
      <alignment horizontal="center" vertical="center"/>
    </xf>
    <xf numFmtId="1" fontId="24" fillId="2" borderId="1" xfId="3" applyNumberFormat="1" applyFont="1" applyFill="1" applyBorder="1" applyAlignment="1" applyProtection="1">
      <alignment vertical="center"/>
    </xf>
    <xf numFmtId="3" fontId="24" fillId="2" borderId="1" xfId="3" applyNumberFormat="1" applyFont="1" applyFill="1" applyBorder="1" applyAlignment="1" applyProtection="1">
      <alignment vertical="center"/>
    </xf>
    <xf numFmtId="3" fontId="11" fillId="2" borderId="1" xfId="0" applyNumberFormat="1" applyFont="1" applyFill="1" applyBorder="1" applyAlignment="1" applyProtection="1">
      <alignment horizontal="justify" vertical="center" wrapText="1"/>
    </xf>
    <xf numFmtId="0" fontId="5" fillId="2" borderId="0" xfId="3" applyFill="1" applyAlignment="1" applyProtection="1">
      <alignment horizontal="center" vertical="center"/>
    </xf>
    <xf numFmtId="3" fontId="0" fillId="2" borderId="0" xfId="0" applyNumberFormat="1" applyFill="1" applyProtection="1"/>
    <xf numFmtId="3" fontId="0" fillId="2" borderId="0" xfId="0" applyNumberFormat="1" applyFill="1" applyAlignment="1" applyProtection="1">
      <alignment horizontal="center"/>
    </xf>
    <xf numFmtId="0" fontId="2" fillId="2" borderId="0" xfId="0" applyFont="1" applyFill="1" applyAlignment="1" applyProtection="1">
      <alignment wrapText="1"/>
    </xf>
    <xf numFmtId="0" fontId="0" fillId="0" borderId="0" xfId="0" applyAlignment="1" applyProtection="1">
      <alignment wrapText="1"/>
    </xf>
    <xf numFmtId="0" fontId="0" fillId="2" borderId="0" xfId="0" applyFill="1" applyAlignment="1" applyProtection="1">
      <alignment wrapText="1"/>
    </xf>
    <xf numFmtId="164" fontId="12" fillId="16" borderId="1" xfId="4" applyNumberFormat="1" applyFont="1" applyFill="1" applyBorder="1" applyAlignment="1" applyProtection="1">
      <alignment horizontal="center" vertical="center" wrapText="1"/>
    </xf>
    <xf numFmtId="175" fontId="0" fillId="2" borderId="1" xfId="0" applyNumberFormat="1" applyFill="1" applyBorder="1" applyAlignment="1" applyProtection="1">
      <alignment horizontal="justify" vertical="top" wrapText="1"/>
    </xf>
    <xf numFmtId="10" fontId="0" fillId="2" borderId="1" xfId="0" applyNumberFormat="1" applyFill="1" applyBorder="1" applyAlignment="1" applyProtection="1">
      <alignment horizontal="left" vertical="top" wrapText="1"/>
    </xf>
    <xf numFmtId="43" fontId="0" fillId="2" borderId="1" xfId="1" applyFont="1" applyFill="1" applyBorder="1" applyAlignment="1" applyProtection="1">
      <alignment horizontal="justify" vertical="top" wrapText="1"/>
    </xf>
    <xf numFmtId="9" fontId="0" fillId="2" borderId="1" xfId="0" applyNumberFormat="1" applyFill="1" applyBorder="1" applyAlignment="1" applyProtection="1">
      <alignment horizontal="left" vertical="top" wrapText="1"/>
    </xf>
    <xf numFmtId="3" fontId="19" fillId="2" borderId="0" xfId="0" applyNumberFormat="1" applyFont="1" applyFill="1" applyProtection="1"/>
    <xf numFmtId="3" fontId="11" fillId="0" borderId="0" xfId="0" applyNumberFormat="1" applyFont="1" applyProtection="1"/>
    <xf numFmtId="3" fontId="19" fillId="0" borderId="0" xfId="0" applyNumberFormat="1" applyFont="1" applyProtection="1"/>
    <xf numFmtId="6" fontId="57" fillId="2" borderId="1" xfId="0" applyNumberFormat="1" applyFont="1" applyFill="1" applyBorder="1" applyAlignment="1" applyProtection="1">
      <alignment horizontal="justify" vertical="top" wrapText="1"/>
    </xf>
    <xf numFmtId="0" fontId="57" fillId="2" borderId="1" xfId="0" applyFont="1" applyFill="1" applyBorder="1" applyAlignment="1" applyProtection="1">
      <alignment horizontal="justify" vertical="top" wrapText="1"/>
    </xf>
    <xf numFmtId="3" fontId="58" fillId="2" borderId="1" xfId="0" applyNumberFormat="1" applyFont="1" applyFill="1" applyBorder="1" applyAlignment="1" applyProtection="1">
      <alignment horizontal="justify" vertical="top" wrapText="1"/>
    </xf>
    <xf numFmtId="3" fontId="59" fillId="2" borderId="1" xfId="0" applyNumberFormat="1" applyFont="1" applyFill="1" applyBorder="1" applyAlignment="1" applyProtection="1">
      <alignment horizontal="justify" vertical="top" wrapText="1"/>
    </xf>
    <xf numFmtId="0" fontId="60" fillId="2" borderId="1" xfId="0" applyFont="1" applyFill="1" applyBorder="1" applyAlignment="1" applyProtection="1">
      <alignment horizontal="justify" vertical="top" wrapText="1"/>
    </xf>
    <xf numFmtId="3" fontId="61" fillId="2" borderId="1" xfId="0" applyNumberFormat="1" applyFont="1" applyFill="1" applyBorder="1" applyAlignment="1" applyProtection="1">
      <alignment horizontal="justify" vertical="top" wrapText="1"/>
    </xf>
    <xf numFmtId="170" fontId="14" fillId="2" borderId="1" xfId="3" applyNumberFormat="1" applyFont="1" applyFill="1" applyBorder="1" applyAlignment="1" applyProtection="1">
      <alignment vertical="center"/>
    </xf>
    <xf numFmtId="1" fontId="0" fillId="0" borderId="0" xfId="0" applyNumberFormat="1" applyProtection="1"/>
    <xf numFmtId="49" fontId="0" fillId="0" borderId="2" xfId="0" applyNumberFormat="1" applyBorder="1" applyAlignment="1" applyProtection="1">
      <alignment horizontal="justify" vertical="top" wrapText="1"/>
    </xf>
    <xf numFmtId="3" fontId="41" fillId="2" borderId="1" xfId="0" applyNumberFormat="1" applyFont="1" applyFill="1" applyBorder="1" applyAlignment="1" applyProtection="1">
      <alignment horizontal="justify" vertical="top" wrapText="1"/>
    </xf>
    <xf numFmtId="0" fontId="6" fillId="2" borderId="1" xfId="0" applyFont="1" applyFill="1" applyBorder="1" applyAlignment="1" applyProtection="1">
      <alignment horizontal="justify" vertical="top" wrapText="1"/>
    </xf>
    <xf numFmtId="2" fontId="0" fillId="0" borderId="0" xfId="0" applyNumberFormat="1" applyAlignment="1" applyProtection="1">
      <alignment vertical="top" wrapText="1"/>
    </xf>
    <xf numFmtId="171" fontId="0" fillId="2" borderId="1" xfId="0" applyNumberFormat="1" applyFill="1" applyBorder="1" applyAlignment="1" applyProtection="1">
      <alignment horizontal="justify" vertical="top" wrapText="1"/>
    </xf>
    <xf numFmtId="164" fontId="1" fillId="0" borderId="0" xfId="9" applyNumberFormat="1" applyFont="1" applyProtection="1"/>
    <xf numFmtId="164" fontId="6" fillId="0" borderId="0" xfId="0" applyNumberFormat="1" applyFont="1" applyProtection="1"/>
    <xf numFmtId="0" fontId="63" fillId="0" borderId="0" xfId="0" applyFont="1" applyProtection="1"/>
    <xf numFmtId="0" fontId="63" fillId="0" borderId="0" xfId="0" applyFont="1" applyAlignment="1" applyProtection="1">
      <alignment horizontal="center"/>
    </xf>
    <xf numFmtId="0" fontId="62" fillId="0" borderId="0" xfId="3" applyFont="1" applyAlignment="1" applyProtection="1">
      <alignment vertical="center"/>
    </xf>
    <xf numFmtId="0" fontId="62" fillId="12" borderId="0" xfId="3" applyFont="1" applyFill="1" applyAlignment="1" applyProtection="1">
      <alignment vertical="center"/>
    </xf>
    <xf numFmtId="3" fontId="62" fillId="0" borderId="0" xfId="3" applyNumberFormat="1" applyFont="1" applyAlignment="1" applyProtection="1">
      <alignment vertical="center"/>
    </xf>
    <xf numFmtId="0" fontId="63" fillId="2" borderId="0" xfId="0" applyFont="1" applyFill="1" applyProtection="1"/>
    <xf numFmtId="0" fontId="63" fillId="12" borderId="0" xfId="0" applyFont="1" applyFill="1" applyAlignment="1" applyProtection="1">
      <alignment horizontal="center"/>
    </xf>
    <xf numFmtId="0" fontId="65" fillId="0" borderId="0" xfId="0" applyFont="1" applyProtection="1"/>
    <xf numFmtId="164" fontId="64" fillId="3" borderId="1" xfId="4" applyNumberFormat="1" applyFont="1" applyFill="1" applyBorder="1" applyAlignment="1" applyProtection="1">
      <alignment vertical="center" wrapText="1"/>
    </xf>
    <xf numFmtId="164" fontId="64" fillId="13" borderId="1" xfId="4" applyNumberFormat="1" applyFont="1" applyFill="1" applyBorder="1" applyAlignment="1" applyProtection="1">
      <alignment horizontal="center" vertical="center" wrapText="1"/>
    </xf>
    <xf numFmtId="164" fontId="64" fillId="3" borderId="1" xfId="4" applyNumberFormat="1" applyFont="1" applyFill="1" applyBorder="1" applyAlignment="1" applyProtection="1">
      <alignment horizontal="center" vertical="center" wrapText="1"/>
    </xf>
    <xf numFmtId="0" fontId="67" fillId="14" borderId="1" xfId="0" applyFont="1" applyFill="1" applyBorder="1" applyProtection="1"/>
    <xf numFmtId="0" fontId="63" fillId="2" borderId="1" xfId="0" applyFont="1" applyFill="1" applyBorder="1" applyAlignment="1" applyProtection="1">
      <alignment horizontal="justify" vertical="top" wrapText="1"/>
    </xf>
    <xf numFmtId="49" fontId="63" fillId="2" borderId="1" xfId="0" applyNumberFormat="1" applyFont="1" applyFill="1" applyBorder="1" applyAlignment="1" applyProtection="1">
      <alignment horizontal="justify" vertical="top" wrapText="1"/>
    </xf>
    <xf numFmtId="0" fontId="68" fillId="2" borderId="1" xfId="0" applyFont="1" applyFill="1" applyBorder="1" applyAlignment="1" applyProtection="1">
      <alignment horizontal="justify" vertical="top" wrapText="1"/>
    </xf>
    <xf numFmtId="3" fontId="63" fillId="2" borderId="1" xfId="0" applyNumberFormat="1" applyFont="1" applyFill="1" applyBorder="1" applyAlignment="1" applyProtection="1">
      <alignment horizontal="justify" vertical="top" wrapText="1"/>
    </xf>
    <xf numFmtId="0" fontId="66" fillId="2" borderId="1" xfId="3" applyFont="1" applyFill="1" applyBorder="1" applyAlignment="1" applyProtection="1">
      <alignment horizontal="justify" vertical="top" wrapText="1"/>
    </xf>
    <xf numFmtId="0" fontId="63" fillId="2" borderId="1" xfId="0" applyFont="1" applyFill="1" applyBorder="1" applyAlignment="1" applyProtection="1">
      <alignment horizontal="center" vertical="top" wrapText="1"/>
    </xf>
    <xf numFmtId="0" fontId="63" fillId="0" borderId="0" xfId="0" applyFont="1" applyFill="1" applyProtection="1"/>
    <xf numFmtId="1" fontId="63" fillId="2" borderId="1" xfId="0" applyNumberFormat="1" applyFont="1" applyFill="1" applyBorder="1" applyAlignment="1" applyProtection="1">
      <alignment horizontal="center" vertical="top" wrapText="1"/>
    </xf>
    <xf numFmtId="0" fontId="63" fillId="2" borderId="0" xfId="0" applyFont="1" applyFill="1" applyAlignment="1" applyProtection="1">
      <alignment vertical="top" wrapText="1"/>
    </xf>
    <xf numFmtId="164" fontId="63" fillId="2" borderId="1" xfId="9" applyNumberFormat="1" applyFont="1" applyFill="1" applyBorder="1" applyAlignment="1" applyProtection="1">
      <alignment vertical="top" wrapText="1"/>
    </xf>
    <xf numFmtId="1" fontId="63" fillId="2" borderId="1" xfId="0" applyNumberFormat="1" applyFont="1" applyFill="1" applyBorder="1" applyAlignment="1" applyProtection="1">
      <alignment horizontal="right" vertical="top" wrapText="1"/>
    </xf>
    <xf numFmtId="164" fontId="63" fillId="2" borderId="1" xfId="9" applyNumberFormat="1" applyFont="1" applyFill="1" applyBorder="1" applyAlignment="1" applyProtection="1">
      <alignment horizontal="center" vertical="top" wrapText="1"/>
    </xf>
    <xf numFmtId="3" fontId="63" fillId="2" borderId="1" xfId="0" applyNumberFormat="1" applyFont="1" applyFill="1" applyBorder="1" applyAlignment="1" applyProtection="1">
      <alignment horizontal="center" vertical="top" wrapText="1"/>
    </xf>
    <xf numFmtId="3" fontId="63" fillId="2" borderId="1" xfId="0" applyNumberFormat="1" applyFont="1" applyFill="1" applyBorder="1" applyAlignment="1" applyProtection="1">
      <alignment horizontal="justify" vertical="top"/>
    </xf>
    <xf numFmtId="3" fontId="63" fillId="2" borderId="1" xfId="0" applyNumberFormat="1" applyFont="1" applyFill="1" applyBorder="1" applyAlignment="1" applyProtection="1">
      <alignment horizontal="center" vertical="top"/>
    </xf>
    <xf numFmtId="0" fontId="66" fillId="2" borderId="1" xfId="3" applyFont="1" applyFill="1" applyBorder="1" applyAlignment="1" applyProtection="1">
      <alignment horizontal="center" vertical="top" wrapText="1"/>
    </xf>
    <xf numFmtId="3" fontId="63" fillId="2" borderId="3" xfId="0" applyNumberFormat="1" applyFont="1" applyFill="1" applyBorder="1" applyAlignment="1" applyProtection="1">
      <alignment horizontal="center" vertical="top"/>
    </xf>
    <xf numFmtId="7" fontId="63" fillId="2" borderId="1" xfId="8" applyNumberFormat="1" applyFont="1" applyFill="1" applyBorder="1" applyAlignment="1" applyProtection="1">
      <alignment horizontal="justify" vertical="top" wrapText="1"/>
    </xf>
    <xf numFmtId="9" fontId="66" fillId="2" borderId="1" xfId="3" applyNumberFormat="1" applyFont="1" applyFill="1" applyBorder="1" applyAlignment="1" applyProtection="1">
      <alignment horizontal="center" vertical="top" wrapText="1"/>
    </xf>
    <xf numFmtId="10" fontId="63" fillId="2" borderId="1" xfId="0" applyNumberFormat="1" applyFont="1" applyFill="1" applyBorder="1" applyAlignment="1" applyProtection="1">
      <alignment horizontal="center" vertical="top" wrapText="1"/>
    </xf>
    <xf numFmtId="9" fontId="63" fillId="2" borderId="1" xfId="0" applyNumberFormat="1" applyFont="1" applyFill="1" applyBorder="1" applyAlignment="1" applyProtection="1">
      <alignment horizontal="justify" vertical="top" wrapText="1"/>
    </xf>
    <xf numFmtId="49" fontId="63" fillId="2" borderId="1" xfId="0" applyNumberFormat="1" applyFont="1" applyFill="1" applyBorder="1" applyAlignment="1" applyProtection="1">
      <alignment horizontal="center" vertical="top" wrapText="1"/>
    </xf>
    <xf numFmtId="49" fontId="66" fillId="2" borderId="1" xfId="3" applyNumberFormat="1" applyFont="1" applyFill="1" applyBorder="1" applyAlignment="1" applyProtection="1">
      <alignment horizontal="center" vertical="top" wrapText="1"/>
    </xf>
    <xf numFmtId="3" fontId="63" fillId="0" borderId="0" xfId="0" applyNumberFormat="1" applyFont="1" applyProtection="1"/>
    <xf numFmtId="3" fontId="0" fillId="2" borderId="1" xfId="1" applyNumberFormat="1" applyFont="1" applyFill="1" applyBorder="1" applyAlignment="1" applyProtection="1">
      <alignment horizontal="right" vertical="top" wrapText="1"/>
    </xf>
    <xf numFmtId="0" fontId="10" fillId="2" borderId="1" xfId="0" applyNumberFormat="1" applyFont="1" applyFill="1" applyBorder="1" applyAlignment="1" applyProtection="1">
      <alignment horizontal="justify" vertical="top" wrapText="1"/>
    </xf>
    <xf numFmtId="9" fontId="2" fillId="2" borderId="1" xfId="0" applyNumberFormat="1" applyFont="1" applyFill="1" applyBorder="1" applyAlignment="1" applyProtection="1">
      <alignment horizontal="justify" vertical="top" wrapText="1"/>
    </xf>
    <xf numFmtId="0" fontId="18" fillId="0" borderId="0" xfId="0" applyFont="1" applyProtection="1"/>
    <xf numFmtId="0" fontId="18" fillId="2" borderId="0" xfId="0" applyFont="1" applyFill="1" applyProtection="1"/>
    <xf numFmtId="0" fontId="72" fillId="2" borderId="1" xfId="0" applyFont="1" applyFill="1" applyBorder="1" applyAlignment="1" applyProtection="1">
      <alignment wrapText="1"/>
    </xf>
    <xf numFmtId="164" fontId="19" fillId="2" borderId="1" xfId="1" applyNumberFormat="1" applyFont="1" applyFill="1" applyBorder="1" applyAlignment="1" applyProtection="1">
      <alignment horizontal="justify" vertical="top" wrapText="1"/>
    </xf>
    <xf numFmtId="3" fontId="0" fillId="2" borderId="0" xfId="0" applyNumberFormat="1" applyFill="1" applyAlignment="1" applyProtection="1">
      <alignment horizontal="justify" vertical="top" wrapText="1"/>
    </xf>
    <xf numFmtId="164" fontId="18" fillId="2" borderId="1" xfId="1" applyNumberFormat="1" applyFont="1" applyFill="1" applyBorder="1" applyAlignment="1" applyProtection="1">
      <alignment horizontal="justify" vertical="top" wrapText="1"/>
    </xf>
    <xf numFmtId="0" fontId="34" fillId="7" borderId="1" xfId="0" applyFont="1" applyFill="1" applyBorder="1" applyAlignment="1" applyProtection="1">
      <alignment vertical="top" wrapText="1"/>
    </xf>
    <xf numFmtId="3" fontId="11" fillId="0" borderId="1" xfId="0" applyNumberFormat="1" applyFont="1" applyBorder="1" applyAlignment="1" applyProtection="1">
      <alignment horizontal="justify" vertical="top" wrapText="1"/>
    </xf>
    <xf numFmtId="3" fontId="11" fillId="2" borderId="1" xfId="0" applyNumberFormat="1" applyFont="1" applyFill="1" applyBorder="1" applyAlignment="1" applyProtection="1">
      <alignment vertical="center" wrapText="1"/>
    </xf>
    <xf numFmtId="49" fontId="11" fillId="0" borderId="1" xfId="0" applyNumberFormat="1" applyFont="1" applyBorder="1" applyAlignment="1" applyProtection="1">
      <alignment horizontal="justify" vertical="top" wrapText="1"/>
    </xf>
    <xf numFmtId="3" fontId="0" fillId="2" borderId="1" xfId="0" applyNumberFormat="1" applyFill="1" applyBorder="1" applyAlignment="1" applyProtection="1">
      <alignment vertical="center" wrapText="1"/>
    </xf>
    <xf numFmtId="3" fontId="0" fillId="2" borderId="1" xfId="1" applyNumberFormat="1" applyFont="1" applyFill="1" applyBorder="1" applyAlignment="1" applyProtection="1">
      <alignment horizontal="justify" vertical="top" wrapText="1"/>
    </xf>
    <xf numFmtId="49" fontId="60" fillId="0" borderId="0" xfId="0" applyNumberFormat="1" applyFont="1" applyAlignment="1" applyProtection="1">
      <alignment vertical="top" wrapText="1"/>
    </xf>
    <xf numFmtId="49" fontId="2" fillId="0" borderId="0" xfId="0" applyNumberFormat="1" applyFont="1" applyProtection="1"/>
    <xf numFmtId="0" fontId="0" fillId="17" borderId="0" xfId="0" applyFill="1" applyProtection="1"/>
    <xf numFmtId="0" fontId="23" fillId="2" borderId="1" xfId="0" applyFont="1" applyFill="1" applyBorder="1" applyAlignment="1" applyProtection="1">
      <alignment horizontal="justify" vertical="top" wrapText="1"/>
    </xf>
    <xf numFmtId="0" fontId="18" fillId="2" borderId="1" xfId="0" applyFont="1" applyFill="1" applyBorder="1" applyAlignment="1" applyProtection="1">
      <alignment horizontal="justify" vertical="center" wrapText="1"/>
    </xf>
    <xf numFmtId="3" fontId="73" fillId="2" borderId="1" xfId="0" applyNumberFormat="1" applyFont="1" applyFill="1" applyBorder="1" applyAlignment="1" applyProtection="1">
      <alignment horizontal="center" vertical="center" wrapText="1"/>
    </xf>
    <xf numFmtId="0" fontId="10" fillId="2" borderId="0" xfId="0" applyFont="1" applyFill="1" applyAlignment="1" applyProtection="1">
      <alignment horizontal="justify" vertical="top" wrapText="1"/>
    </xf>
    <xf numFmtId="0" fontId="0" fillId="11" borderId="0" xfId="0" applyFill="1" applyProtection="1"/>
    <xf numFmtId="3" fontId="3" fillId="2" borderId="1" xfId="0" applyNumberFormat="1" applyFont="1" applyFill="1" applyBorder="1" applyAlignment="1" applyProtection="1">
      <alignment horizontal="center" vertical="center" wrapText="1"/>
    </xf>
    <xf numFmtId="1" fontId="0" fillId="2" borderId="1" xfId="0" applyNumberFormat="1" applyFill="1" applyBorder="1" applyAlignment="1" applyProtection="1">
      <alignment horizontal="center" vertical="center" wrapText="1"/>
    </xf>
    <xf numFmtId="0" fontId="0" fillId="11" borderId="0" xfId="0" applyFill="1" applyBorder="1" applyAlignment="1" applyProtection="1">
      <alignment horizontal="justify" vertical="top" wrapText="1"/>
    </xf>
    <xf numFmtId="0" fontId="11" fillId="0" borderId="0" xfId="0" applyFont="1" applyBorder="1" applyProtection="1"/>
    <xf numFmtId="0" fontId="0" fillId="11" borderId="0" xfId="0" applyFill="1" applyBorder="1" applyProtection="1"/>
    <xf numFmtId="0" fontId="0" fillId="18" borderId="0" xfId="0" applyFill="1" applyBorder="1" applyAlignment="1" applyProtection="1">
      <alignment horizontal="justify" vertical="top" wrapText="1"/>
    </xf>
    <xf numFmtId="0" fontId="3" fillId="18" borderId="0" xfId="0" applyFont="1" applyFill="1" applyBorder="1" applyAlignment="1" applyProtection="1">
      <alignment horizontal="center" vertical="center" wrapText="1"/>
    </xf>
    <xf numFmtId="0" fontId="0" fillId="0" borderId="0" xfId="0" quotePrefix="1" applyProtection="1"/>
    <xf numFmtId="0" fontId="0" fillId="0" borderId="0" xfId="0" applyFill="1" applyBorder="1" applyAlignment="1" applyProtection="1">
      <alignment horizontal="justify" vertical="top" wrapText="1"/>
    </xf>
    <xf numFmtId="0" fontId="74" fillId="2" borderId="1" xfId="0" applyFont="1" applyFill="1" applyBorder="1" applyAlignment="1" applyProtection="1">
      <alignment horizontal="left" vertical="center" wrapText="1"/>
    </xf>
    <xf numFmtId="0" fontId="74" fillId="2" borderId="1" xfId="0" applyFont="1" applyFill="1" applyBorder="1" applyAlignment="1" applyProtection="1">
      <alignment horizontal="justify" vertical="top" wrapText="1"/>
    </xf>
    <xf numFmtId="0" fontId="10" fillId="2" borderId="1" xfId="0" applyFont="1" applyFill="1" applyBorder="1" applyAlignment="1" applyProtection="1">
      <alignment horizontal="left" vertical="top" wrapText="1"/>
    </xf>
    <xf numFmtId="0" fontId="0" fillId="2" borderId="0" xfId="0" applyFill="1" applyAlignment="1" applyProtection="1">
      <alignment horizontal="left" vertical="top"/>
    </xf>
    <xf numFmtId="0" fontId="0" fillId="0" borderId="0" xfId="0" applyFont="1" applyBorder="1" applyAlignment="1" applyProtection="1">
      <alignment horizontal="justify" vertical="top" wrapText="1"/>
    </xf>
    <xf numFmtId="0" fontId="5" fillId="2" borderId="1" xfId="0" applyFont="1" applyFill="1" applyBorder="1" applyAlignment="1" applyProtection="1">
      <alignment vertical="center" wrapText="1"/>
    </xf>
    <xf numFmtId="164" fontId="5" fillId="2" borderId="1" xfId="1" applyNumberFormat="1" applyFont="1" applyFill="1" applyBorder="1" applyAlignment="1" applyProtection="1">
      <alignment horizontal="left" vertical="top" wrapText="1"/>
    </xf>
    <xf numFmtId="3" fontId="5" fillId="2" borderId="1" xfId="0" applyNumberFormat="1" applyFont="1" applyFill="1" applyBorder="1" applyAlignment="1" applyProtection="1">
      <alignment vertical="top" wrapText="1"/>
    </xf>
    <xf numFmtId="0" fontId="0" fillId="18" borderId="0" xfId="0" applyFill="1" applyProtection="1"/>
    <xf numFmtId="0" fontId="14" fillId="2" borderId="1" xfId="0" applyFont="1" applyFill="1" applyBorder="1" applyAlignment="1" applyProtection="1">
      <alignment horizontal="center" vertical="center"/>
    </xf>
    <xf numFmtId="0" fontId="14" fillId="2" borderId="1" xfId="0" applyFont="1" applyFill="1" applyBorder="1" applyAlignment="1" applyProtection="1">
      <alignment horizontal="justify" vertical="center"/>
    </xf>
    <xf numFmtId="0" fontId="14" fillId="2" borderId="1" xfId="0" applyFont="1" applyFill="1" applyBorder="1" applyAlignment="1" applyProtection="1">
      <alignment vertical="center"/>
    </xf>
    <xf numFmtId="49" fontId="14" fillId="2" borderId="1" xfId="0" applyNumberFormat="1" applyFont="1" applyFill="1" applyBorder="1" applyAlignment="1" applyProtection="1">
      <alignment horizontal="center" vertical="center"/>
    </xf>
    <xf numFmtId="176" fontId="14" fillId="2" borderId="1" xfId="0" applyNumberFormat="1" applyFont="1" applyFill="1" applyBorder="1" applyAlignment="1" applyProtection="1">
      <alignment horizontal="center" vertical="center"/>
    </xf>
    <xf numFmtId="0" fontId="14" fillId="19" borderId="1" xfId="0" applyFont="1" applyFill="1" applyBorder="1" applyAlignment="1" applyProtection="1">
      <alignment vertical="center" wrapText="1"/>
    </xf>
    <xf numFmtId="164" fontId="14" fillId="2" borderId="1" xfId="1" applyNumberFormat="1" applyFont="1" applyFill="1" applyBorder="1" applyAlignment="1" applyProtection="1">
      <alignment vertical="center"/>
    </xf>
    <xf numFmtId="164" fontId="14" fillId="2" borderId="1" xfId="0" applyNumberFormat="1" applyFont="1" applyFill="1" applyBorder="1" applyAlignment="1" applyProtection="1">
      <alignment vertical="center"/>
    </xf>
    <xf numFmtId="0" fontId="22" fillId="2" borderId="1" xfId="0" applyFont="1" applyFill="1" applyBorder="1" applyAlignment="1" applyProtection="1">
      <alignment horizontal="justify" vertical="top" wrapText="1"/>
    </xf>
    <xf numFmtId="0" fontId="14" fillId="2" borderId="1" xfId="0" applyFont="1" applyFill="1" applyBorder="1" applyAlignment="1" applyProtection="1">
      <alignment horizontal="justify" vertical="top" wrapText="1"/>
    </xf>
    <xf numFmtId="0" fontId="14" fillId="2" borderId="0" xfId="0" applyFont="1" applyFill="1" applyProtection="1"/>
    <xf numFmtId="0" fontId="14" fillId="2" borderId="1" xfId="0" applyFont="1" applyFill="1" applyBorder="1" applyAlignment="1" applyProtection="1">
      <alignment vertical="center" wrapText="1"/>
    </xf>
    <xf numFmtId="0" fontId="14" fillId="20" borderId="1" xfId="0" applyFont="1" applyFill="1" applyBorder="1" applyAlignment="1" applyProtection="1">
      <alignment horizontal="justify" vertical="top" wrapText="1"/>
    </xf>
    <xf numFmtId="0" fontId="14" fillId="2" borderId="1" xfId="0" applyFont="1" applyFill="1" applyBorder="1" applyAlignment="1" applyProtection="1">
      <alignment horizontal="center" vertical="top"/>
    </xf>
    <xf numFmtId="0" fontId="75" fillId="2" borderId="1" xfId="0" applyFont="1" applyFill="1" applyBorder="1" applyAlignment="1" applyProtection="1">
      <alignment horizontal="center" vertical="top"/>
    </xf>
    <xf numFmtId="0" fontId="22" fillId="2" borderId="1" xfId="0" applyFont="1" applyFill="1" applyBorder="1" applyAlignment="1" applyProtection="1">
      <alignment horizontal="center" vertical="top"/>
    </xf>
    <xf numFmtId="164" fontId="12" fillId="2" borderId="1" xfId="4" applyNumberFormat="1" applyFont="1" applyFill="1" applyBorder="1" applyAlignment="1" applyProtection="1">
      <alignment vertical="center" wrapText="1"/>
    </xf>
    <xf numFmtId="3" fontId="76" fillId="2" borderId="1" xfId="0" applyNumberFormat="1" applyFont="1" applyFill="1" applyBorder="1" applyAlignment="1" applyProtection="1">
      <alignment horizontal="justify" vertical="top" wrapText="1"/>
    </xf>
    <xf numFmtId="3" fontId="2" fillId="2" borderId="1" xfId="0" applyNumberFormat="1" applyFont="1" applyFill="1" applyBorder="1" applyAlignment="1" applyProtection="1">
      <alignment horizontal="justify" vertical="top" wrapText="1"/>
    </xf>
    <xf numFmtId="3" fontId="23" fillId="2" borderId="1" xfId="0" applyNumberFormat="1" applyFont="1" applyFill="1" applyBorder="1" applyAlignment="1" applyProtection="1">
      <alignment horizontal="justify" vertical="top" wrapText="1"/>
    </xf>
    <xf numFmtId="0" fontId="77" fillId="2" borderId="1" xfId="0" applyFont="1" applyFill="1" applyBorder="1" applyAlignment="1" applyProtection="1">
      <alignment vertical="top"/>
    </xf>
    <xf numFmtId="164" fontId="12" fillId="21" borderId="1" xfId="4" applyNumberFormat="1" applyFont="1" applyFill="1" applyBorder="1" applyAlignment="1" applyProtection="1">
      <alignment horizontal="center" vertical="center" wrapText="1"/>
    </xf>
    <xf numFmtId="170" fontId="5" fillId="2" borderId="1" xfId="10" applyNumberFormat="1" applyFill="1" applyBorder="1" applyAlignment="1" applyProtection="1">
      <alignment vertical="center"/>
    </xf>
    <xf numFmtId="3" fontId="10" fillId="2" borderId="1" xfId="0" applyNumberFormat="1" applyFont="1" applyFill="1" applyBorder="1" applyAlignment="1" applyProtection="1">
      <alignment horizontal="right" vertical="top" wrapText="1"/>
    </xf>
    <xf numFmtId="43" fontId="10" fillId="2" borderId="1" xfId="1" applyFont="1" applyFill="1" applyBorder="1" applyAlignment="1" applyProtection="1">
      <alignment horizontal="center" vertical="top" wrapText="1"/>
    </xf>
    <xf numFmtId="3" fontId="74" fillId="2" borderId="1" xfId="0" applyNumberFormat="1" applyFont="1" applyFill="1" applyBorder="1" applyAlignment="1" applyProtection="1">
      <alignment horizontal="right" vertical="top" wrapText="1"/>
    </xf>
    <xf numFmtId="3" fontId="16" fillId="2" borderId="1" xfId="0" applyNumberFormat="1" applyFont="1" applyFill="1" applyBorder="1" applyAlignment="1" applyProtection="1">
      <alignment horizontal="right" vertical="top" wrapText="1"/>
    </xf>
    <xf numFmtId="43" fontId="16" fillId="2" borderId="1" xfId="1" applyFont="1" applyFill="1" applyBorder="1" applyAlignment="1" applyProtection="1">
      <alignment horizontal="right" vertical="top" wrapText="1"/>
    </xf>
    <xf numFmtId="3" fontId="50" fillId="2" borderId="1" xfId="0" applyNumberFormat="1" applyFont="1" applyFill="1" applyBorder="1" applyAlignment="1" applyProtection="1">
      <alignment horizontal="right" vertical="top" wrapText="1"/>
    </xf>
    <xf numFmtId="164" fontId="0" fillId="2" borderId="1" xfId="1" applyNumberFormat="1" applyFont="1" applyFill="1" applyBorder="1" applyAlignment="1" applyProtection="1">
      <alignment horizontal="center" vertical="top" wrapText="1"/>
    </xf>
    <xf numFmtId="49" fontId="16" fillId="2" borderId="1" xfId="0" applyNumberFormat="1" applyFont="1" applyFill="1" applyBorder="1" applyAlignment="1" applyProtection="1">
      <alignment horizontal="right" vertical="top" wrapText="1"/>
    </xf>
    <xf numFmtId="49" fontId="11" fillId="2" borderId="1" xfId="0" applyNumberFormat="1" applyFont="1" applyFill="1" applyBorder="1" applyAlignment="1" applyProtection="1">
      <alignment horizontal="center" vertical="top" wrapText="1"/>
    </xf>
    <xf numFmtId="164" fontId="50" fillId="2" borderId="1" xfId="1" applyNumberFormat="1" applyFont="1" applyFill="1" applyBorder="1" applyAlignment="1" applyProtection="1">
      <alignment horizontal="right" vertical="top" wrapText="1"/>
    </xf>
    <xf numFmtId="9" fontId="14" fillId="2" borderId="1" xfId="3" applyNumberFormat="1" applyFont="1" applyFill="1" applyBorder="1" applyAlignment="1" applyProtection="1">
      <alignment horizontal="center" vertical="top" wrapText="1"/>
    </xf>
    <xf numFmtId="3" fontId="14" fillId="2" borderId="1" xfId="3" applyNumberFormat="1" applyFont="1" applyFill="1" applyBorder="1" applyAlignment="1" applyProtection="1">
      <alignment horizontal="center" vertical="top" wrapText="1"/>
    </xf>
    <xf numFmtId="43" fontId="11" fillId="2" borderId="1" xfId="1" applyFont="1" applyFill="1" applyBorder="1" applyAlignment="1" applyProtection="1">
      <alignment horizontal="right" vertical="top" wrapText="1"/>
    </xf>
    <xf numFmtId="3" fontId="16" fillId="2" borderId="2" xfId="0" applyNumberFormat="1" applyFont="1" applyFill="1" applyBorder="1" applyAlignment="1" applyProtection="1">
      <alignment horizontal="right" vertical="top" wrapText="1"/>
    </xf>
    <xf numFmtId="3" fontId="11" fillId="2" borderId="2" xfId="0" applyNumberFormat="1" applyFont="1" applyFill="1" applyBorder="1" applyAlignment="1" applyProtection="1">
      <alignment horizontal="right" vertical="top" wrapText="1"/>
    </xf>
    <xf numFmtId="164" fontId="50" fillId="2" borderId="2" xfId="1" applyNumberFormat="1" applyFont="1" applyFill="1" applyBorder="1" applyAlignment="1" applyProtection="1">
      <alignment horizontal="right" vertical="top" wrapText="1"/>
    </xf>
    <xf numFmtId="3" fontId="50" fillId="2" borderId="2" xfId="0" applyNumberFormat="1" applyFont="1" applyFill="1" applyBorder="1" applyAlignment="1" applyProtection="1">
      <alignment horizontal="right" vertical="top" wrapText="1"/>
    </xf>
    <xf numFmtId="0" fontId="14" fillId="2" borderId="2" xfId="3" applyFont="1" applyFill="1" applyBorder="1" applyAlignment="1" applyProtection="1">
      <alignment horizontal="center" vertical="top" wrapText="1"/>
    </xf>
    <xf numFmtId="43" fontId="0" fillId="2" borderId="2" xfId="1" applyFont="1" applyFill="1" applyBorder="1" applyAlignment="1" applyProtection="1">
      <alignment horizontal="justify" vertical="top" wrapText="1"/>
    </xf>
    <xf numFmtId="0" fontId="3" fillId="0" borderId="0" xfId="0" applyFont="1" applyAlignment="1" applyProtection="1">
      <alignment horizontal="center"/>
    </xf>
    <xf numFmtId="9" fontId="3" fillId="2" borderId="1" xfId="0" applyNumberFormat="1" applyFont="1" applyFill="1" applyBorder="1" applyAlignment="1" applyProtection="1">
      <alignment horizontal="center" vertical="top" wrapText="1"/>
    </xf>
    <xf numFmtId="49" fontId="0" fillId="2" borderId="1" xfId="0" applyNumberFormat="1" applyFont="1" applyFill="1" applyBorder="1" applyAlignment="1" applyProtection="1">
      <alignment horizontal="justify" vertical="top" wrapText="1"/>
    </xf>
    <xf numFmtId="0" fontId="3" fillId="2" borderId="1" xfId="0" applyFont="1" applyFill="1" applyBorder="1" applyAlignment="1" applyProtection="1">
      <alignment horizontal="center" vertical="top" wrapText="1"/>
    </xf>
    <xf numFmtId="0" fontId="0" fillId="2" borderId="4" xfId="0" applyFill="1" applyBorder="1" applyAlignment="1" applyProtection="1">
      <alignment horizontal="center" vertical="top" wrapText="1"/>
    </xf>
    <xf numFmtId="43" fontId="50" fillId="2" borderId="1" xfId="1" applyFont="1" applyFill="1" applyBorder="1" applyAlignment="1" applyProtection="1">
      <alignment horizontal="right" vertical="top" wrapText="1"/>
    </xf>
    <xf numFmtId="164" fontId="16" fillId="2" borderId="1" xfId="1" applyNumberFormat="1" applyFont="1" applyFill="1" applyBorder="1" applyAlignment="1" applyProtection="1">
      <alignment horizontal="right" vertical="top" wrapText="1"/>
    </xf>
    <xf numFmtId="0" fontId="3" fillId="2" borderId="0" xfId="0" applyFont="1" applyFill="1" applyProtection="1"/>
    <xf numFmtId="0" fontId="3" fillId="2" borderId="0" xfId="0" applyFont="1" applyFill="1" applyAlignment="1" applyProtection="1">
      <alignment horizontal="center"/>
    </xf>
    <xf numFmtId="0" fontId="13" fillId="2" borderId="0" xfId="0" applyFont="1" applyFill="1" applyProtection="1"/>
    <xf numFmtId="43" fontId="58" fillId="2" borderId="1" xfId="1" applyFont="1" applyFill="1" applyBorder="1" applyAlignment="1" applyProtection="1">
      <alignment horizontal="right" vertical="top" wrapText="1"/>
    </xf>
    <xf numFmtId="0" fontId="50" fillId="2" borderId="1" xfId="0" applyFont="1" applyFill="1" applyBorder="1" applyAlignment="1" applyProtection="1">
      <alignment horizontal="center" vertical="top" wrapText="1"/>
    </xf>
    <xf numFmtId="3" fontId="58" fillId="2" borderId="1" xfId="0" applyNumberFormat="1" applyFont="1" applyFill="1" applyBorder="1" applyAlignment="1" applyProtection="1">
      <alignment horizontal="right" vertical="top" wrapText="1"/>
    </xf>
    <xf numFmtId="164" fontId="58" fillId="2" borderId="1" xfId="1" applyNumberFormat="1" applyFont="1" applyFill="1" applyBorder="1" applyAlignment="1" applyProtection="1">
      <alignment horizontal="right" vertical="top" wrapText="1"/>
    </xf>
    <xf numFmtId="164" fontId="11" fillId="2" borderId="1" xfId="1" applyNumberFormat="1" applyFont="1" applyFill="1" applyBorder="1" applyAlignment="1" applyProtection="1">
      <alignment horizontal="right" vertical="top" wrapText="1"/>
    </xf>
    <xf numFmtId="0" fontId="13" fillId="2" borderId="1" xfId="0" applyFont="1" applyFill="1" applyBorder="1" applyAlignment="1" applyProtection="1">
      <alignment horizontal="justify" vertical="top" wrapText="1"/>
    </xf>
    <xf numFmtId="43" fontId="3" fillId="2" borderId="1" xfId="1" applyFont="1" applyFill="1" applyBorder="1" applyAlignment="1" applyProtection="1">
      <alignment horizontal="center" vertical="top" wrapText="1"/>
    </xf>
    <xf numFmtId="16" fontId="5" fillId="2" borderId="1" xfId="0" applyNumberFormat="1" applyFont="1" applyFill="1" applyBorder="1" applyAlignment="1" applyProtection="1">
      <alignment vertical="top" wrapText="1"/>
    </xf>
    <xf numFmtId="177" fontId="3" fillId="2" borderId="1" xfId="1" applyNumberFormat="1" applyFont="1" applyFill="1" applyBorder="1" applyAlignment="1" applyProtection="1">
      <alignment horizontal="center" vertical="top" wrapText="1"/>
    </xf>
    <xf numFmtId="164" fontId="3" fillId="2" borderId="1" xfId="1" applyNumberFormat="1" applyFont="1" applyFill="1" applyBorder="1" applyAlignment="1" applyProtection="1">
      <alignment horizontal="center" vertical="top" wrapText="1"/>
    </xf>
    <xf numFmtId="0" fontId="5" fillId="2" borderId="1" xfId="3" applyFont="1" applyFill="1" applyBorder="1" applyAlignment="1" applyProtection="1">
      <alignment vertical="top" wrapText="1"/>
    </xf>
    <xf numFmtId="0" fontId="0" fillId="2" borderId="4" xfId="0" applyFill="1" applyBorder="1" applyAlignment="1" applyProtection="1">
      <alignment horizontal="justify" vertical="top" wrapText="1"/>
    </xf>
    <xf numFmtId="0" fontId="0" fillId="8" borderId="1" xfId="0" applyFill="1" applyBorder="1" applyProtection="1"/>
    <xf numFmtId="0" fontId="0" fillId="8" borderId="0" xfId="0" applyFill="1" applyBorder="1" applyProtection="1"/>
    <xf numFmtId="43" fontId="58" fillId="2" borderId="2" xfId="1" applyFont="1" applyFill="1" applyBorder="1" applyAlignment="1" applyProtection="1">
      <alignment horizontal="right" vertical="top" wrapText="1"/>
    </xf>
    <xf numFmtId="43" fontId="3" fillId="2" borderId="2" xfId="1" applyFont="1" applyFill="1" applyBorder="1" applyAlignment="1" applyProtection="1">
      <alignment horizontal="center" vertical="top" wrapText="1"/>
    </xf>
    <xf numFmtId="0" fontId="3" fillId="2" borderId="2" xfId="0" applyFont="1" applyFill="1" applyBorder="1" applyAlignment="1" applyProtection="1">
      <alignment horizontal="center" vertical="top" wrapText="1"/>
    </xf>
    <xf numFmtId="0" fontId="0" fillId="0" borderId="1" xfId="0" applyBorder="1" applyProtection="1"/>
    <xf numFmtId="3" fontId="3" fillId="0" borderId="0" xfId="0" applyNumberFormat="1" applyFont="1" applyProtection="1"/>
    <xf numFmtId="164" fontId="3" fillId="0" borderId="0" xfId="1" applyNumberFormat="1" applyFont="1" applyProtection="1"/>
    <xf numFmtId="49" fontId="0" fillId="0" borderId="0" xfId="0" applyNumberFormat="1" applyFill="1" applyProtection="1"/>
    <xf numFmtId="0" fontId="0" fillId="0" borderId="0" xfId="0" applyFill="1" applyAlignment="1" applyProtection="1">
      <alignment horizontal="justify" vertical="top" wrapText="1"/>
    </xf>
    <xf numFmtId="164" fontId="10" fillId="2" borderId="1" xfId="1" applyNumberFormat="1" applyFont="1" applyFill="1" applyBorder="1" applyAlignment="1" applyProtection="1">
      <alignment horizontal="right" vertical="top" wrapText="1"/>
    </xf>
    <xf numFmtId="0" fontId="0" fillId="2" borderId="1" xfId="0" applyFont="1" applyFill="1" applyBorder="1" applyAlignment="1" applyProtection="1">
      <alignment vertical="top" wrapText="1"/>
    </xf>
    <xf numFmtId="0" fontId="10" fillId="2" borderId="1" xfId="0" applyFont="1" applyFill="1" applyBorder="1" applyAlignment="1" applyProtection="1">
      <alignment horizontal="right" vertical="top" wrapText="1"/>
    </xf>
    <xf numFmtId="0" fontId="3" fillId="2" borderId="0" xfId="0" applyFont="1" applyFill="1" applyBorder="1" applyAlignment="1" applyProtection="1">
      <alignment horizontal="center" vertical="top" wrapText="1"/>
    </xf>
    <xf numFmtId="43" fontId="10" fillId="2" borderId="1" xfId="0" applyNumberFormat="1" applyFont="1" applyFill="1" applyBorder="1" applyAlignment="1" applyProtection="1">
      <alignment horizontal="right" vertical="top" wrapText="1"/>
    </xf>
    <xf numFmtId="0" fontId="0" fillId="0" borderId="0" xfId="0" applyFill="1" applyAlignment="1" applyProtection="1">
      <alignment horizontal="right"/>
    </xf>
    <xf numFmtId="164" fontId="12" fillId="5" borderId="1" xfId="4" applyNumberFormat="1" applyFont="1" applyFill="1" applyBorder="1" applyAlignment="1" applyProtection="1">
      <alignment horizontal="center" vertical="center" wrapText="1"/>
    </xf>
    <xf numFmtId="0" fontId="6" fillId="0" borderId="0" xfId="3" applyFont="1" applyAlignment="1" applyProtection="1">
      <alignment horizontal="center" vertical="center"/>
    </xf>
    <xf numFmtId="164" fontId="12" fillId="4" borderId="1" xfId="4" applyNumberFormat="1" applyFont="1" applyFill="1" applyBorder="1" applyAlignment="1" applyProtection="1">
      <alignment horizontal="center" vertical="center" wrapText="1"/>
    </xf>
    <xf numFmtId="3" fontId="0" fillId="2" borderId="1" xfId="0" applyNumberFormat="1" applyFill="1" applyBorder="1" applyAlignment="1" applyProtection="1">
      <alignment horizontal="center" vertical="center" wrapText="1"/>
    </xf>
    <xf numFmtId="0" fontId="53" fillId="2" borderId="1" xfId="3" applyFont="1" applyFill="1" applyBorder="1" applyAlignment="1" applyProtection="1">
      <alignment horizontal="justify"/>
    </xf>
    <xf numFmtId="0" fontId="10" fillId="2" borderId="1" xfId="0" quotePrefix="1" applyFont="1" applyFill="1" applyBorder="1" applyAlignment="1" applyProtection="1">
      <alignment horizontal="justify" vertical="top" wrapText="1"/>
    </xf>
    <xf numFmtId="9" fontId="10" fillId="2" borderId="1" xfId="0" applyNumberFormat="1" applyFont="1" applyFill="1" applyBorder="1" applyAlignment="1" applyProtection="1">
      <alignment horizontal="center" vertical="center" wrapText="1"/>
    </xf>
    <xf numFmtId="0" fontId="10" fillId="2" borderId="1" xfId="0" applyFont="1" applyFill="1" applyBorder="1" applyAlignment="1" applyProtection="1">
      <alignment vertical="center" wrapText="1"/>
    </xf>
    <xf numFmtId="0" fontId="79" fillId="2" borderId="1" xfId="0" applyFont="1" applyFill="1" applyBorder="1" applyAlignment="1" applyProtection="1">
      <alignment horizontal="justify" vertical="top" wrapText="1"/>
    </xf>
    <xf numFmtId="49" fontId="10" fillId="2" borderId="1" xfId="11" applyNumberFormat="1" applyFont="1" applyFill="1" applyBorder="1" applyAlignment="1" applyProtection="1">
      <alignment horizontal="justify" vertical="top" wrapText="1"/>
    </xf>
    <xf numFmtId="49" fontId="2" fillId="2" borderId="1" xfId="11" applyNumberFormat="1" applyFont="1" applyFill="1" applyBorder="1" applyAlignment="1" applyProtection="1">
      <alignment horizontal="justify" vertical="top" wrapText="1"/>
    </xf>
    <xf numFmtId="164" fontId="12" fillId="5" borderId="1" xfId="4" applyNumberFormat="1" applyFont="1" applyFill="1" applyBorder="1" applyAlignment="1" applyProtection="1">
      <alignment horizontal="center" vertical="center" wrapText="1"/>
    </xf>
    <xf numFmtId="164" fontId="12" fillId="4" borderId="1" xfId="4" applyNumberFormat="1" applyFont="1" applyFill="1" applyBorder="1" applyAlignment="1" applyProtection="1">
      <alignment horizontal="center" vertical="center" wrapText="1"/>
    </xf>
    <xf numFmtId="0" fontId="6" fillId="0" borderId="0" xfId="3" applyFont="1" applyAlignment="1" applyProtection="1">
      <alignment horizontal="center" vertical="center"/>
    </xf>
    <xf numFmtId="2" fontId="0" fillId="2" borderId="0" xfId="0" applyNumberFormat="1" applyFill="1" applyProtection="1"/>
    <xf numFmtId="1" fontId="0" fillId="2" borderId="0" xfId="0" applyNumberFormat="1" applyFill="1" applyAlignment="1" applyProtection="1">
      <alignment horizontal="justify" vertical="top" wrapText="1"/>
    </xf>
    <xf numFmtId="49" fontId="0" fillId="2" borderId="0" xfId="0" applyNumberFormat="1" applyFill="1" applyProtection="1"/>
    <xf numFmtId="49" fontId="0" fillId="22" borderId="0" xfId="0" applyNumberFormat="1" applyFill="1" applyProtection="1"/>
    <xf numFmtId="0" fontId="0" fillId="22" borderId="0" xfId="0" applyFill="1" applyProtection="1"/>
    <xf numFmtId="0" fontId="0" fillId="22" borderId="0" xfId="0" applyFill="1" applyAlignment="1" applyProtection="1">
      <alignment horizontal="justify" vertical="top" wrapText="1"/>
    </xf>
    <xf numFmtId="0" fontId="5" fillId="2" borderId="1" xfId="0" applyFont="1" applyFill="1" applyBorder="1" applyAlignment="1" applyProtection="1">
      <alignment horizontal="center" vertical="top"/>
    </xf>
    <xf numFmtId="0" fontId="5" fillId="2" borderId="1" xfId="0" applyNumberFormat="1" applyFont="1" applyFill="1" applyBorder="1" applyAlignment="1" applyProtection="1">
      <alignment horizontal="center" vertical="top"/>
    </xf>
    <xf numFmtId="0" fontId="5" fillId="2" borderId="1" xfId="0" applyFont="1" applyFill="1" applyBorder="1" applyAlignment="1" applyProtection="1">
      <alignment horizontal="center" vertical="top" wrapText="1"/>
    </xf>
    <xf numFmtId="1" fontId="11" fillId="2" borderId="1" xfId="0" applyNumberFormat="1" applyFont="1" applyFill="1" applyBorder="1" applyProtection="1"/>
    <xf numFmtId="0" fontId="6" fillId="2" borderId="0" xfId="3" applyFont="1" applyFill="1" applyAlignment="1" applyProtection="1">
      <alignment horizontal="justify" vertical="top"/>
    </xf>
    <xf numFmtId="3" fontId="80" fillId="2" borderId="1" xfId="0" applyNumberFormat="1" applyFont="1" applyFill="1" applyBorder="1" applyProtection="1"/>
    <xf numFmtId="0" fontId="11" fillId="0" borderId="0" xfId="0" applyFont="1" applyAlignment="1" applyProtection="1">
      <alignment wrapText="1"/>
    </xf>
    <xf numFmtId="0" fontId="11" fillId="2" borderId="0" xfId="0" applyFont="1" applyFill="1" applyAlignment="1" applyProtection="1">
      <alignment wrapText="1"/>
    </xf>
    <xf numFmtId="0" fontId="11" fillId="2" borderId="1" xfId="0" applyFont="1" applyFill="1" applyBorder="1" applyAlignment="1" applyProtection="1">
      <alignment wrapText="1"/>
    </xf>
    <xf numFmtId="164" fontId="12" fillId="5" borderId="1" xfId="4" applyNumberFormat="1" applyFont="1" applyFill="1" applyBorder="1" applyAlignment="1" applyProtection="1">
      <alignment horizontal="center" vertical="center" wrapText="1"/>
    </xf>
    <xf numFmtId="0" fontId="14" fillId="5" borderId="1" xfId="3" applyFont="1" applyFill="1" applyBorder="1" applyAlignment="1" applyProtection="1">
      <alignment vertical="center"/>
    </xf>
    <xf numFmtId="0" fontId="6" fillId="0" borderId="0" xfId="3" applyFont="1" applyAlignment="1" applyProtection="1">
      <alignment horizontal="center" vertical="center"/>
    </xf>
    <xf numFmtId="0" fontId="6" fillId="0" borderId="0" xfId="3" applyFont="1" applyAlignment="1" applyProtection="1">
      <alignment horizontal="left" vertical="center"/>
    </xf>
    <xf numFmtId="164" fontId="12" fillId="4" borderId="1" xfId="4" applyNumberFormat="1" applyFont="1" applyFill="1" applyBorder="1" applyAlignment="1" applyProtection="1">
      <alignment horizontal="center" vertical="center" wrapText="1"/>
    </xf>
    <xf numFmtId="0" fontId="14" fillId="4" borderId="1" xfId="3" applyFont="1" applyFill="1" applyBorder="1" applyAlignment="1" applyProtection="1">
      <alignment vertical="center"/>
    </xf>
    <xf numFmtId="0" fontId="14" fillId="5" borderId="4" xfId="3" applyFont="1" applyFill="1" applyBorder="1" applyAlignment="1" applyProtection="1">
      <alignment vertical="center"/>
    </xf>
    <xf numFmtId="0" fontId="7" fillId="5" borderId="6" xfId="0" applyFont="1" applyFill="1" applyBorder="1" applyAlignment="1" applyProtection="1">
      <alignment horizontal="center"/>
    </xf>
    <xf numFmtId="0" fontId="7" fillId="5" borderId="0" xfId="0" applyFont="1" applyFill="1" applyAlignment="1" applyProtection="1">
      <alignment horizontal="center"/>
    </xf>
    <xf numFmtId="164" fontId="81" fillId="4" borderId="2" xfId="4" applyNumberFormat="1" applyFont="1" applyFill="1" applyBorder="1" applyAlignment="1" applyProtection="1">
      <alignment horizontal="center" vertical="center" wrapText="1"/>
    </xf>
    <xf numFmtId="164" fontId="81" fillId="4" borderId="3" xfId="4" applyNumberFormat="1" applyFont="1" applyFill="1" applyBorder="1" applyAlignment="1" applyProtection="1">
      <alignment horizontal="center" vertical="center" wrapText="1"/>
    </xf>
    <xf numFmtId="164" fontId="7" fillId="6" borderId="4" xfId="4" applyNumberFormat="1" applyFont="1" applyFill="1" applyBorder="1" applyAlignment="1" applyProtection="1">
      <alignment horizontal="center" vertical="center" wrapText="1"/>
    </xf>
    <xf numFmtId="164" fontId="7" fillId="6" borderId="7" xfId="4" applyNumberFormat="1" applyFont="1" applyFill="1" applyBorder="1" applyAlignment="1" applyProtection="1">
      <alignment horizontal="center" vertical="center" wrapText="1"/>
    </xf>
    <xf numFmtId="164" fontId="7" fillId="6" borderId="5" xfId="4" applyNumberFormat="1" applyFont="1" applyFill="1" applyBorder="1" applyAlignment="1" applyProtection="1">
      <alignment horizontal="center" vertical="center" wrapText="1"/>
    </xf>
    <xf numFmtId="164" fontId="7" fillId="3" borderId="1" xfId="4" applyNumberFormat="1" applyFont="1" applyFill="1" applyBorder="1" applyAlignment="1" applyProtection="1">
      <alignment horizontal="center" vertical="center" wrapText="1"/>
    </xf>
    <xf numFmtId="0" fontId="8" fillId="0" borderId="1" xfId="3" applyFont="1" applyBorder="1" applyAlignment="1" applyProtection="1">
      <alignment vertical="center"/>
    </xf>
    <xf numFmtId="164" fontId="7" fillId="4" borderId="2" xfId="4" applyNumberFormat="1" applyFont="1" applyFill="1" applyBorder="1" applyAlignment="1" applyProtection="1">
      <alignment horizontal="center" vertical="center" wrapText="1"/>
    </xf>
    <xf numFmtId="164" fontId="7" fillId="4" borderId="3" xfId="4" applyNumberFormat="1"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0" fontId="7" fillId="4" borderId="3" xfId="3" applyFont="1" applyFill="1" applyBorder="1" applyAlignment="1" applyProtection="1">
      <alignment horizontal="center" vertical="center" wrapText="1"/>
    </xf>
    <xf numFmtId="164" fontId="7" fillId="4" borderId="1" xfId="4" applyNumberFormat="1" applyFont="1" applyFill="1" applyBorder="1" applyAlignment="1" applyProtection="1">
      <alignment horizontal="center" vertical="center" wrapText="1"/>
    </xf>
    <xf numFmtId="0" fontId="8" fillId="4" borderId="1" xfId="3" applyFont="1" applyFill="1" applyBorder="1" applyAlignment="1" applyProtection="1">
      <alignment vertical="center"/>
    </xf>
    <xf numFmtId="164" fontId="12" fillId="4" borderId="2" xfId="4" applyNumberFormat="1" applyFont="1" applyFill="1" applyBorder="1" applyAlignment="1" applyProtection="1">
      <alignment horizontal="center" vertical="center" wrapText="1"/>
    </xf>
    <xf numFmtId="164" fontId="12" fillId="4" borderId="3" xfId="4" applyNumberFormat="1" applyFont="1" applyFill="1" applyBorder="1" applyAlignment="1" applyProtection="1">
      <alignment horizontal="center" vertical="center" wrapText="1"/>
    </xf>
    <xf numFmtId="0" fontId="22" fillId="5" borderId="4" xfId="3" applyFont="1" applyFill="1" applyBorder="1" applyAlignment="1" applyProtection="1">
      <alignment vertical="center"/>
    </xf>
    <xf numFmtId="0" fontId="22" fillId="5" borderId="1" xfId="3" applyFont="1" applyFill="1" applyBorder="1" applyAlignment="1" applyProtection="1">
      <alignment vertical="center"/>
    </xf>
    <xf numFmtId="0" fontId="22" fillId="4" borderId="1" xfId="3" applyFont="1" applyFill="1" applyBorder="1" applyAlignment="1" applyProtection="1">
      <alignment vertical="center"/>
    </xf>
    <xf numFmtId="0" fontId="8" fillId="0" borderId="1" xfId="3" applyFont="1" applyBorder="1" applyAlignment="1" applyProtection="1">
      <alignment horizontal="center" vertical="center"/>
    </xf>
    <xf numFmtId="0" fontId="8" fillId="4" borderId="1" xfId="3" applyFont="1" applyFill="1" applyBorder="1" applyAlignment="1" applyProtection="1">
      <alignment horizontal="center" vertical="center"/>
    </xf>
    <xf numFmtId="0" fontId="56" fillId="4" borderId="1" xfId="3" applyFont="1" applyFill="1" applyBorder="1" applyAlignment="1" applyProtection="1">
      <alignment horizontal="center" vertical="center"/>
    </xf>
    <xf numFmtId="164" fontId="12" fillId="3" borderId="1" xfId="4" applyNumberFormat="1" applyFont="1" applyFill="1" applyBorder="1" applyAlignment="1" applyProtection="1">
      <alignment horizontal="center" vertical="center" wrapText="1"/>
    </xf>
    <xf numFmtId="0" fontId="14" fillId="3" borderId="1" xfId="3" applyFont="1" applyFill="1" applyBorder="1" applyAlignment="1" applyProtection="1">
      <alignment vertical="center"/>
    </xf>
    <xf numFmtId="164" fontId="12" fillId="21" borderId="1" xfId="4" applyNumberFormat="1" applyFont="1" applyFill="1" applyBorder="1" applyAlignment="1" applyProtection="1">
      <alignment horizontal="center" vertical="center" wrapText="1"/>
    </xf>
    <xf numFmtId="0" fontId="14" fillId="21" borderId="1" xfId="3" applyFont="1" applyFill="1" applyBorder="1" applyAlignment="1" applyProtection="1">
      <alignment vertical="center"/>
    </xf>
    <xf numFmtId="0" fontId="14" fillId="3" borderId="4" xfId="3" applyFont="1" applyFill="1" applyBorder="1" applyAlignment="1" applyProtection="1">
      <alignment vertical="center"/>
    </xf>
    <xf numFmtId="0" fontId="12" fillId="3" borderId="6" xfId="0" applyFont="1" applyFill="1" applyBorder="1" applyAlignment="1" applyProtection="1">
      <alignment horizontal="center"/>
    </xf>
    <xf numFmtId="0" fontId="12" fillId="3" borderId="0" xfId="0" applyFont="1" applyFill="1" applyAlignment="1" applyProtection="1">
      <alignment horizontal="center"/>
    </xf>
    <xf numFmtId="164" fontId="12" fillId="21" borderId="2" xfId="4" applyNumberFormat="1" applyFont="1" applyFill="1" applyBorder="1" applyAlignment="1" applyProtection="1">
      <alignment horizontal="center" vertical="center" wrapText="1"/>
    </xf>
    <xf numFmtId="164" fontId="12" fillId="21" borderId="3" xfId="4" applyNumberFormat="1" applyFont="1" applyFill="1" applyBorder="1" applyAlignment="1" applyProtection="1">
      <alignment horizontal="center" vertical="center" wrapText="1"/>
    </xf>
    <xf numFmtId="164" fontId="12" fillId="14" borderId="4" xfId="4" applyNumberFormat="1" applyFont="1" applyFill="1" applyBorder="1" applyAlignment="1" applyProtection="1">
      <alignment horizontal="center" vertical="center" wrapText="1"/>
    </xf>
    <xf numFmtId="164" fontId="12" fillId="14" borderId="7" xfId="4" applyNumberFormat="1" applyFont="1" applyFill="1" applyBorder="1" applyAlignment="1" applyProtection="1">
      <alignment horizontal="center" vertical="center" wrapText="1"/>
    </xf>
    <xf numFmtId="164" fontId="12" fillId="14" borderId="5" xfId="4" applyNumberFormat="1" applyFont="1" applyFill="1" applyBorder="1" applyAlignment="1" applyProtection="1">
      <alignment horizontal="center" vertical="center" wrapText="1"/>
    </xf>
    <xf numFmtId="0" fontId="33" fillId="0" borderId="1" xfId="3" applyFont="1" applyBorder="1" applyAlignment="1" applyProtection="1">
      <alignment vertical="center"/>
    </xf>
    <xf numFmtId="0" fontId="12" fillId="21" borderId="2" xfId="3" applyFont="1" applyFill="1" applyBorder="1" applyAlignment="1" applyProtection="1">
      <alignment horizontal="center" vertical="center" wrapText="1"/>
    </xf>
    <xf numFmtId="0" fontId="12" fillId="21" borderId="3" xfId="3" applyFont="1" applyFill="1" applyBorder="1" applyAlignment="1" applyProtection="1">
      <alignment horizontal="center" vertical="center" wrapText="1"/>
    </xf>
    <xf numFmtId="0" fontId="33" fillId="21" borderId="1" xfId="3" applyFont="1" applyFill="1" applyBorder="1" applyAlignment="1" applyProtection="1">
      <alignment vertical="center"/>
    </xf>
    <xf numFmtId="164" fontId="71" fillId="4" borderId="2" xfId="4" applyNumberFormat="1" applyFont="1" applyFill="1" applyBorder="1" applyAlignment="1" applyProtection="1">
      <alignment horizontal="center" vertical="center" wrapText="1"/>
    </xf>
    <xf numFmtId="164" fontId="71" fillId="4" borderId="3" xfId="4" applyNumberFormat="1" applyFont="1" applyFill="1" applyBorder="1" applyAlignment="1" applyProtection="1">
      <alignment horizontal="center" vertical="center" wrapText="1"/>
    </xf>
    <xf numFmtId="164" fontId="64" fillId="3" borderId="1" xfId="4" applyNumberFormat="1" applyFont="1" applyFill="1" applyBorder="1" applyAlignment="1" applyProtection="1">
      <alignment horizontal="center" vertical="center" wrapText="1"/>
    </xf>
    <xf numFmtId="0" fontId="66" fillId="3" borderId="1" xfId="3" applyFont="1" applyFill="1" applyBorder="1" applyAlignment="1" applyProtection="1">
      <alignment vertical="center"/>
    </xf>
    <xf numFmtId="0" fontId="62" fillId="0" borderId="0" xfId="3" applyFont="1" applyAlignment="1" applyProtection="1">
      <alignment horizontal="center" vertical="center"/>
    </xf>
    <xf numFmtId="0" fontId="62" fillId="0" borderId="0" xfId="3" applyFont="1" applyAlignment="1" applyProtection="1">
      <alignment horizontal="left" vertical="center"/>
    </xf>
    <xf numFmtId="164" fontId="64" fillId="13" borderId="1" xfId="4" applyNumberFormat="1" applyFont="1" applyFill="1" applyBorder="1" applyAlignment="1" applyProtection="1">
      <alignment horizontal="center" vertical="center" wrapText="1"/>
    </xf>
    <xf numFmtId="0" fontId="66" fillId="13" borderId="1" xfId="3" applyFont="1" applyFill="1" applyBorder="1" applyAlignment="1" applyProtection="1">
      <alignment vertical="center"/>
    </xf>
    <xf numFmtId="0" fontId="66" fillId="3" borderId="4" xfId="3" applyFont="1" applyFill="1" applyBorder="1" applyAlignment="1" applyProtection="1">
      <alignment vertical="center"/>
    </xf>
    <xf numFmtId="0" fontId="64" fillId="3" borderId="6" xfId="0" applyFont="1" applyFill="1" applyBorder="1" applyAlignment="1" applyProtection="1">
      <alignment horizontal="center"/>
    </xf>
    <xf numFmtId="0" fontId="64" fillId="3" borderId="0" xfId="0" applyFont="1" applyFill="1" applyAlignment="1" applyProtection="1">
      <alignment horizontal="center"/>
    </xf>
    <xf numFmtId="164" fontId="64" fillId="13" borderId="2" xfId="4" applyNumberFormat="1" applyFont="1" applyFill="1" applyBorder="1" applyAlignment="1" applyProtection="1">
      <alignment horizontal="center" vertical="center" wrapText="1"/>
    </xf>
    <xf numFmtId="164" fontId="64" fillId="13" borderId="3" xfId="4" applyNumberFormat="1" applyFont="1" applyFill="1" applyBorder="1" applyAlignment="1" applyProtection="1">
      <alignment horizontal="center" vertical="center" wrapText="1"/>
    </xf>
    <xf numFmtId="164" fontId="64" fillId="14" borderId="4" xfId="4" applyNumberFormat="1" applyFont="1" applyFill="1" applyBorder="1" applyAlignment="1" applyProtection="1">
      <alignment horizontal="center" vertical="center" wrapText="1"/>
    </xf>
    <xf numFmtId="164" fontId="64" fillId="14" borderId="7" xfId="4" applyNumberFormat="1" applyFont="1" applyFill="1" applyBorder="1" applyAlignment="1" applyProtection="1">
      <alignment horizontal="center" vertical="center" wrapText="1"/>
    </xf>
    <xf numFmtId="164" fontId="64" fillId="14" borderId="5" xfId="4" applyNumberFormat="1" applyFont="1" applyFill="1" applyBorder="1" applyAlignment="1" applyProtection="1">
      <alignment horizontal="center" vertical="center" wrapText="1"/>
    </xf>
    <xf numFmtId="164" fontId="12" fillId="13" borderId="2" xfId="4" applyNumberFormat="1" applyFont="1" applyFill="1" applyBorder="1" applyAlignment="1" applyProtection="1">
      <alignment horizontal="center" vertical="center" wrapText="1"/>
    </xf>
    <xf numFmtId="164" fontId="12" fillId="13" borderId="3" xfId="4" applyNumberFormat="1" applyFont="1" applyFill="1" applyBorder="1" applyAlignment="1" applyProtection="1">
      <alignment horizontal="center" vertical="center" wrapText="1"/>
    </xf>
    <xf numFmtId="0" fontId="12" fillId="13" borderId="2" xfId="3" applyFont="1" applyFill="1" applyBorder="1" applyAlignment="1" applyProtection="1">
      <alignment horizontal="center" vertical="center" wrapText="1"/>
    </xf>
    <xf numFmtId="0" fontId="12" fillId="13" borderId="3" xfId="3" applyFont="1" applyFill="1" applyBorder="1" applyAlignment="1" applyProtection="1">
      <alignment horizontal="center" vertical="center" wrapText="1"/>
    </xf>
    <xf numFmtId="164" fontId="12" fillId="13" borderId="1" xfId="4" applyNumberFormat="1" applyFont="1" applyFill="1" applyBorder="1" applyAlignment="1" applyProtection="1">
      <alignment horizontal="center" vertical="center" wrapText="1"/>
    </xf>
    <xf numFmtId="0" fontId="33" fillId="13" borderId="1" xfId="3" applyFont="1" applyFill="1" applyBorder="1" applyAlignment="1" applyProtection="1">
      <alignment vertical="center"/>
    </xf>
    <xf numFmtId="164" fontId="56" fillId="4" borderId="2" xfId="4" applyNumberFormat="1" applyFont="1" applyFill="1" applyBorder="1" applyAlignment="1" applyProtection="1">
      <alignment horizontal="center" vertical="center" wrapText="1"/>
    </xf>
    <xf numFmtId="164" fontId="56" fillId="4" borderId="3" xfId="4" applyNumberFormat="1" applyFont="1" applyFill="1" applyBorder="1" applyAlignment="1" applyProtection="1">
      <alignment horizontal="center" vertical="center" wrapText="1"/>
    </xf>
    <xf numFmtId="164" fontId="56" fillId="3" borderId="1" xfId="4" applyNumberFormat="1" applyFont="1" applyFill="1" applyBorder="1" applyAlignment="1" applyProtection="1">
      <alignment horizontal="center" vertical="center" wrapText="1"/>
    </xf>
    <xf numFmtId="164" fontId="56" fillId="4" borderId="1" xfId="4" applyNumberFormat="1" applyFont="1" applyFill="1" applyBorder="1" applyAlignment="1" applyProtection="1">
      <alignment horizontal="center" vertical="center" wrapText="1"/>
    </xf>
    <xf numFmtId="164" fontId="12" fillId="16" borderId="1" xfId="4" applyNumberFormat="1" applyFont="1" applyFill="1" applyBorder="1" applyAlignment="1" applyProtection="1">
      <alignment horizontal="center" vertical="center" wrapText="1"/>
    </xf>
    <xf numFmtId="0" fontId="14" fillId="16" borderId="1" xfId="3" applyFont="1" applyFill="1" applyBorder="1" applyAlignment="1" applyProtection="1">
      <alignment vertical="center"/>
    </xf>
    <xf numFmtId="3" fontId="7" fillId="16" borderId="2" xfId="3" applyNumberFormat="1" applyFont="1" applyFill="1" applyBorder="1" applyAlignment="1" applyProtection="1">
      <alignment horizontal="center" vertical="center" wrapText="1"/>
    </xf>
    <xf numFmtId="3" fontId="7" fillId="16" borderId="3" xfId="3" applyNumberFormat="1" applyFont="1" applyFill="1" applyBorder="1" applyAlignment="1" applyProtection="1">
      <alignment horizontal="center" vertical="center" wrapText="1"/>
    </xf>
    <xf numFmtId="0" fontId="14" fillId="13" borderId="1" xfId="3" applyFont="1" applyFill="1" applyBorder="1" applyAlignment="1" applyProtection="1">
      <alignment vertical="center"/>
    </xf>
    <xf numFmtId="0" fontId="0" fillId="2" borderId="2" xfId="0" applyFill="1" applyBorder="1" applyAlignment="1" applyProtection="1">
      <alignment horizontal="left" vertical="center" wrapText="1"/>
    </xf>
    <xf numFmtId="0" fontId="0" fillId="2" borderId="8" xfId="0" applyFill="1" applyBorder="1" applyAlignment="1" applyProtection="1">
      <alignment horizontal="left" vertical="center" wrapText="1"/>
    </xf>
    <xf numFmtId="0" fontId="0" fillId="2" borderId="3" xfId="0" applyFill="1" applyBorder="1" applyAlignment="1" applyProtection="1">
      <alignment horizontal="left" vertical="center" wrapText="1"/>
    </xf>
    <xf numFmtId="174" fontId="7" fillId="4" borderId="2" xfId="2" applyNumberFormat="1" applyFont="1" applyFill="1" applyBorder="1" applyAlignment="1" applyProtection="1">
      <alignment horizontal="center" vertical="center" wrapText="1"/>
    </xf>
    <xf numFmtId="174" fontId="7" fillId="4" borderId="3" xfId="2" applyNumberFormat="1" applyFont="1" applyFill="1" applyBorder="1" applyAlignment="1" applyProtection="1">
      <alignment horizontal="center" vertical="center" wrapText="1"/>
    </xf>
    <xf numFmtId="164" fontId="12" fillId="5" borderId="1" xfId="6" applyNumberFormat="1" applyFont="1" applyFill="1" applyBorder="1" applyAlignment="1" applyProtection="1">
      <alignment horizontal="center" vertical="center" wrapText="1"/>
    </xf>
    <xf numFmtId="164" fontId="12" fillId="4" borderId="1" xfId="6" applyNumberFormat="1" applyFont="1" applyFill="1" applyBorder="1" applyAlignment="1" applyProtection="1">
      <alignment horizontal="center" vertical="center" wrapText="1"/>
    </xf>
    <xf numFmtId="164" fontId="12" fillId="4" borderId="2" xfId="6" applyNumberFormat="1" applyFont="1" applyFill="1" applyBorder="1" applyAlignment="1" applyProtection="1">
      <alignment horizontal="center" vertical="center" wrapText="1"/>
    </xf>
    <xf numFmtId="164" fontId="12" fillId="4" borderId="3" xfId="6" applyNumberFormat="1" applyFont="1" applyFill="1" applyBorder="1" applyAlignment="1" applyProtection="1">
      <alignment horizontal="center" vertical="center" wrapText="1"/>
    </xf>
    <xf numFmtId="164" fontId="7" fillId="6" borderId="4" xfId="6" applyNumberFormat="1" applyFont="1" applyFill="1" applyBorder="1" applyAlignment="1" applyProtection="1">
      <alignment horizontal="center" vertical="center" wrapText="1"/>
    </xf>
    <xf numFmtId="164" fontId="7" fillId="6" borderId="7" xfId="6" applyNumberFormat="1" applyFont="1" applyFill="1" applyBorder="1" applyAlignment="1" applyProtection="1">
      <alignment horizontal="center" vertical="center" wrapText="1"/>
    </xf>
    <xf numFmtId="164" fontId="7" fillId="6" borderId="5" xfId="6" applyNumberFormat="1" applyFont="1" applyFill="1" applyBorder="1" applyAlignment="1" applyProtection="1">
      <alignment horizontal="center" vertical="center" wrapText="1"/>
    </xf>
    <xf numFmtId="164" fontId="7" fillId="3" borderId="1" xfId="6" applyNumberFormat="1" applyFont="1" applyFill="1" applyBorder="1" applyAlignment="1" applyProtection="1">
      <alignment horizontal="center" vertical="center" wrapText="1"/>
    </xf>
    <xf numFmtId="0" fontId="6" fillId="0" borderId="1" xfId="3" applyFont="1" applyBorder="1" applyAlignment="1" applyProtection="1">
      <alignment horizontal="center" vertical="center"/>
    </xf>
    <xf numFmtId="0" fontId="6" fillId="0" borderId="1" xfId="3" applyFont="1" applyBorder="1" applyAlignment="1" applyProtection="1">
      <alignment horizontal="left" vertical="center"/>
    </xf>
    <xf numFmtId="164" fontId="22" fillId="4" borderId="2" xfId="6" applyNumberFormat="1" applyFont="1" applyFill="1" applyBorder="1" applyAlignment="1" applyProtection="1">
      <alignment horizontal="center" vertical="center" wrapText="1"/>
    </xf>
    <xf numFmtId="164" fontId="22" fillId="4" borderId="3" xfId="6" applyNumberFormat="1" applyFont="1" applyFill="1" applyBorder="1" applyAlignment="1" applyProtection="1">
      <alignment horizontal="center" vertical="center" wrapText="1"/>
    </xf>
    <xf numFmtId="0" fontId="7" fillId="4" borderId="1" xfId="3" applyFont="1" applyFill="1" applyBorder="1" applyAlignment="1" applyProtection="1">
      <alignment horizontal="center" vertical="center" wrapText="1"/>
    </xf>
    <xf numFmtId="164" fontId="7" fillId="4" borderId="1" xfId="6" applyNumberFormat="1" applyFont="1" applyFill="1" applyBorder="1" applyAlignment="1" applyProtection="1">
      <alignment horizontal="center" vertical="center" wrapText="1"/>
    </xf>
    <xf numFmtId="164" fontId="7" fillId="4" borderId="2" xfId="1" applyNumberFormat="1" applyFont="1" applyFill="1" applyBorder="1" applyAlignment="1" applyProtection="1">
      <alignment horizontal="center" vertical="center" wrapText="1"/>
    </xf>
    <xf numFmtId="164" fontId="7" fillId="4" borderId="3" xfId="1" applyNumberFormat="1" applyFont="1" applyFill="1" applyBorder="1" applyAlignment="1" applyProtection="1">
      <alignment horizontal="center" vertical="center" wrapText="1"/>
    </xf>
    <xf numFmtId="164" fontId="12" fillId="4" borderId="1" xfId="4" applyNumberFormat="1" applyFont="1" applyFill="1" applyBorder="1" applyAlignment="1" applyProtection="1">
      <alignment horizontal="right" vertical="center" wrapText="1"/>
    </xf>
    <xf numFmtId="0" fontId="14" fillId="4" borderId="1" xfId="3" applyFont="1" applyFill="1" applyBorder="1" applyAlignment="1" applyProtection="1">
      <alignment horizontal="right" vertical="center"/>
    </xf>
    <xf numFmtId="164" fontId="12" fillId="5" borderId="1" xfId="4" applyNumberFormat="1" applyFont="1" applyFill="1" applyBorder="1" applyAlignment="1" applyProtection="1">
      <alignment horizontal="right" vertical="center" wrapText="1"/>
    </xf>
    <xf numFmtId="0" fontId="14" fillId="5" borderId="4" xfId="3" applyFont="1" applyFill="1" applyBorder="1" applyAlignment="1" applyProtection="1">
      <alignment horizontal="right" vertical="center"/>
    </xf>
  </cellXfs>
  <cellStyles count="12">
    <cellStyle name="Millares" xfId="1" builtinId="3"/>
    <cellStyle name="Millares 2" xfId="4"/>
    <cellStyle name="Millares 2 2" xfId="6"/>
    <cellStyle name="Millares 3" xfId="5"/>
    <cellStyle name="Millares 4" xfId="9"/>
    <cellStyle name="Moneda" xfId="2" builtinId="4"/>
    <cellStyle name="Moneda 2" xfId="8"/>
    <cellStyle name="Normal" xfId="0" builtinId="0"/>
    <cellStyle name="Normal 2" xfId="3"/>
    <cellStyle name="Normal_FORMATO FINANCIERO" xfId="10"/>
    <cellStyle name="Normal_Hoja1" xfId="7"/>
    <cellStyle name="Porcentaje" xfId="1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5" Type="http://schemas.openxmlformats.org/officeDocument/2006/relationships/worksheet" Target="worksheets/sheet5.xml"/><Relationship Id="rId61" Type="http://schemas.openxmlformats.org/officeDocument/2006/relationships/externalLink" Target="externalLinks/externalLink7.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77"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externalLink" Target="externalLinks/externalLink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314325</xdr:colOff>
      <xdr:row>12</xdr:row>
      <xdr:rowOff>323850</xdr:rowOff>
    </xdr:from>
    <xdr:to>
      <xdr:col>16</xdr:col>
      <xdr:colOff>6172200</xdr:colOff>
      <xdr:row>13</xdr:row>
      <xdr:rowOff>895350</xdr:rowOff>
    </xdr:to>
    <xdr:pic>
      <xdr:nvPicPr>
        <xdr:cNvPr id="2"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0225" y="6562725"/>
          <a:ext cx="5857875"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Acci&#243;nAntLegal-20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20Servicios%20P&#250;blicos%2031%20dic%202013TOT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20Participaci&#243;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ocuments%20and%20Settings\acorream\Escritorio\Plantillas%20para%20carga%20de%20proyectos%20SAP%20PS\Ejecuciones%20por%20priycto%20y%20proyecto%20pla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on%20Medio%20ambiente%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20MANA%20Corregid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20Indigen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20Haciend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20Gobierno%20CUARTO%20TRIMESTRE%202013%20enero%20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20Ger.%20Negrit.%20Dic.%201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ON%20FLA%2008012013%20jj%20lope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es%20accion%20recibidos%20junio%2030%20de%202013\Planeaci&#243;n%20tota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20Control%20Intern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ON%2007_01_2013%20CONSOLIDADO%20PRODUCTIVIDA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Minas_Plan%20de%20Acci&#243;n%20201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Definitivo%20Agricultura%20Plan%20de%20acci&#243;n%20final%20enero%2027%20de%2020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Cultura%20Plan%20de%20acci&#243;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Comunicaciones%20Plan%20de%20acci&#243;n%20-%20Comunic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20Planeaci&#243;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arpeta%20para%20cambio%20de%20computador\2013\Resultados%20Plan%20de%20desarrollo%202013%20Abril\ArhivosVinculadosparaAvance\Resultados%202012%20mas%20junio%2030%202013\Archivo%20con%20planillas%20totales%20y%20estandarizad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20Infraestructura%20v2901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12%20S.Infraestructura\Direcci&#243;n%20de%20Planeaci&#243;n\Plan%20de%20desarrollo\Seguimiento%20Presupuestal\Ejecucion%20presupuestal\2013\Z155%20AL%2026%20DE%20DICIEMBRE%20DE%20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Seguimiento%20Plan%20de%20Acci&#243;n%202013%20DIC-%20Equida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Secretar&#237;a%20General%20a%20diciembre%2031%20de%2020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arpeta%20para%20cambio%20de%20computador\2013\Planes%20de%20acci&#243;n\Plan%20de%20acci&#243;n%202013\Planes%20acci&#243;n%20recibidos%20ejec%20dic%202013\Plan%20de%20acci&#243;n%20VIVA%20sum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O"/>
      <sheetName val="FORMATO FINANCIERO"/>
    </sheetNames>
    <sheetDataSet>
      <sheetData sheetId="0"/>
      <sheetData sheetId="1">
        <row r="5">
          <cell r="K5">
            <v>0</v>
          </cell>
        </row>
        <row r="9">
          <cell r="H9">
            <v>250000000</v>
          </cell>
          <cell r="J9">
            <v>130932548</v>
          </cell>
        </row>
        <row r="15">
          <cell r="H15">
            <v>150000000</v>
          </cell>
          <cell r="J15">
            <v>150000000</v>
          </cell>
        </row>
        <row r="18">
          <cell r="H18">
            <v>30000000</v>
          </cell>
          <cell r="J18">
            <v>230000000</v>
          </cell>
        </row>
        <row r="24">
          <cell r="H24">
            <v>190000000</v>
          </cell>
          <cell r="J24">
            <v>190000000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9">
          <cell r="H9">
            <v>30076331435</v>
          </cell>
          <cell r="J9">
            <v>45398700101</v>
          </cell>
        </row>
        <row r="14">
          <cell r="H14">
            <v>400000000</v>
          </cell>
          <cell r="J14">
            <v>391985094</v>
          </cell>
        </row>
        <row r="17">
          <cell r="H17">
            <v>2287520000</v>
          </cell>
          <cell r="J17">
            <v>5017194205</v>
          </cell>
        </row>
        <row r="19">
          <cell r="H19">
            <v>142860000</v>
          </cell>
          <cell r="J19">
            <v>142860000</v>
          </cell>
        </row>
        <row r="21">
          <cell r="H21">
            <v>581459000</v>
          </cell>
          <cell r="J21">
            <v>20895459</v>
          </cell>
        </row>
        <row r="23">
          <cell r="H23">
            <v>274870000</v>
          </cell>
          <cell r="J23">
            <v>51128129</v>
          </cell>
        </row>
        <row r="25">
          <cell r="H25">
            <v>602275000</v>
          </cell>
          <cell r="J25">
            <v>1151799946</v>
          </cell>
        </row>
        <row r="27">
          <cell r="H27">
            <v>300000000</v>
          </cell>
          <cell r="J27">
            <v>0</v>
          </cell>
        </row>
        <row r="29">
          <cell r="H29">
            <v>0</v>
          </cell>
          <cell r="J29">
            <v>8502926293</v>
          </cell>
        </row>
        <row r="31">
          <cell r="H31">
            <v>140000000</v>
          </cell>
          <cell r="J31">
            <v>65970000</v>
          </cell>
        </row>
        <row r="33">
          <cell r="H33">
            <v>810309000</v>
          </cell>
          <cell r="J33">
            <v>827305090</v>
          </cell>
        </row>
        <row r="36">
          <cell r="H36">
            <v>200000000</v>
          </cell>
          <cell r="J36">
            <v>0</v>
          </cell>
        </row>
        <row r="38">
          <cell r="H38">
            <v>2888518000</v>
          </cell>
          <cell r="J38">
            <v>6204270093</v>
          </cell>
        </row>
        <row r="40">
          <cell r="H40">
            <v>436946000</v>
          </cell>
          <cell r="J40">
            <v>436946000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refreshError="1"/>
      <sheetData sheetId="1">
        <row r="9">
          <cell r="H9">
            <v>482752000</v>
          </cell>
          <cell r="J9">
            <v>457509005</v>
          </cell>
        </row>
        <row r="17">
          <cell r="H17">
            <v>4905209000</v>
          </cell>
          <cell r="J17">
            <v>3169761047</v>
          </cell>
        </row>
        <row r="36">
          <cell r="H36">
            <v>946108000</v>
          </cell>
          <cell r="J36">
            <v>864394704</v>
          </cell>
        </row>
        <row r="45">
          <cell r="H45">
            <v>125157000</v>
          </cell>
          <cell r="J45">
            <v>12963537</v>
          </cell>
        </row>
        <row r="50">
          <cell r="H50">
            <v>171982000</v>
          </cell>
          <cell r="J50">
            <v>151289845</v>
          </cell>
        </row>
        <row r="60">
          <cell r="H60">
            <v>1103792000</v>
          </cell>
          <cell r="J60">
            <v>1003590929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Plurianual"/>
      <sheetName val="Archivo Plano"/>
      <sheetName val="Ejec. Proyecto Plan"/>
      <sheetName val="Ejec. Proyecto PEP"/>
    </sheetNames>
    <sheetDataSet>
      <sheetData sheetId="0"/>
      <sheetData sheetId="1"/>
      <sheetData sheetId="2"/>
      <sheetData sheetId="3">
        <row r="455">
          <cell r="G455">
            <v>941702901</v>
          </cell>
        </row>
        <row r="456">
          <cell r="G456">
            <v>58660000</v>
          </cell>
          <cell r="H456">
            <v>52720836</v>
          </cell>
        </row>
        <row r="457">
          <cell r="G457">
            <v>232759641</v>
          </cell>
        </row>
        <row r="459">
          <cell r="G459">
            <v>100000000</v>
          </cell>
          <cell r="H459">
            <v>100000000</v>
          </cell>
        </row>
        <row r="460">
          <cell r="G460">
            <v>3679700000</v>
          </cell>
        </row>
        <row r="490">
          <cell r="G490">
            <v>180770001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2013"/>
    </sheetNames>
    <sheetDataSet>
      <sheetData sheetId="0"/>
      <sheetData sheetId="1">
        <row r="9">
          <cell r="H9">
            <v>314300000</v>
          </cell>
          <cell r="J9">
            <v>180770001</v>
          </cell>
        </row>
        <row r="12">
          <cell r="H12">
            <v>70000000</v>
          </cell>
        </row>
        <row r="15">
          <cell r="H15">
            <v>25000000</v>
          </cell>
          <cell r="J15">
            <v>1.0000000000000001E-9</v>
          </cell>
        </row>
        <row r="18">
          <cell r="H18">
            <v>100000000</v>
          </cell>
          <cell r="J18">
            <v>232759641</v>
          </cell>
        </row>
        <row r="23">
          <cell r="H23">
            <v>3679700000</v>
          </cell>
          <cell r="J23">
            <v>3679700000</v>
          </cell>
        </row>
        <row r="26">
          <cell r="H26">
            <v>10000000</v>
          </cell>
          <cell r="J26">
            <v>9.9999999999999998E-13</v>
          </cell>
        </row>
        <row r="28">
          <cell r="H28">
            <v>376000000</v>
          </cell>
          <cell r="J28">
            <v>941702901</v>
          </cell>
        </row>
        <row r="32">
          <cell r="H32">
            <v>25000000</v>
          </cell>
          <cell r="J32">
            <v>58660000</v>
          </cell>
        </row>
        <row r="35">
          <cell r="H35">
            <v>100000000</v>
          </cell>
          <cell r="J35">
            <v>100000000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24">
          <cell r="H24">
            <v>1000000000</v>
          </cell>
          <cell r="J24">
            <v>2340000000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10">
          <cell r="H10">
            <v>434950000</v>
          </cell>
          <cell r="J10">
            <v>745000000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9">
          <cell r="H9">
            <v>2500000000</v>
          </cell>
          <cell r="J9">
            <v>2302385947</v>
          </cell>
        </row>
        <row r="26">
          <cell r="H26">
            <v>1000000000</v>
          </cell>
          <cell r="J26">
            <v>4404067452</v>
          </cell>
        </row>
        <row r="29">
          <cell r="H29">
            <v>2000000000</v>
          </cell>
          <cell r="J29">
            <v>1500000000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OS GOBIERNO"/>
      <sheetName val="FINANCIERO GOBIERNO"/>
    </sheetNames>
    <sheetDataSet>
      <sheetData sheetId="0"/>
      <sheetData sheetId="1">
        <row r="9">
          <cell r="H9">
            <v>600000000</v>
          </cell>
          <cell r="J9">
            <v>743000000</v>
          </cell>
        </row>
        <row r="12">
          <cell r="H12">
            <v>5000000000</v>
          </cell>
          <cell r="J12">
            <v>7107000000</v>
          </cell>
        </row>
        <row r="14">
          <cell r="H14">
            <v>200000000</v>
          </cell>
          <cell r="J14">
            <v>354000000</v>
          </cell>
        </row>
        <row r="16">
          <cell r="H16">
            <v>150000000</v>
          </cell>
          <cell r="J16">
            <v>150000000</v>
          </cell>
        </row>
        <row r="18">
          <cell r="H18">
            <v>50000000</v>
          </cell>
          <cell r="J18">
            <v>50000000</v>
          </cell>
        </row>
        <row r="20">
          <cell r="H20">
            <v>216000000</v>
          </cell>
          <cell r="J20">
            <v>206000000</v>
          </cell>
        </row>
        <row r="23">
          <cell r="H23">
            <v>914000000</v>
          </cell>
          <cell r="J23">
            <v>914000000</v>
          </cell>
        </row>
        <row r="37">
          <cell r="H37">
            <v>2400000000</v>
          </cell>
          <cell r="J37">
            <v>2561786000</v>
          </cell>
        </row>
        <row r="46">
          <cell r="H46">
            <v>200000000</v>
          </cell>
          <cell r="J46">
            <v>40000000</v>
          </cell>
        </row>
        <row r="50">
          <cell r="H50">
            <v>600000000</v>
          </cell>
          <cell r="J50">
            <v>630000000</v>
          </cell>
        </row>
        <row r="55">
          <cell r="H55">
            <v>250000000</v>
          </cell>
          <cell r="J55">
            <v>200000000</v>
          </cell>
        </row>
        <row r="59">
          <cell r="H59">
            <v>400000000</v>
          </cell>
          <cell r="J59">
            <v>400000000</v>
          </cell>
        </row>
        <row r="62">
          <cell r="H62">
            <v>2825000000</v>
          </cell>
          <cell r="J62">
            <v>3603456000</v>
          </cell>
        </row>
        <row r="69">
          <cell r="H69">
            <v>100000000</v>
          </cell>
          <cell r="J69">
            <v>965793749</v>
          </cell>
        </row>
        <row r="71">
          <cell r="H71">
            <v>509000000</v>
          </cell>
          <cell r="J71">
            <v>1228033342</v>
          </cell>
        </row>
        <row r="76">
          <cell r="H76">
            <v>1000000000</v>
          </cell>
          <cell r="J76">
            <v>4404067452</v>
          </cell>
        </row>
        <row r="82">
          <cell r="H82">
            <v>6286000000</v>
          </cell>
          <cell r="J82">
            <v>9611840936</v>
          </cell>
        </row>
        <row r="85">
          <cell r="H85">
            <v>0</v>
          </cell>
          <cell r="J85">
            <v>1631966758</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9">
          <cell r="H9">
            <v>600000000</v>
          </cell>
          <cell r="J9">
            <v>603000000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9">
          <cell r="H9">
            <v>1106000000</v>
          </cell>
          <cell r="J9">
            <v>754987912</v>
          </cell>
        </row>
        <row r="12">
          <cell r="H12">
            <v>12139342000</v>
          </cell>
          <cell r="J12">
            <v>10946154113</v>
          </cell>
        </row>
        <row r="14">
          <cell r="H14">
            <v>2745458000</v>
          </cell>
          <cell r="J14">
            <v>3195458000</v>
          </cell>
        </row>
        <row r="19">
          <cell r="H19">
            <v>1210000000</v>
          </cell>
          <cell r="J19">
            <v>1410000000</v>
          </cell>
        </row>
        <row r="23">
          <cell r="H23">
            <v>2499200000</v>
          </cell>
          <cell r="J23">
            <v>2699200000</v>
          </cell>
        </row>
        <row r="26">
          <cell r="H26">
            <v>300000000</v>
          </cell>
          <cell r="J26">
            <v>0</v>
          </cell>
        </row>
        <row r="28">
          <cell r="H28">
            <v>0</v>
          </cell>
          <cell r="J28">
            <v>3215024703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25">
          <cell r="H25">
            <v>1000000000</v>
          </cell>
          <cell r="I25">
            <v>1075496000</v>
          </cell>
        </row>
        <row r="49">
          <cell r="H49">
            <v>4506892000</v>
          </cell>
          <cell r="I49">
            <v>5400943295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9">
          <cell r="H9">
            <v>100000000</v>
          </cell>
          <cell r="J9">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OS PRODUCTIVIDAD"/>
      <sheetName val="FINANCIERO PRODUCTIVIDAD"/>
    </sheetNames>
    <sheetDataSet>
      <sheetData sheetId="0"/>
      <sheetData sheetId="1">
        <row r="9">
          <cell r="H9">
            <v>228500000</v>
          </cell>
          <cell r="J9">
            <v>158500000</v>
          </cell>
        </row>
        <row r="11">
          <cell r="H11">
            <v>700000000</v>
          </cell>
          <cell r="J11">
            <v>700000000</v>
          </cell>
        </row>
        <row r="12">
          <cell r="H12">
            <v>700000000</v>
          </cell>
          <cell r="J12">
            <v>700000000</v>
          </cell>
        </row>
        <row r="14">
          <cell r="H14">
            <v>1800825000</v>
          </cell>
          <cell r="J14">
            <v>1788187965</v>
          </cell>
        </row>
        <row r="26">
          <cell r="H26">
            <v>125000000</v>
          </cell>
          <cell r="J26">
            <v>125000000</v>
          </cell>
        </row>
        <row r="27">
          <cell r="H27">
            <v>500000000</v>
          </cell>
          <cell r="J27">
            <v>588000000</v>
          </cell>
        </row>
        <row r="36">
          <cell r="H36">
            <v>200000000</v>
          </cell>
          <cell r="J36">
            <v>0</v>
          </cell>
        </row>
        <row r="43">
          <cell r="H43">
            <v>658500000</v>
          </cell>
          <cell r="J43">
            <v>652360396</v>
          </cell>
        </row>
        <row r="44">
          <cell r="H44">
            <v>165000000</v>
          </cell>
          <cell r="J44">
            <v>0</v>
          </cell>
        </row>
        <row r="45">
          <cell r="H45">
            <v>553643000</v>
          </cell>
          <cell r="J45">
            <v>553643000</v>
          </cell>
        </row>
        <row r="55">
          <cell r="H55">
            <v>60000000</v>
          </cell>
          <cell r="J55">
            <v>60000000</v>
          </cell>
        </row>
        <row r="56">
          <cell r="H56">
            <v>285175000</v>
          </cell>
          <cell r="J56">
            <v>285175000</v>
          </cell>
        </row>
        <row r="60">
          <cell r="H60">
            <v>331000000</v>
          </cell>
          <cell r="J60">
            <v>326578750</v>
          </cell>
        </row>
        <row r="62">
          <cell r="H62">
            <v>895256960</v>
          </cell>
          <cell r="J62">
            <v>467857000</v>
          </cell>
        </row>
        <row r="64">
          <cell r="H64">
            <v>298000000</v>
          </cell>
          <cell r="J64">
            <v>298000000</v>
          </cell>
        </row>
        <row r="65">
          <cell r="H65">
            <v>100000000</v>
          </cell>
          <cell r="J65">
            <v>149637035</v>
          </cell>
        </row>
        <row r="66">
          <cell r="H66">
            <v>250000000</v>
          </cell>
          <cell r="J66">
            <v>1210000000</v>
          </cell>
        </row>
        <row r="68">
          <cell r="H68">
            <v>1000000000</v>
          </cell>
          <cell r="J68">
            <v>0</v>
          </cell>
        </row>
        <row r="75">
          <cell r="H75">
            <v>200000000</v>
          </cell>
          <cell r="J75">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9">
          <cell r="H9">
            <v>191000000</v>
          </cell>
          <cell r="J9">
            <v>0</v>
          </cell>
        </row>
        <row r="10">
          <cell r="H10">
            <v>4200000000</v>
          </cell>
          <cell r="J10">
            <v>133863879</v>
          </cell>
        </row>
        <row r="11">
          <cell r="H11">
            <v>1584000000</v>
          </cell>
          <cell r="J11">
            <v>3513675812</v>
          </cell>
        </row>
        <row r="12">
          <cell r="H12">
            <v>630000000</v>
          </cell>
          <cell r="J12">
            <v>0</v>
          </cell>
        </row>
        <row r="13">
          <cell r="H13">
            <v>5579837175</v>
          </cell>
          <cell r="J13">
            <v>14013971363</v>
          </cell>
        </row>
        <row r="17">
          <cell r="H17">
            <v>3350000000</v>
          </cell>
          <cell r="J17">
            <v>2502660000</v>
          </cell>
        </row>
        <row r="18">
          <cell r="H18">
            <v>193779060</v>
          </cell>
          <cell r="J18">
            <v>415138340</v>
          </cell>
        </row>
        <row r="21">
          <cell r="H21">
            <v>200000000</v>
          </cell>
          <cell r="J21">
            <v>0</v>
          </cell>
        </row>
        <row r="22">
          <cell r="H22">
            <v>1500000000</v>
          </cell>
          <cell r="J22">
            <v>1759968628</v>
          </cell>
        </row>
        <row r="23">
          <cell r="H23">
            <v>402480000</v>
          </cell>
          <cell r="J23">
            <v>717460000</v>
          </cell>
        </row>
        <row r="26">
          <cell r="H26">
            <v>423697275</v>
          </cell>
          <cell r="J26">
            <v>147962646</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 val="Hoja1"/>
    </sheetNames>
    <sheetDataSet>
      <sheetData sheetId="0" refreshError="1"/>
      <sheetData sheetId="1">
        <row r="9">
          <cell r="H9">
            <v>79000000</v>
          </cell>
          <cell r="J9">
            <v>59000000</v>
          </cell>
        </row>
        <row r="12">
          <cell r="H12">
            <v>5162511608</v>
          </cell>
          <cell r="J12">
            <v>9960978745</v>
          </cell>
        </row>
        <row r="27">
          <cell r="H27">
            <v>359175000</v>
          </cell>
          <cell r="J27">
            <v>1937175000</v>
          </cell>
        </row>
        <row r="34">
          <cell r="H34">
            <v>500000000</v>
          </cell>
          <cell r="J34">
            <v>500000000</v>
          </cell>
        </row>
        <row r="37">
          <cell r="H37">
            <v>100085000</v>
          </cell>
          <cell r="J37">
            <v>100085000</v>
          </cell>
        </row>
        <row r="38">
          <cell r="H38">
            <v>635350000</v>
          </cell>
          <cell r="J38">
            <v>651350000</v>
          </cell>
        </row>
        <row r="68">
          <cell r="H68">
            <v>200000000</v>
          </cell>
          <cell r="J68">
            <v>200000000</v>
          </cell>
        </row>
        <row r="74">
          <cell r="H74">
            <v>8329300000</v>
          </cell>
          <cell r="J74">
            <v>10053065031</v>
          </cell>
        </row>
        <row r="88">
          <cell r="H88">
            <v>600000000</v>
          </cell>
          <cell r="J88">
            <v>548000000</v>
          </cell>
        </row>
        <row r="95">
          <cell r="H95">
            <v>100000000</v>
          </cell>
        </row>
        <row r="96">
          <cell r="H96">
            <v>100000000</v>
          </cell>
          <cell r="J96">
            <v>100000000</v>
          </cell>
        </row>
        <row r="99">
          <cell r="H99">
            <v>500000000</v>
          </cell>
          <cell r="J99">
            <v>500000000</v>
          </cell>
        </row>
        <row r="102">
          <cell r="H102">
            <v>400000000</v>
          </cell>
          <cell r="J102">
            <v>400000000</v>
          </cell>
        </row>
        <row r="109">
          <cell r="H109">
            <v>1092000000</v>
          </cell>
          <cell r="J109">
            <v>1342000000</v>
          </cell>
        </row>
        <row r="110">
          <cell r="H110">
            <v>50400000</v>
          </cell>
          <cell r="J110">
            <v>50400000</v>
          </cell>
        </row>
        <row r="111">
          <cell r="H111">
            <v>15100000</v>
          </cell>
          <cell r="J111">
            <v>15100000</v>
          </cell>
        </row>
        <row r="112">
          <cell r="H112">
            <v>31500000</v>
          </cell>
          <cell r="J112">
            <v>31500000</v>
          </cell>
        </row>
        <row r="113">
          <cell r="H113">
            <v>15800000</v>
          </cell>
          <cell r="J113">
            <v>265800000</v>
          </cell>
        </row>
        <row r="114">
          <cell r="H114">
            <v>2355770000</v>
          </cell>
          <cell r="J114">
            <v>5911245051</v>
          </cell>
        </row>
        <row r="118">
          <cell r="H118">
            <v>500000000</v>
          </cell>
          <cell r="J118">
            <v>400000000</v>
          </cell>
        </row>
        <row r="121">
          <cell r="H121">
            <v>1047000000</v>
          </cell>
        </row>
        <row r="123">
          <cell r="H123">
            <v>57120000</v>
          </cell>
          <cell r="J123">
            <v>522193000</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9">
          <cell r="H9">
            <v>260000000</v>
          </cell>
          <cell r="J9">
            <v>235000000</v>
          </cell>
        </row>
        <row r="14">
          <cell r="H14">
            <v>70000000</v>
          </cell>
          <cell r="J14">
            <v>70000000</v>
          </cell>
        </row>
        <row r="15">
          <cell r="H15">
            <v>1100472000</v>
          </cell>
          <cell r="J15">
            <v>2250811056</v>
          </cell>
        </row>
        <row r="18">
          <cell r="H18">
            <v>803113000</v>
          </cell>
          <cell r="J18">
            <v>2527995823</v>
          </cell>
        </row>
        <row r="21">
          <cell r="H21">
            <v>685849000</v>
          </cell>
          <cell r="J21">
            <v>1402530302</v>
          </cell>
        </row>
        <row r="22">
          <cell r="H22">
            <v>1526130000</v>
          </cell>
          <cell r="J22">
            <v>1786480930</v>
          </cell>
        </row>
        <row r="24">
          <cell r="H24">
            <v>262924000</v>
          </cell>
          <cell r="J24">
            <v>737072655</v>
          </cell>
        </row>
        <row r="25">
          <cell r="H25">
            <v>60000000</v>
          </cell>
          <cell r="J25">
            <v>90000000</v>
          </cell>
        </row>
        <row r="26">
          <cell r="H26">
            <v>120000000</v>
          </cell>
          <cell r="J26">
            <v>270706391</v>
          </cell>
        </row>
        <row r="27">
          <cell r="H27">
            <v>911510000</v>
          </cell>
          <cell r="J27">
            <v>834434250</v>
          </cell>
        </row>
        <row r="30">
          <cell r="H30">
            <v>400000000</v>
          </cell>
          <cell r="J30">
            <v>400000000</v>
          </cell>
        </row>
        <row r="31">
          <cell r="H31">
            <v>2883766861.1399999</v>
          </cell>
          <cell r="J31">
            <v>6580738208</v>
          </cell>
        </row>
        <row r="33">
          <cell r="H33">
            <v>0</v>
          </cell>
          <cell r="J33">
            <v>535551266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 val="Hoja1"/>
    </sheetNames>
    <sheetDataSet>
      <sheetData sheetId="0"/>
      <sheetData sheetId="1">
        <row r="11">
          <cell r="H11">
            <v>250000000</v>
          </cell>
          <cell r="J11">
            <v>686947458</v>
          </cell>
        </row>
        <row r="13">
          <cell r="H13">
            <v>5644409300</v>
          </cell>
          <cell r="J13">
            <v>12113435968</v>
          </cell>
        </row>
        <row r="15">
          <cell r="H15">
            <v>136000000</v>
          </cell>
          <cell r="J15">
            <v>5957311108</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DAP"/>
      <sheetName val="PRODUCTOS DAP "/>
    </sheetNames>
    <sheetDataSet>
      <sheetData sheetId="0">
        <row r="33">
          <cell r="N33">
            <v>598000000</v>
          </cell>
          <cell r="P33">
            <v>1485693028</v>
          </cell>
        </row>
        <row r="63">
          <cell r="H63">
            <v>999000000</v>
          </cell>
          <cell r="J63">
            <v>0</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
          <cell r="X4" t="str">
            <v>1462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row r="9">
          <cell r="I9">
            <v>315732298</v>
          </cell>
          <cell r="J9">
            <v>569034918</v>
          </cell>
        </row>
        <row r="11">
          <cell r="I11">
            <v>0</v>
          </cell>
          <cell r="J11">
            <v>-33785799</v>
          </cell>
        </row>
        <row r="12">
          <cell r="J12">
            <v>251955147</v>
          </cell>
        </row>
        <row r="13">
          <cell r="J13">
            <v>0</v>
          </cell>
        </row>
        <row r="14">
          <cell r="I14">
            <v>160000000</v>
          </cell>
          <cell r="J14">
            <v>160000000</v>
          </cell>
        </row>
        <row r="15">
          <cell r="J15">
            <v>0</v>
          </cell>
        </row>
        <row r="16">
          <cell r="I16">
            <v>384503452</v>
          </cell>
          <cell r="J16">
            <v>205735744</v>
          </cell>
        </row>
        <row r="17">
          <cell r="J17">
            <v>-724608600</v>
          </cell>
        </row>
        <row r="18">
          <cell r="I18">
            <v>15292707</v>
          </cell>
          <cell r="J18">
            <v>-5935756</v>
          </cell>
        </row>
        <row r="19">
          <cell r="I19">
            <v>2438984938</v>
          </cell>
          <cell r="J19">
            <v>1613261487</v>
          </cell>
        </row>
        <row r="20">
          <cell r="J20">
            <v>0</v>
          </cell>
        </row>
        <row r="21">
          <cell r="I21">
            <v>212732081</v>
          </cell>
          <cell r="J21">
            <v>305777349</v>
          </cell>
        </row>
        <row r="22">
          <cell r="I22">
            <v>0</v>
          </cell>
          <cell r="J22">
            <v>-52604480</v>
          </cell>
        </row>
        <row r="23">
          <cell r="J23">
            <v>0</v>
          </cell>
        </row>
        <row r="24">
          <cell r="I24">
            <v>27025699</v>
          </cell>
          <cell r="J24">
            <v>-2974301</v>
          </cell>
        </row>
        <row r="25">
          <cell r="I25">
            <v>0</v>
          </cell>
          <cell r="J25">
            <v>8820000000</v>
          </cell>
        </row>
        <row r="26">
          <cell r="J26">
            <v>4061928777</v>
          </cell>
        </row>
        <row r="27">
          <cell r="I27">
            <v>-1289150560</v>
          </cell>
          <cell r="J27">
            <v>-1289150560</v>
          </cell>
        </row>
        <row r="29">
          <cell r="I29">
            <v>0</v>
          </cell>
          <cell r="J29">
            <v>-1100280527</v>
          </cell>
        </row>
        <row r="32">
          <cell r="I32">
            <v>36000000000</v>
          </cell>
          <cell r="J32">
            <v>36000000000</v>
          </cell>
        </row>
        <row r="35">
          <cell r="I35">
            <v>6068666867</v>
          </cell>
          <cell r="J35">
            <v>13465569845</v>
          </cell>
        </row>
        <row r="40">
          <cell r="I40">
            <v>7618065667</v>
          </cell>
          <cell r="J40">
            <v>7859469047</v>
          </cell>
        </row>
        <row r="41">
          <cell r="I41">
            <v>-1324713748</v>
          </cell>
          <cell r="J41">
            <v>-1606496916</v>
          </cell>
        </row>
        <row r="42">
          <cell r="I42">
            <v>205247410</v>
          </cell>
          <cell r="J42">
            <v>205247410</v>
          </cell>
        </row>
        <row r="44">
          <cell r="I44">
            <v>0</v>
          </cell>
          <cell r="J44">
            <v>0</v>
          </cell>
        </row>
        <row r="46">
          <cell r="I46">
            <v>3476182667</v>
          </cell>
          <cell r="J46">
            <v>3476182667</v>
          </cell>
        </row>
        <row r="47">
          <cell r="I47">
            <v>1155925796</v>
          </cell>
          <cell r="J47">
            <v>1101680565</v>
          </cell>
        </row>
        <row r="48">
          <cell r="I48">
            <v>-450</v>
          </cell>
          <cell r="J48">
            <v>-450</v>
          </cell>
        </row>
        <row r="50">
          <cell r="I50">
            <v>-832085987</v>
          </cell>
          <cell r="J50">
            <v>-874801855.81453538</v>
          </cell>
        </row>
        <row r="51">
          <cell r="I51">
            <v>0</v>
          </cell>
          <cell r="J51">
            <v>94402890</v>
          </cell>
        </row>
        <row r="52">
          <cell r="J52">
            <v>0</v>
          </cell>
        </row>
        <row r="53">
          <cell r="I53">
            <v>0</v>
          </cell>
          <cell r="J53">
            <v>-61000</v>
          </cell>
        </row>
        <row r="54">
          <cell r="I54">
            <v>5089144390</v>
          </cell>
          <cell r="J54">
            <v>6089144390</v>
          </cell>
        </row>
        <row r="55">
          <cell r="I55">
            <v>3500000000</v>
          </cell>
          <cell r="J55">
            <v>-642505000</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VERSION"/>
      <sheetName val="001"/>
    </sheetNames>
    <sheetDataSet>
      <sheetData sheetId="0">
        <row r="29">
          <cell r="D29">
            <v>2479452298</v>
          </cell>
          <cell r="E29">
            <v>66171196899</v>
          </cell>
        </row>
        <row r="30">
          <cell r="D30">
            <v>141388666</v>
          </cell>
          <cell r="E30">
            <v>4288677290</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9">
          <cell r="H9">
            <v>1345000000</v>
          </cell>
          <cell r="I9">
            <v>953000000</v>
          </cell>
          <cell r="J9">
            <v>930100645</v>
          </cell>
        </row>
        <row r="19">
          <cell r="H19">
            <v>310000000</v>
          </cell>
          <cell r="I19">
            <v>296736250</v>
          </cell>
          <cell r="J19">
            <v>760000000</v>
          </cell>
        </row>
        <row r="22">
          <cell r="H22">
            <v>880000000</v>
          </cell>
          <cell r="I22">
            <v>780000000</v>
          </cell>
          <cell r="J22">
            <v>780000000</v>
          </cell>
        </row>
        <row r="27">
          <cell r="H27">
            <v>301000000</v>
          </cell>
          <cell r="I27">
            <v>301000000</v>
          </cell>
          <cell r="J27">
            <v>301000000</v>
          </cell>
        </row>
        <row r="29">
          <cell r="H29">
            <v>470000000</v>
          </cell>
          <cell r="I29">
            <v>470000000</v>
          </cell>
          <cell r="J29">
            <v>470000000</v>
          </cell>
        </row>
        <row r="36">
          <cell r="H36">
            <v>1194000000</v>
          </cell>
          <cell r="I36">
            <v>1289000000</v>
          </cell>
          <cell r="J36">
            <v>1185000000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9">
          <cell r="H9">
            <v>750000000</v>
          </cell>
          <cell r="J9">
            <v>0</v>
          </cell>
        </row>
        <row r="12">
          <cell r="H12">
            <v>210000000</v>
          </cell>
          <cell r="J12">
            <v>0</v>
          </cell>
        </row>
        <row r="17">
          <cell r="H17">
            <v>609000000</v>
          </cell>
          <cell r="J17">
            <v>0</v>
          </cell>
        </row>
        <row r="21">
          <cell r="H21">
            <v>290525000</v>
          </cell>
          <cell r="J21">
            <v>0</v>
          </cell>
        </row>
        <row r="26">
          <cell r="H26">
            <v>300000000</v>
          </cell>
          <cell r="J26">
            <v>3741350147</v>
          </cell>
        </row>
        <row r="30">
          <cell r="H30">
            <v>1906500000</v>
          </cell>
          <cell r="J30">
            <v>2085921250</v>
          </cell>
        </row>
        <row r="35">
          <cell r="H35">
            <v>60000000</v>
          </cell>
          <cell r="J35">
            <v>0</v>
          </cell>
        </row>
        <row r="38">
          <cell r="H38">
            <v>500000000</v>
          </cell>
          <cell r="J38">
            <v>995000000</v>
          </cell>
        </row>
        <row r="48">
          <cell r="H48">
            <v>1300000000</v>
          </cell>
          <cell r="J48">
            <v>3845000000</v>
          </cell>
        </row>
        <row r="52">
          <cell r="H52">
            <v>0</v>
          </cell>
          <cell r="J52">
            <v>240000000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44">
          <cell r="H44">
            <v>20000000</v>
          </cell>
          <cell r="J44">
            <v>20000000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8"/>
  <sheetViews>
    <sheetView tabSelected="1" topLeftCell="A3" zoomScaleNormal="100" workbookViewId="0">
      <pane ySplit="6" topLeftCell="A9" activePane="bottomLeft" state="frozen"/>
      <selection activeCell="A3" sqref="A3"/>
      <selection pane="bottomLeft" activeCell="F10" sqref="F10"/>
    </sheetView>
  </sheetViews>
  <sheetFormatPr baseColWidth="10" defaultRowHeight="15" x14ac:dyDescent="0.25"/>
  <cols>
    <col min="1" max="1" width="12.5703125" style="1" customWidth="1"/>
    <col min="2" max="3" width="14.85546875" style="1" customWidth="1"/>
    <col min="4" max="4" width="13" style="1" customWidth="1"/>
    <col min="5" max="5" width="14.5703125" style="1" customWidth="1"/>
    <col min="6" max="6" width="9.42578125" style="1" customWidth="1"/>
    <col min="7" max="7" width="19" style="1" customWidth="1"/>
    <col min="8" max="8" width="14.140625" style="1" customWidth="1"/>
    <col min="9" max="9" width="14" style="1" customWidth="1"/>
    <col min="10" max="10" width="19.42578125" style="1" customWidth="1"/>
    <col min="11" max="11" width="12.85546875" style="1" customWidth="1"/>
    <col min="12" max="12" width="12.7109375" style="1" customWidth="1"/>
    <col min="13" max="13" width="12.140625" style="1" customWidth="1"/>
    <col min="14" max="14" width="13" style="1" customWidth="1"/>
    <col min="15" max="16" width="13.140625" style="1" customWidth="1"/>
    <col min="17" max="17" width="13.7109375" style="1" customWidth="1"/>
    <col min="18" max="18" width="10.5703125" style="1" customWidth="1"/>
    <col min="19" max="19" width="10.28515625" style="1" customWidth="1"/>
    <col min="20" max="20" width="19.42578125" style="1" customWidth="1"/>
    <col min="21" max="21" width="11.5703125" style="1" customWidth="1"/>
    <col min="22" max="22" width="11.42578125" style="1"/>
    <col min="23" max="23" width="12.7109375" style="1" customWidth="1"/>
    <col min="24" max="24" width="13.140625" style="1" customWidth="1"/>
    <col min="25" max="25" width="11.7109375" style="1" customWidth="1"/>
    <col min="26" max="29" width="11.42578125" style="1"/>
    <col min="30" max="30" width="15.7109375" style="600"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c r="D5" s="24"/>
      <c r="E5" s="24"/>
      <c r="F5" s="24"/>
      <c r="G5" s="24"/>
      <c r="H5" s="24"/>
      <c r="I5" s="25"/>
      <c r="J5" s="25"/>
      <c r="K5" s="26"/>
      <c r="L5" s="25"/>
      <c r="M5" s="25"/>
      <c r="N5" s="25"/>
      <c r="O5" s="25"/>
      <c r="P5" s="25"/>
      <c r="Q5" s="27"/>
      <c r="R5" s="27"/>
      <c r="S5" s="27"/>
      <c r="W5" s="27"/>
      <c r="X5" s="27"/>
      <c r="Y5" s="27"/>
      <c r="Z5" s="27"/>
      <c r="AB5" s="27"/>
      <c r="AC5" s="27"/>
      <c r="AD5" s="601"/>
    </row>
    <row r="7" spans="1:42" s="29" customFormat="1" ht="24" customHeight="1"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12" t="s">
        <v>22</v>
      </c>
      <c r="AE7" s="614" t="s">
        <v>75</v>
      </c>
      <c r="AF7" s="615"/>
      <c r="AG7" s="615"/>
      <c r="AH7" s="615"/>
      <c r="AI7" s="615"/>
      <c r="AJ7" s="615"/>
      <c r="AK7" s="615"/>
      <c r="AL7" s="615"/>
      <c r="AM7" s="615"/>
      <c r="AN7" s="615"/>
      <c r="AO7" s="615"/>
      <c r="AP7" s="616"/>
    </row>
    <row r="8" spans="1:42" ht="36"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576" t="s">
        <v>79</v>
      </c>
      <c r="X8" s="576" t="s">
        <v>80</v>
      </c>
      <c r="Y8" s="576" t="s">
        <v>81</v>
      </c>
      <c r="Z8" s="576" t="s">
        <v>82</v>
      </c>
      <c r="AA8" s="574" t="s">
        <v>83</v>
      </c>
      <c r="AB8" s="576" t="s">
        <v>84</v>
      </c>
      <c r="AC8" s="576" t="s">
        <v>85</v>
      </c>
      <c r="AD8" s="613"/>
      <c r="AE8" s="33" t="s">
        <v>86</v>
      </c>
      <c r="AF8" s="33" t="s">
        <v>87</v>
      </c>
      <c r="AG8" s="33" t="s">
        <v>88</v>
      </c>
      <c r="AH8" s="33" t="s">
        <v>89</v>
      </c>
      <c r="AI8" s="33" t="s">
        <v>90</v>
      </c>
      <c r="AJ8" s="33" t="s">
        <v>91</v>
      </c>
      <c r="AK8" s="33" t="s">
        <v>92</v>
      </c>
      <c r="AL8" s="33" t="s">
        <v>93</v>
      </c>
      <c r="AM8" s="33" t="s">
        <v>94</v>
      </c>
      <c r="AN8" s="33" t="s">
        <v>95</v>
      </c>
      <c r="AO8" s="33" t="s">
        <v>96</v>
      </c>
      <c r="AP8" s="33" t="s">
        <v>97</v>
      </c>
    </row>
    <row r="9" spans="1:42" ht="103.5" customHeight="1" x14ac:dyDescent="0.25">
      <c r="A9" s="192" t="s">
        <v>23</v>
      </c>
      <c r="B9" s="192" t="s">
        <v>136</v>
      </c>
      <c r="C9" s="192" t="s">
        <v>2518</v>
      </c>
      <c r="D9" s="192">
        <v>211210000</v>
      </c>
      <c r="E9" s="220">
        <v>2012050000281</v>
      </c>
      <c r="F9" s="192" t="s">
        <v>4544</v>
      </c>
      <c r="G9" s="192" t="s">
        <v>4545</v>
      </c>
      <c r="H9" s="216">
        <v>250000000</v>
      </c>
      <c r="I9" s="217">
        <v>250000000</v>
      </c>
      <c r="J9" s="144">
        <v>130932548</v>
      </c>
      <c r="K9" s="217">
        <v>0</v>
      </c>
      <c r="L9" s="217"/>
      <c r="M9" s="217"/>
      <c r="N9" s="216">
        <f>H9+K9</f>
        <v>250000000</v>
      </c>
      <c r="O9" s="217">
        <f>I9+L9</f>
        <v>250000000</v>
      </c>
      <c r="P9" s="217">
        <f>J9+M9</f>
        <v>130932548</v>
      </c>
      <c r="Q9" s="144">
        <v>86953160</v>
      </c>
      <c r="R9" s="217"/>
      <c r="S9" s="217">
        <f>Q9+R9</f>
        <v>86953160</v>
      </c>
      <c r="T9" s="206"/>
      <c r="U9" s="206"/>
      <c r="V9" s="192"/>
      <c r="W9" s="206"/>
      <c r="X9" s="206"/>
      <c r="Y9" s="206"/>
      <c r="Z9" s="206"/>
      <c r="AA9" s="212"/>
      <c r="AB9" s="206"/>
      <c r="AC9" s="206"/>
      <c r="AD9" s="602"/>
      <c r="AE9" s="206"/>
      <c r="AF9" s="206"/>
      <c r="AG9" s="206"/>
      <c r="AH9" s="206"/>
      <c r="AI9" s="206"/>
      <c r="AJ9" s="206"/>
      <c r="AK9" s="206"/>
      <c r="AL9" s="206"/>
      <c r="AM9" s="206"/>
      <c r="AN9" s="206"/>
      <c r="AO9" s="206"/>
      <c r="AP9" s="206"/>
    </row>
    <row r="10" spans="1:42" ht="72.75" x14ac:dyDescent="0.25">
      <c r="A10" s="206"/>
      <c r="B10" s="206"/>
      <c r="C10" s="206"/>
      <c r="D10" s="206"/>
      <c r="E10" s="597"/>
      <c r="F10" s="206"/>
      <c r="G10" s="206"/>
      <c r="H10" s="36"/>
      <c r="I10" s="39"/>
      <c r="J10" s="39"/>
      <c r="K10" s="36"/>
      <c r="L10" s="39"/>
      <c r="M10" s="39"/>
      <c r="N10" s="216">
        <f t="shared" ref="N10:P28" si="0">H10+K10</f>
        <v>0</v>
      </c>
      <c r="O10" s="217">
        <f t="shared" si="0"/>
        <v>0</v>
      </c>
      <c r="P10" s="217">
        <f t="shared" si="0"/>
        <v>0</v>
      </c>
      <c r="Q10" s="39"/>
      <c r="R10" s="39"/>
      <c r="S10" s="217">
        <f t="shared" ref="S10:S28" si="1">Q10+R10</f>
        <v>0</v>
      </c>
      <c r="T10" s="192" t="s">
        <v>4565</v>
      </c>
      <c r="U10" s="192" t="s">
        <v>123</v>
      </c>
      <c r="V10" s="192">
        <v>30</v>
      </c>
      <c r="W10" s="206"/>
      <c r="X10" s="206"/>
      <c r="Y10" s="206">
        <v>0</v>
      </c>
      <c r="Z10" s="206"/>
      <c r="AA10" s="206">
        <v>90</v>
      </c>
      <c r="AB10" s="41">
        <v>30</v>
      </c>
      <c r="AC10" s="41"/>
      <c r="AD10" s="602" t="s">
        <v>4566</v>
      </c>
      <c r="AE10" s="206"/>
      <c r="AF10" s="206"/>
      <c r="AG10" s="206"/>
      <c r="AH10" s="206"/>
      <c r="AI10" s="206"/>
      <c r="AJ10" s="206"/>
      <c r="AK10" s="206"/>
      <c r="AL10" s="206"/>
      <c r="AM10" s="206"/>
      <c r="AN10" s="206"/>
      <c r="AO10" s="206"/>
      <c r="AP10" s="206"/>
    </row>
    <row r="11" spans="1:42" ht="36" x14ac:dyDescent="0.25">
      <c r="A11" s="206"/>
      <c r="B11" s="206"/>
      <c r="C11" s="206"/>
      <c r="D11" s="206"/>
      <c r="E11" s="597"/>
      <c r="F11" s="206"/>
      <c r="G11" s="206"/>
      <c r="H11" s="36"/>
      <c r="I11" s="39"/>
      <c r="J11" s="39"/>
      <c r="K11" s="36"/>
      <c r="L11" s="39"/>
      <c r="M11" s="39"/>
      <c r="N11" s="216">
        <f t="shared" si="0"/>
        <v>0</v>
      </c>
      <c r="O11" s="217">
        <f t="shared" si="0"/>
        <v>0</v>
      </c>
      <c r="P11" s="217">
        <f t="shared" si="0"/>
        <v>0</v>
      </c>
      <c r="Q11" s="39"/>
      <c r="R11" s="39"/>
      <c r="S11" s="217">
        <f t="shared" si="1"/>
        <v>0</v>
      </c>
      <c r="T11" s="192" t="s">
        <v>4567</v>
      </c>
      <c r="U11" s="192" t="s">
        <v>4568</v>
      </c>
      <c r="V11" s="192">
        <v>75</v>
      </c>
      <c r="W11" s="206"/>
      <c r="X11" s="206"/>
      <c r="Y11" s="206">
        <v>40</v>
      </c>
      <c r="Z11" s="206">
        <v>75</v>
      </c>
      <c r="AA11" s="206">
        <v>300</v>
      </c>
      <c r="AB11" s="41">
        <v>150</v>
      </c>
      <c r="AC11" s="41">
        <v>300</v>
      </c>
      <c r="AD11" s="602"/>
      <c r="AE11" s="206"/>
      <c r="AF11" s="206" t="s">
        <v>218</v>
      </c>
      <c r="AG11" s="206" t="s">
        <v>218</v>
      </c>
      <c r="AH11" s="206" t="s">
        <v>218</v>
      </c>
      <c r="AI11" s="206" t="s">
        <v>218</v>
      </c>
      <c r="AJ11" s="206" t="s">
        <v>218</v>
      </c>
      <c r="AK11" s="206" t="s">
        <v>218</v>
      </c>
      <c r="AL11" s="206" t="s">
        <v>218</v>
      </c>
      <c r="AM11" s="206" t="s">
        <v>218</v>
      </c>
      <c r="AN11" s="206" t="s">
        <v>218</v>
      </c>
      <c r="AO11" s="206" t="s">
        <v>218</v>
      </c>
      <c r="AP11" s="206"/>
    </row>
    <row r="12" spans="1:42" ht="48.75" x14ac:dyDescent="0.25">
      <c r="A12" s="206"/>
      <c r="B12" s="206"/>
      <c r="C12" s="206"/>
      <c r="D12" s="206"/>
      <c r="E12" s="597"/>
      <c r="F12" s="206"/>
      <c r="G12" s="206"/>
      <c r="H12" s="36"/>
      <c r="I12" s="39"/>
      <c r="J12" s="39"/>
      <c r="K12" s="36"/>
      <c r="L12" s="39"/>
      <c r="M12" s="39"/>
      <c r="N12" s="216">
        <f t="shared" si="0"/>
        <v>0</v>
      </c>
      <c r="O12" s="217">
        <f t="shared" si="0"/>
        <v>0</v>
      </c>
      <c r="P12" s="217">
        <f t="shared" si="0"/>
        <v>0</v>
      </c>
      <c r="Q12" s="39"/>
      <c r="R12" s="39"/>
      <c r="S12" s="217">
        <f t="shared" si="1"/>
        <v>0</v>
      </c>
      <c r="T12" s="192" t="s">
        <v>4569</v>
      </c>
      <c r="U12" s="192" t="s">
        <v>4570</v>
      </c>
      <c r="V12" s="192">
        <v>3</v>
      </c>
      <c r="W12" s="206"/>
      <c r="X12" s="206"/>
      <c r="Y12" s="206"/>
      <c r="Z12" s="206">
        <v>3</v>
      </c>
      <c r="AA12" s="206">
        <v>120</v>
      </c>
      <c r="AB12" s="41">
        <v>40</v>
      </c>
      <c r="AC12" s="41">
        <v>120</v>
      </c>
      <c r="AD12" s="602" t="s">
        <v>4571</v>
      </c>
      <c r="AE12" s="206"/>
      <c r="AF12" s="206"/>
      <c r="AG12" s="206"/>
      <c r="AH12" s="206"/>
      <c r="AI12" s="206"/>
      <c r="AJ12" s="206" t="s">
        <v>218</v>
      </c>
      <c r="AK12" s="206" t="s">
        <v>218</v>
      </c>
      <c r="AL12" s="206" t="s">
        <v>218</v>
      </c>
      <c r="AM12" s="206" t="s">
        <v>218</v>
      </c>
      <c r="AN12" s="206" t="s">
        <v>218</v>
      </c>
      <c r="AO12" s="206"/>
      <c r="AP12" s="206"/>
    </row>
    <row r="13" spans="1:42" ht="108.75" x14ac:dyDescent="0.25">
      <c r="A13" s="206"/>
      <c r="B13" s="206"/>
      <c r="C13" s="206"/>
      <c r="D13" s="206"/>
      <c r="E13" s="597"/>
      <c r="F13" s="206"/>
      <c r="G13" s="206"/>
      <c r="H13" s="36"/>
      <c r="I13" s="39"/>
      <c r="J13" s="39"/>
      <c r="K13" s="36"/>
      <c r="L13" s="39"/>
      <c r="M13" s="39"/>
      <c r="N13" s="216">
        <f t="shared" si="0"/>
        <v>0</v>
      </c>
      <c r="O13" s="217">
        <f t="shared" si="0"/>
        <v>0</v>
      </c>
      <c r="P13" s="217">
        <f t="shared" si="0"/>
        <v>0</v>
      </c>
      <c r="Q13" s="39"/>
      <c r="R13" s="39"/>
      <c r="S13" s="217">
        <f t="shared" si="1"/>
        <v>0</v>
      </c>
      <c r="T13" s="192" t="s">
        <v>4572</v>
      </c>
      <c r="U13" s="192" t="s">
        <v>4573</v>
      </c>
      <c r="V13" s="192">
        <v>9</v>
      </c>
      <c r="W13" s="206"/>
      <c r="X13" s="206"/>
      <c r="Y13" s="206"/>
      <c r="Z13" s="206"/>
      <c r="AA13" s="206">
        <v>210</v>
      </c>
      <c r="AB13" s="41"/>
      <c r="AC13" s="41"/>
      <c r="AD13" s="602" t="s">
        <v>4574</v>
      </c>
      <c r="AE13" s="206"/>
      <c r="AF13" s="206" t="s">
        <v>218</v>
      </c>
      <c r="AG13" s="206" t="s">
        <v>218</v>
      </c>
      <c r="AH13" s="206" t="s">
        <v>218</v>
      </c>
      <c r="AI13" s="206" t="s">
        <v>218</v>
      </c>
      <c r="AJ13" s="206" t="s">
        <v>218</v>
      </c>
      <c r="AK13" s="206" t="s">
        <v>218</v>
      </c>
      <c r="AL13" s="206" t="s">
        <v>218</v>
      </c>
      <c r="AM13" s="206"/>
      <c r="AN13" s="206"/>
      <c r="AO13" s="206"/>
      <c r="AP13" s="206"/>
    </row>
    <row r="14" spans="1:42" ht="24" x14ac:dyDescent="0.25">
      <c r="A14" s="206"/>
      <c r="B14" s="206"/>
      <c r="C14" s="206"/>
      <c r="D14" s="206"/>
      <c r="E14" s="597"/>
      <c r="F14" s="206"/>
      <c r="G14" s="206"/>
      <c r="H14" s="36"/>
      <c r="I14" s="39"/>
      <c r="J14" s="39"/>
      <c r="K14" s="36"/>
      <c r="L14" s="39"/>
      <c r="M14" s="39"/>
      <c r="N14" s="216">
        <f t="shared" si="0"/>
        <v>0</v>
      </c>
      <c r="O14" s="217">
        <f t="shared" si="0"/>
        <v>0</v>
      </c>
      <c r="P14" s="217">
        <f t="shared" si="0"/>
        <v>0</v>
      </c>
      <c r="Q14" s="39"/>
      <c r="R14" s="39"/>
      <c r="S14" s="217">
        <f t="shared" si="1"/>
        <v>0</v>
      </c>
      <c r="T14" s="192" t="s">
        <v>4575</v>
      </c>
      <c r="U14" s="192" t="s">
        <v>4576</v>
      </c>
      <c r="V14" s="192">
        <v>1</v>
      </c>
      <c r="W14" s="206"/>
      <c r="X14" s="206"/>
      <c r="Y14" s="206"/>
      <c r="Z14" s="206">
        <v>1</v>
      </c>
      <c r="AA14" s="206">
        <v>1</v>
      </c>
      <c r="AB14" s="41"/>
      <c r="AC14" s="41">
        <v>1</v>
      </c>
      <c r="AD14" s="602"/>
      <c r="AE14" s="206"/>
      <c r="AF14" s="206"/>
      <c r="AG14" s="206" t="s">
        <v>218</v>
      </c>
      <c r="AH14" s="206"/>
      <c r="AI14" s="206"/>
      <c r="AJ14" s="206"/>
      <c r="AK14" s="206"/>
      <c r="AL14" s="206"/>
      <c r="AM14" s="206"/>
      <c r="AN14" s="206"/>
      <c r="AO14" s="206"/>
      <c r="AP14" s="206"/>
    </row>
    <row r="15" spans="1:42" ht="48" x14ac:dyDescent="0.25">
      <c r="A15" s="192" t="s">
        <v>23</v>
      </c>
      <c r="B15" s="192" t="s">
        <v>1573</v>
      </c>
      <c r="C15" s="192" t="s">
        <v>4548</v>
      </c>
      <c r="D15" s="192">
        <v>214310000</v>
      </c>
      <c r="E15" s="220">
        <v>2012050000333</v>
      </c>
      <c r="F15" s="192" t="s">
        <v>4550</v>
      </c>
      <c r="G15" s="192" t="s">
        <v>4551</v>
      </c>
      <c r="H15" s="36">
        <v>150000000</v>
      </c>
      <c r="I15" s="39">
        <v>0</v>
      </c>
      <c r="J15" s="39">
        <v>150000000</v>
      </c>
      <c r="K15" s="36">
        <v>30000000</v>
      </c>
      <c r="L15" s="39"/>
      <c r="M15" s="39"/>
      <c r="N15" s="216">
        <f t="shared" si="0"/>
        <v>180000000</v>
      </c>
      <c r="O15" s="217">
        <f t="shared" si="0"/>
        <v>0</v>
      </c>
      <c r="P15" s="217">
        <f t="shared" si="0"/>
        <v>150000000</v>
      </c>
      <c r="Q15" s="39">
        <v>50000000</v>
      </c>
      <c r="R15" s="39"/>
      <c r="S15" s="217">
        <f t="shared" si="1"/>
        <v>50000000</v>
      </c>
      <c r="T15" s="192">
        <v>0</v>
      </c>
      <c r="U15" s="192">
        <v>0</v>
      </c>
      <c r="V15" s="192">
        <v>0</v>
      </c>
      <c r="W15" s="206"/>
      <c r="X15" s="206"/>
      <c r="Y15" s="206"/>
      <c r="Z15" s="206"/>
      <c r="AA15" s="206">
        <v>0</v>
      </c>
      <c r="AB15" s="41"/>
      <c r="AC15" s="41"/>
      <c r="AD15" s="602"/>
      <c r="AE15" s="206"/>
      <c r="AF15" s="206"/>
      <c r="AG15" s="206"/>
      <c r="AH15" s="206"/>
      <c r="AI15" s="206"/>
      <c r="AJ15" s="206"/>
      <c r="AK15" s="206"/>
      <c r="AL15" s="206"/>
      <c r="AM15" s="206"/>
      <c r="AN15" s="206"/>
      <c r="AO15" s="206"/>
      <c r="AP15" s="206"/>
    </row>
    <row r="16" spans="1:42" ht="24" x14ac:dyDescent="0.25">
      <c r="A16" s="206"/>
      <c r="B16" s="206"/>
      <c r="C16" s="206"/>
      <c r="D16" s="206"/>
      <c r="E16" s="597"/>
      <c r="F16" s="206"/>
      <c r="G16" s="206"/>
      <c r="H16" s="36"/>
      <c r="I16" s="39"/>
      <c r="J16" s="39"/>
      <c r="K16" s="36"/>
      <c r="L16" s="39"/>
      <c r="M16" s="39"/>
      <c r="N16" s="216">
        <f t="shared" si="0"/>
        <v>0</v>
      </c>
      <c r="O16" s="217">
        <f t="shared" si="0"/>
        <v>0</v>
      </c>
      <c r="P16" s="217">
        <f t="shared" si="0"/>
        <v>0</v>
      </c>
      <c r="Q16" s="39"/>
      <c r="R16" s="39"/>
      <c r="S16" s="217">
        <f t="shared" si="1"/>
        <v>0</v>
      </c>
      <c r="T16" s="192" t="s">
        <v>4577</v>
      </c>
      <c r="U16" s="192" t="s">
        <v>99</v>
      </c>
      <c r="V16" s="192">
        <v>2</v>
      </c>
      <c r="W16" s="206"/>
      <c r="X16" s="206"/>
      <c r="Y16" s="192">
        <v>1</v>
      </c>
      <c r="Z16" s="206">
        <v>2</v>
      </c>
      <c r="AA16" s="206">
        <v>45</v>
      </c>
      <c r="AB16" s="41">
        <v>45</v>
      </c>
      <c r="AC16" s="27">
        <v>90</v>
      </c>
      <c r="AD16" s="602"/>
      <c r="AE16" s="206"/>
      <c r="AF16" s="206"/>
      <c r="AG16" s="206" t="s">
        <v>218</v>
      </c>
      <c r="AH16" s="206" t="s">
        <v>218</v>
      </c>
      <c r="AI16" s="206"/>
      <c r="AJ16" s="206"/>
      <c r="AK16" s="206"/>
      <c r="AL16" s="206"/>
      <c r="AM16" s="206"/>
      <c r="AN16" s="206"/>
      <c r="AO16" s="206"/>
      <c r="AP16" s="206"/>
    </row>
    <row r="17" spans="1:42" ht="96.75" x14ac:dyDescent="0.25">
      <c r="A17" s="206"/>
      <c r="B17" s="206"/>
      <c r="C17" s="206"/>
      <c r="D17" s="206"/>
      <c r="E17" s="597"/>
      <c r="F17" s="206"/>
      <c r="G17" s="206"/>
      <c r="H17" s="36"/>
      <c r="I17" s="39"/>
      <c r="J17" s="39"/>
      <c r="K17" s="36"/>
      <c r="L17" s="39"/>
      <c r="M17" s="39"/>
      <c r="N17" s="216">
        <f t="shared" si="0"/>
        <v>0</v>
      </c>
      <c r="O17" s="217">
        <f t="shared" si="0"/>
        <v>0</v>
      </c>
      <c r="P17" s="217">
        <f t="shared" si="0"/>
        <v>0</v>
      </c>
      <c r="Q17" s="39"/>
      <c r="R17" s="39"/>
      <c r="S17" s="217">
        <f t="shared" si="1"/>
        <v>0</v>
      </c>
      <c r="T17" s="192" t="s">
        <v>4578</v>
      </c>
      <c r="U17" s="192" t="s">
        <v>123</v>
      </c>
      <c r="V17" s="192">
        <v>12</v>
      </c>
      <c r="W17" s="206"/>
      <c r="X17" s="206"/>
      <c r="Y17" s="192">
        <v>6</v>
      </c>
      <c r="Z17" s="206">
        <v>12</v>
      </c>
      <c r="AA17" s="206">
        <v>60</v>
      </c>
      <c r="AB17" s="41">
        <v>30</v>
      </c>
      <c r="AC17" s="41">
        <v>60</v>
      </c>
      <c r="AD17" s="602" t="s">
        <v>4579</v>
      </c>
      <c r="AE17" s="206"/>
      <c r="AF17" s="206"/>
      <c r="AG17" s="206"/>
      <c r="AH17" s="206"/>
      <c r="AI17" s="206"/>
      <c r="AJ17" s="206" t="s">
        <v>218</v>
      </c>
      <c r="AK17" s="206" t="s">
        <v>218</v>
      </c>
      <c r="AL17" s="206" t="s">
        <v>218</v>
      </c>
      <c r="AM17" s="206"/>
      <c r="AN17" s="206"/>
      <c r="AO17" s="206"/>
      <c r="AP17" s="206"/>
    </row>
    <row r="18" spans="1:42" ht="96" x14ac:dyDescent="0.25">
      <c r="A18" s="192" t="s">
        <v>23</v>
      </c>
      <c r="B18" s="192" t="s">
        <v>1573</v>
      </c>
      <c r="C18" s="192" t="s">
        <v>4548</v>
      </c>
      <c r="D18" s="192">
        <v>214320000</v>
      </c>
      <c r="E18" s="220">
        <v>2012050000334</v>
      </c>
      <c r="F18" s="192" t="s">
        <v>4555</v>
      </c>
      <c r="G18" s="192" t="s">
        <v>4556</v>
      </c>
      <c r="H18" s="36">
        <v>30000000</v>
      </c>
      <c r="I18" s="217">
        <v>230000000</v>
      </c>
      <c r="J18" s="39">
        <v>230000000</v>
      </c>
      <c r="K18" s="36">
        <v>20000000</v>
      </c>
      <c r="L18" s="39"/>
      <c r="M18" s="39"/>
      <c r="N18" s="216">
        <f t="shared" si="0"/>
        <v>50000000</v>
      </c>
      <c r="O18" s="217">
        <f t="shared" si="0"/>
        <v>230000000</v>
      </c>
      <c r="P18" s="217">
        <f t="shared" si="0"/>
        <v>230000000</v>
      </c>
      <c r="Q18" s="39">
        <v>229685000</v>
      </c>
      <c r="R18" s="39"/>
      <c r="S18" s="217">
        <f t="shared" si="1"/>
        <v>229685000</v>
      </c>
      <c r="T18" s="192"/>
      <c r="U18" s="192"/>
      <c r="V18" s="192"/>
      <c r="W18" s="206"/>
      <c r="X18" s="206"/>
      <c r="Y18" s="206"/>
      <c r="Z18" s="206"/>
      <c r="AA18" s="206">
        <v>0</v>
      </c>
      <c r="AB18" s="41"/>
      <c r="AC18" s="41"/>
      <c r="AD18" s="602"/>
      <c r="AE18" s="206"/>
      <c r="AF18" s="206"/>
      <c r="AG18" s="206"/>
      <c r="AH18" s="206"/>
      <c r="AI18" s="206"/>
      <c r="AJ18" s="206"/>
      <c r="AK18" s="206"/>
      <c r="AL18" s="206"/>
      <c r="AM18" s="206"/>
      <c r="AN18" s="206"/>
      <c r="AO18" s="206"/>
      <c r="AP18" s="206"/>
    </row>
    <row r="19" spans="1:42" ht="60.75" x14ac:dyDescent="0.25">
      <c r="A19" s="206"/>
      <c r="B19" s="206"/>
      <c r="C19" s="206"/>
      <c r="D19" s="206"/>
      <c r="E19" s="597"/>
      <c r="F19" s="206"/>
      <c r="G19" s="206"/>
      <c r="H19" s="36"/>
      <c r="I19" s="39"/>
      <c r="J19" s="39"/>
      <c r="K19" s="36"/>
      <c r="L19" s="39"/>
      <c r="M19" s="39"/>
      <c r="N19" s="216">
        <f t="shared" si="0"/>
        <v>0</v>
      </c>
      <c r="O19" s="217">
        <f t="shared" si="0"/>
        <v>0</v>
      </c>
      <c r="P19" s="217">
        <f t="shared" si="0"/>
        <v>0</v>
      </c>
      <c r="Q19" s="39"/>
      <c r="R19" s="39"/>
      <c r="S19" s="217">
        <f t="shared" si="1"/>
        <v>0</v>
      </c>
      <c r="T19" s="192" t="s">
        <v>4580</v>
      </c>
      <c r="U19" s="192" t="s">
        <v>4581</v>
      </c>
      <c r="V19" s="192">
        <v>5</v>
      </c>
      <c r="W19" s="206">
        <v>103</v>
      </c>
      <c r="X19" s="192"/>
      <c r="Y19" s="192">
        <v>103</v>
      </c>
      <c r="Z19" s="206">
        <v>103</v>
      </c>
      <c r="AA19" s="206">
        <v>18</v>
      </c>
      <c r="AB19" s="41">
        <v>60</v>
      </c>
      <c r="AC19" s="41">
        <v>120</v>
      </c>
      <c r="AD19" s="602" t="s">
        <v>4582</v>
      </c>
      <c r="AE19" s="206"/>
      <c r="AF19" s="206" t="s">
        <v>218</v>
      </c>
      <c r="AG19" s="206" t="s">
        <v>218</v>
      </c>
      <c r="AH19" s="206"/>
      <c r="AI19" s="206" t="s">
        <v>218</v>
      </c>
      <c r="AJ19" s="206" t="s">
        <v>218</v>
      </c>
      <c r="AK19" s="206"/>
      <c r="AL19" s="206" t="s">
        <v>218</v>
      </c>
      <c r="AM19" s="206" t="s">
        <v>218</v>
      </c>
      <c r="AN19" s="206" t="s">
        <v>218</v>
      </c>
      <c r="AO19" s="206"/>
      <c r="AP19" s="206"/>
    </row>
    <row r="20" spans="1:42" ht="24.75" x14ac:dyDescent="0.25">
      <c r="A20" s="206"/>
      <c r="B20" s="206"/>
      <c r="C20" s="206"/>
      <c r="D20" s="206"/>
      <c r="E20" s="597"/>
      <c r="F20" s="206"/>
      <c r="G20" s="206"/>
      <c r="H20" s="36"/>
      <c r="I20" s="39"/>
      <c r="J20" s="39"/>
      <c r="K20" s="36"/>
      <c r="L20" s="39"/>
      <c r="M20" s="39"/>
      <c r="N20" s="216">
        <f t="shared" si="0"/>
        <v>0</v>
      </c>
      <c r="O20" s="217">
        <f t="shared" si="0"/>
        <v>0</v>
      </c>
      <c r="P20" s="217">
        <f t="shared" si="0"/>
        <v>0</v>
      </c>
      <c r="Q20" s="39"/>
      <c r="R20" s="39"/>
      <c r="S20" s="217">
        <f t="shared" si="1"/>
        <v>0</v>
      </c>
      <c r="T20" s="192" t="s">
        <v>4583</v>
      </c>
      <c r="U20" s="192" t="s">
        <v>965</v>
      </c>
      <c r="V20" s="192">
        <v>11</v>
      </c>
      <c r="W20" s="206">
        <v>12</v>
      </c>
      <c r="X20" s="192"/>
      <c r="Y20" s="206">
        <v>0</v>
      </c>
      <c r="Z20" s="206">
        <v>13</v>
      </c>
      <c r="AA20" s="206">
        <v>75</v>
      </c>
      <c r="AB20" s="41">
        <v>30</v>
      </c>
      <c r="AC20" s="41">
        <v>75</v>
      </c>
      <c r="AD20" s="602" t="s">
        <v>4584</v>
      </c>
      <c r="AE20" s="206"/>
      <c r="AF20" s="206"/>
      <c r="AG20" s="206"/>
      <c r="AH20" s="206"/>
      <c r="AI20" s="206"/>
      <c r="AJ20" s="206"/>
      <c r="AK20" s="206"/>
      <c r="AL20" s="206"/>
      <c r="AM20" s="206"/>
      <c r="AN20" s="206"/>
      <c r="AO20" s="206"/>
      <c r="AP20" s="206"/>
    </row>
    <row r="21" spans="1:42" ht="48" x14ac:dyDescent="0.25">
      <c r="A21" s="206"/>
      <c r="B21" s="206"/>
      <c r="C21" s="206"/>
      <c r="D21" s="206"/>
      <c r="E21" s="597"/>
      <c r="F21" s="206"/>
      <c r="G21" s="206"/>
      <c r="H21" s="36"/>
      <c r="I21" s="39"/>
      <c r="J21" s="39"/>
      <c r="K21" s="36"/>
      <c r="L21" s="39"/>
      <c r="M21" s="39"/>
      <c r="N21" s="216">
        <f t="shared" si="0"/>
        <v>0</v>
      </c>
      <c r="O21" s="217">
        <f t="shared" si="0"/>
        <v>0</v>
      </c>
      <c r="P21" s="217">
        <f t="shared" si="0"/>
        <v>0</v>
      </c>
      <c r="Q21" s="39"/>
      <c r="R21" s="39"/>
      <c r="S21" s="217">
        <f t="shared" si="1"/>
        <v>0</v>
      </c>
      <c r="T21" s="192" t="s">
        <v>4585</v>
      </c>
      <c r="U21" s="192" t="s">
        <v>4586</v>
      </c>
      <c r="V21" s="192">
        <v>15</v>
      </c>
      <c r="W21" s="206"/>
      <c r="X21" s="206"/>
      <c r="Y21" s="192">
        <v>52</v>
      </c>
      <c r="Z21" s="206">
        <v>68</v>
      </c>
      <c r="AA21" s="206">
        <v>9</v>
      </c>
      <c r="AB21" s="41">
        <v>30</v>
      </c>
      <c r="AC21" s="41">
        <v>90</v>
      </c>
      <c r="AD21" s="602"/>
      <c r="AE21" s="206"/>
      <c r="AF21" s="206"/>
      <c r="AG21" s="206"/>
      <c r="AH21" s="206"/>
      <c r="AI21" s="206"/>
      <c r="AJ21" s="206" t="s">
        <v>218</v>
      </c>
      <c r="AK21" s="206" t="s">
        <v>218</v>
      </c>
      <c r="AL21" s="206" t="s">
        <v>218</v>
      </c>
      <c r="AM21" s="206"/>
      <c r="AN21" s="206" t="s">
        <v>218</v>
      </c>
      <c r="AO21" s="206" t="s">
        <v>218</v>
      </c>
      <c r="AP21" s="206" t="s">
        <v>218</v>
      </c>
    </row>
    <row r="22" spans="1:42" ht="36" x14ac:dyDescent="0.25">
      <c r="A22" s="206"/>
      <c r="B22" s="206"/>
      <c r="C22" s="206"/>
      <c r="D22" s="206"/>
      <c r="E22" s="597"/>
      <c r="F22" s="206"/>
      <c r="G22" s="206"/>
      <c r="H22" s="36"/>
      <c r="I22" s="39"/>
      <c r="J22" s="39"/>
      <c r="K22" s="36"/>
      <c r="L22" s="39"/>
      <c r="M22" s="39"/>
      <c r="N22" s="216">
        <f t="shared" si="0"/>
        <v>0</v>
      </c>
      <c r="O22" s="217">
        <f t="shared" si="0"/>
        <v>0</v>
      </c>
      <c r="P22" s="217">
        <f t="shared" si="0"/>
        <v>0</v>
      </c>
      <c r="Q22" s="39"/>
      <c r="R22" s="39"/>
      <c r="S22" s="217">
        <f t="shared" si="1"/>
        <v>0</v>
      </c>
      <c r="T22" s="192" t="s">
        <v>4587</v>
      </c>
      <c r="U22" s="192"/>
      <c r="V22" s="192">
        <v>1</v>
      </c>
      <c r="W22" s="206"/>
      <c r="X22" s="206"/>
      <c r="Y22" s="192">
        <v>1</v>
      </c>
      <c r="Z22" s="206">
        <v>1</v>
      </c>
      <c r="AA22" s="206">
        <v>27</v>
      </c>
      <c r="AB22" s="41">
        <v>45</v>
      </c>
      <c r="AC22" s="41">
        <v>90</v>
      </c>
      <c r="AD22" s="602" t="s">
        <v>4588</v>
      </c>
      <c r="AE22" s="206"/>
      <c r="AF22" s="206" t="s">
        <v>218</v>
      </c>
      <c r="AG22" s="206" t="s">
        <v>218</v>
      </c>
      <c r="AH22" s="206" t="s">
        <v>218</v>
      </c>
      <c r="AI22" s="206" t="s">
        <v>218</v>
      </c>
      <c r="AJ22" s="206" t="s">
        <v>218</v>
      </c>
      <c r="AK22" s="206" t="s">
        <v>218</v>
      </c>
      <c r="AL22" s="206" t="s">
        <v>218</v>
      </c>
      <c r="AM22" s="206" t="s">
        <v>218</v>
      </c>
      <c r="AN22" s="206" t="s">
        <v>218</v>
      </c>
      <c r="AO22" s="206" t="s">
        <v>218</v>
      </c>
      <c r="AP22" s="206"/>
    </row>
    <row r="23" spans="1:42" ht="72" x14ac:dyDescent="0.25">
      <c r="A23" s="206"/>
      <c r="B23" s="206"/>
      <c r="C23" s="206"/>
      <c r="D23" s="206"/>
      <c r="E23" s="597"/>
      <c r="F23" s="206"/>
      <c r="G23" s="206"/>
      <c r="H23" s="36"/>
      <c r="I23" s="39"/>
      <c r="J23" s="39"/>
      <c r="K23" s="36"/>
      <c r="L23" s="39"/>
      <c r="M23" s="39"/>
      <c r="N23" s="216">
        <f t="shared" si="0"/>
        <v>0</v>
      </c>
      <c r="O23" s="217">
        <f t="shared" si="0"/>
        <v>0</v>
      </c>
      <c r="P23" s="217">
        <f t="shared" si="0"/>
        <v>0</v>
      </c>
      <c r="Q23" s="39"/>
      <c r="R23" s="39"/>
      <c r="S23" s="217">
        <f t="shared" si="1"/>
        <v>0</v>
      </c>
      <c r="T23" s="192" t="s">
        <v>4589</v>
      </c>
      <c r="U23" s="192" t="s">
        <v>4590</v>
      </c>
      <c r="V23" s="192">
        <v>9</v>
      </c>
      <c r="W23" s="206"/>
      <c r="X23" s="206"/>
      <c r="Y23" s="206"/>
      <c r="Z23" s="206">
        <v>9</v>
      </c>
      <c r="AA23" s="206">
        <v>15</v>
      </c>
      <c r="AB23" s="41"/>
      <c r="AC23" s="41">
        <v>90</v>
      </c>
      <c r="AD23" s="602" t="s">
        <v>4591</v>
      </c>
      <c r="AE23" s="206"/>
      <c r="AF23" s="206"/>
      <c r="AG23" s="206"/>
      <c r="AH23" s="206" t="s">
        <v>218</v>
      </c>
      <c r="AI23" s="206"/>
      <c r="AJ23" s="206" t="s">
        <v>218</v>
      </c>
      <c r="AK23" s="206"/>
      <c r="AL23" s="206" t="s">
        <v>218</v>
      </c>
      <c r="AM23" s="206" t="s">
        <v>218</v>
      </c>
      <c r="AN23" s="206" t="s">
        <v>218</v>
      </c>
      <c r="AO23" s="206"/>
      <c r="AP23" s="206"/>
    </row>
    <row r="24" spans="1:42" ht="84" x14ac:dyDescent="0.25">
      <c r="A24" s="192" t="s">
        <v>23</v>
      </c>
      <c r="B24" s="192" t="s">
        <v>24</v>
      </c>
      <c r="C24" s="192" t="s">
        <v>38</v>
      </c>
      <c r="D24" s="192">
        <v>21523</v>
      </c>
      <c r="E24" s="220">
        <v>2125335</v>
      </c>
      <c r="F24" s="192" t="s">
        <v>4592</v>
      </c>
      <c r="G24" s="192" t="s">
        <v>4562</v>
      </c>
      <c r="H24" s="36">
        <v>190000000</v>
      </c>
      <c r="I24" s="39"/>
      <c r="J24" s="144">
        <v>190000000</v>
      </c>
      <c r="K24" s="36">
        <v>3</v>
      </c>
      <c r="L24" s="39"/>
      <c r="M24" s="39"/>
      <c r="N24" s="216">
        <f t="shared" si="0"/>
        <v>190000003</v>
      </c>
      <c r="O24" s="217">
        <f t="shared" si="0"/>
        <v>0</v>
      </c>
      <c r="P24" s="217">
        <f t="shared" si="0"/>
        <v>190000000</v>
      </c>
      <c r="Q24" s="39">
        <v>147000000</v>
      </c>
      <c r="R24" s="39"/>
      <c r="S24" s="217">
        <f t="shared" si="1"/>
        <v>147000000</v>
      </c>
      <c r="T24" s="192"/>
      <c r="U24" s="192"/>
      <c r="V24" s="192"/>
      <c r="W24" s="206"/>
      <c r="X24" s="206"/>
      <c r="Y24" s="206"/>
      <c r="Z24" s="206"/>
      <c r="AA24" s="192"/>
      <c r="AB24" s="41"/>
      <c r="AC24" s="41"/>
      <c r="AD24" s="602"/>
      <c r="AE24" s="206"/>
      <c r="AF24" s="206"/>
      <c r="AG24" s="206"/>
      <c r="AH24" s="206"/>
      <c r="AI24" s="206"/>
      <c r="AJ24" s="206"/>
      <c r="AK24" s="206"/>
      <c r="AL24" s="206"/>
      <c r="AM24" s="206"/>
      <c r="AN24" s="206"/>
      <c r="AO24" s="206"/>
      <c r="AP24" s="206"/>
    </row>
    <row r="25" spans="1:42" ht="73.5" customHeight="1" x14ac:dyDescent="0.25">
      <c r="A25" s="206"/>
      <c r="B25" s="206"/>
      <c r="C25" s="206"/>
      <c r="D25" s="206"/>
      <c r="E25" s="597"/>
      <c r="F25" s="206"/>
      <c r="G25" s="206"/>
      <c r="H25" s="36"/>
      <c r="I25" s="39"/>
      <c r="J25" s="39"/>
      <c r="K25" s="36"/>
      <c r="L25" s="39"/>
      <c r="M25" s="39"/>
      <c r="N25" s="216">
        <f t="shared" si="0"/>
        <v>0</v>
      </c>
      <c r="O25" s="217">
        <f t="shared" si="0"/>
        <v>0</v>
      </c>
      <c r="P25" s="217">
        <f t="shared" si="0"/>
        <v>0</v>
      </c>
      <c r="Q25" s="39"/>
      <c r="R25" s="39"/>
      <c r="S25" s="217">
        <f t="shared" si="1"/>
        <v>0</v>
      </c>
      <c r="T25" s="192" t="s">
        <v>4593</v>
      </c>
      <c r="U25" s="192" t="s">
        <v>4594</v>
      </c>
      <c r="V25" s="192">
        <v>3</v>
      </c>
      <c r="W25" s="206"/>
      <c r="X25" s="206"/>
      <c r="Y25" s="206"/>
      <c r="Z25" s="206">
        <v>2</v>
      </c>
      <c r="AA25" s="206">
        <v>24</v>
      </c>
      <c r="AB25" s="41"/>
      <c r="AC25" s="41">
        <v>60</v>
      </c>
      <c r="AD25" s="602" t="s">
        <v>4595</v>
      </c>
      <c r="AE25" s="206"/>
      <c r="AF25" s="206" t="s">
        <v>218</v>
      </c>
      <c r="AG25" s="206" t="s">
        <v>218</v>
      </c>
      <c r="AH25" s="206" t="s">
        <v>218</v>
      </c>
      <c r="AI25" s="206" t="s">
        <v>218</v>
      </c>
      <c r="AJ25" s="206" t="s">
        <v>218</v>
      </c>
      <c r="AK25" s="206" t="s">
        <v>218</v>
      </c>
      <c r="AL25" s="206" t="s">
        <v>218</v>
      </c>
      <c r="AM25" s="206" t="s">
        <v>218</v>
      </c>
      <c r="AN25" s="206"/>
      <c r="AO25" s="206"/>
      <c r="AP25" s="206"/>
    </row>
    <row r="26" spans="1:42" ht="24.75" x14ac:dyDescent="0.25">
      <c r="A26" s="206"/>
      <c r="B26" s="206"/>
      <c r="C26" s="206"/>
      <c r="D26" s="206"/>
      <c r="E26" s="597"/>
      <c r="F26" s="206"/>
      <c r="G26" s="206"/>
      <c r="H26" s="36"/>
      <c r="I26" s="39"/>
      <c r="J26" s="39"/>
      <c r="K26" s="36"/>
      <c r="L26" s="39"/>
      <c r="M26" s="39"/>
      <c r="N26" s="216">
        <f t="shared" si="0"/>
        <v>0</v>
      </c>
      <c r="O26" s="217">
        <f t="shared" si="0"/>
        <v>0</v>
      </c>
      <c r="P26" s="217">
        <f t="shared" si="0"/>
        <v>0</v>
      </c>
      <c r="Q26" s="39"/>
      <c r="R26" s="39"/>
      <c r="S26" s="217">
        <f t="shared" si="1"/>
        <v>0</v>
      </c>
      <c r="T26" s="192" t="s">
        <v>2972</v>
      </c>
      <c r="U26" s="192" t="s">
        <v>2972</v>
      </c>
      <c r="V26" s="192">
        <v>15</v>
      </c>
      <c r="W26" s="206"/>
      <c r="X26" s="192"/>
      <c r="Y26" s="192">
        <v>4</v>
      </c>
      <c r="Z26" s="206">
        <v>10</v>
      </c>
      <c r="AA26" s="206">
        <v>285</v>
      </c>
      <c r="AB26" s="41">
        <v>100</v>
      </c>
      <c r="AC26" s="41">
        <v>285</v>
      </c>
      <c r="AD26" s="602" t="s">
        <v>4596</v>
      </c>
      <c r="AE26" s="206"/>
      <c r="AF26" s="206"/>
      <c r="AG26" s="206" t="s">
        <v>218</v>
      </c>
      <c r="AH26" s="206" t="s">
        <v>218</v>
      </c>
      <c r="AI26" s="206" t="s">
        <v>218</v>
      </c>
      <c r="AJ26" s="206" t="s">
        <v>218</v>
      </c>
      <c r="AK26" s="206" t="s">
        <v>218</v>
      </c>
      <c r="AL26" s="206" t="s">
        <v>218</v>
      </c>
      <c r="AM26" s="206" t="s">
        <v>218</v>
      </c>
      <c r="AN26" s="206" t="s">
        <v>218</v>
      </c>
      <c r="AO26" s="206" t="s">
        <v>218</v>
      </c>
      <c r="AP26" s="206" t="s">
        <v>218</v>
      </c>
    </row>
    <row r="27" spans="1:42" ht="24.75" x14ac:dyDescent="0.25">
      <c r="A27" s="206"/>
      <c r="B27" s="206"/>
      <c r="C27" s="206"/>
      <c r="D27" s="206"/>
      <c r="E27" s="597"/>
      <c r="F27" s="206"/>
      <c r="G27" s="206"/>
      <c r="H27" s="36"/>
      <c r="I27" s="39"/>
      <c r="J27" s="39"/>
      <c r="K27" s="36"/>
      <c r="L27" s="39"/>
      <c r="M27" s="39"/>
      <c r="N27" s="216">
        <f t="shared" si="0"/>
        <v>0</v>
      </c>
      <c r="O27" s="217">
        <f t="shared" si="0"/>
        <v>0</v>
      </c>
      <c r="P27" s="217">
        <f t="shared" si="0"/>
        <v>0</v>
      </c>
      <c r="Q27" s="39"/>
      <c r="R27" s="39"/>
      <c r="S27" s="217">
        <f t="shared" si="1"/>
        <v>0</v>
      </c>
      <c r="T27" s="192" t="s">
        <v>4597</v>
      </c>
      <c r="U27" s="192" t="s">
        <v>2162</v>
      </c>
      <c r="V27" s="192">
        <v>1</v>
      </c>
      <c r="W27" s="206"/>
      <c r="X27" s="192"/>
      <c r="Y27" s="206"/>
      <c r="Z27" s="206">
        <v>1</v>
      </c>
      <c r="AA27" s="206">
        <v>9</v>
      </c>
      <c r="AB27" s="41"/>
      <c r="AC27" s="41">
        <v>9</v>
      </c>
      <c r="AD27" s="602" t="s">
        <v>4598</v>
      </c>
      <c r="AE27" s="206"/>
      <c r="AF27" s="206"/>
      <c r="AG27" s="206"/>
      <c r="AH27" s="206"/>
      <c r="AI27" s="206"/>
      <c r="AJ27" s="206"/>
      <c r="AK27" s="206"/>
      <c r="AL27" s="206"/>
      <c r="AM27" s="206" t="s">
        <v>218</v>
      </c>
      <c r="AN27" s="206" t="s">
        <v>218</v>
      </c>
      <c r="AO27" s="206" t="s">
        <v>218</v>
      </c>
      <c r="AP27" s="206" t="s">
        <v>218</v>
      </c>
    </row>
    <row r="28" spans="1:42" ht="24.75" x14ac:dyDescent="0.25">
      <c r="A28" s="206"/>
      <c r="B28" s="206"/>
      <c r="C28" s="206"/>
      <c r="D28" s="206"/>
      <c r="E28" s="597"/>
      <c r="F28" s="206"/>
      <c r="G28" s="206"/>
      <c r="H28" s="36"/>
      <c r="I28" s="39"/>
      <c r="J28" s="39"/>
      <c r="K28" s="36"/>
      <c r="L28" s="39"/>
      <c r="M28" s="39"/>
      <c r="N28" s="216">
        <f t="shared" si="0"/>
        <v>0</v>
      </c>
      <c r="O28" s="217">
        <f t="shared" si="0"/>
        <v>0</v>
      </c>
      <c r="P28" s="217">
        <f t="shared" si="0"/>
        <v>0</v>
      </c>
      <c r="Q28" s="39"/>
      <c r="R28" s="39"/>
      <c r="S28" s="217">
        <f t="shared" si="1"/>
        <v>0</v>
      </c>
      <c r="T28" s="192" t="s">
        <v>4599</v>
      </c>
      <c r="U28" s="192" t="s">
        <v>2162</v>
      </c>
      <c r="V28" s="192">
        <v>1</v>
      </c>
      <c r="W28" s="206"/>
      <c r="X28" s="192"/>
      <c r="Y28" s="206"/>
      <c r="Z28" s="206">
        <v>1</v>
      </c>
      <c r="AA28" s="206">
        <v>9</v>
      </c>
      <c r="AB28" s="41"/>
      <c r="AC28" s="41">
        <v>45</v>
      </c>
      <c r="AD28" s="602" t="s">
        <v>4600</v>
      </c>
      <c r="AE28" s="206"/>
      <c r="AF28" s="206"/>
      <c r="AG28" s="206"/>
      <c r="AH28" s="206"/>
      <c r="AI28" s="206"/>
      <c r="AJ28" s="206"/>
      <c r="AK28" s="206" t="s">
        <v>218</v>
      </c>
      <c r="AL28" s="206" t="s">
        <v>218</v>
      </c>
      <c r="AM28" s="206" t="s">
        <v>218</v>
      </c>
      <c r="AN28" s="206" t="s">
        <v>218</v>
      </c>
      <c r="AO28" s="206"/>
      <c r="AP28" s="206"/>
    </row>
  </sheetData>
  <sheetProtection algorithmName="SHA-512" hashValue="dOwqm+cgwKEgwLlWFxmHtZDJkucoC9fH3JRlf0bb/lLN6driV8S5EVYDU6jtYETEt4a+svnsNJwSB1RHmf7EqA==" saltValue="0LuUz/wm9Z1HQTu9eUvFgQ=="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12"/>
  <sheetViews>
    <sheetView topLeftCell="A5" zoomScale="80" zoomScaleNormal="80" workbookViewId="0">
      <pane ySplit="4" topLeftCell="A23" activePane="bottomLeft" state="frozen"/>
      <selection activeCell="A5" sqref="A5"/>
      <selection pane="bottomLeft" activeCell="E25" sqref="E25"/>
    </sheetView>
  </sheetViews>
  <sheetFormatPr baseColWidth="10" defaultRowHeight="15" x14ac:dyDescent="0.25"/>
  <cols>
    <col min="1" max="1" width="14.85546875" style="1" customWidth="1"/>
    <col min="2" max="2" width="20.42578125" style="1" customWidth="1"/>
    <col min="3" max="3" width="18.7109375" style="1" customWidth="1"/>
    <col min="4" max="4" width="15.5703125" style="1" customWidth="1"/>
    <col min="5" max="5" width="18" style="1" customWidth="1"/>
    <col min="6" max="6" width="16.7109375" style="1" customWidth="1"/>
    <col min="7" max="7" width="12.7109375" style="1" bestFit="1" customWidth="1"/>
    <col min="8" max="8" width="26.5703125" style="1" customWidth="1"/>
    <col min="9" max="9" width="18.5703125" style="1" customWidth="1"/>
    <col min="10" max="10" width="20.140625" style="1" customWidth="1"/>
    <col min="11" max="11" width="28.42578125" style="1" customWidth="1"/>
    <col min="12" max="12" width="11.42578125" style="1"/>
    <col min="13" max="13" width="12.85546875" style="1" bestFit="1" customWidth="1"/>
    <col min="14" max="14" width="14.42578125" style="1" customWidth="1"/>
    <col min="15" max="15" width="14.7109375" style="1" customWidth="1"/>
    <col min="16" max="16" width="11.42578125" style="1"/>
    <col min="17" max="17" width="37.28515625" style="1" customWidth="1"/>
    <col min="18" max="18" width="21.28515625" style="1" hidden="1" customWidth="1"/>
    <col min="19" max="19" width="11.42578125" style="1" customWidth="1"/>
    <col min="20" max="20" width="11.85546875" style="1" bestFit="1" customWidth="1"/>
    <col min="21" max="37" width="11.42578125" style="1"/>
    <col min="38" max="38" width="23.7109375" style="1" customWidth="1"/>
    <col min="39" max="16384" width="11.42578125" style="1"/>
  </cols>
  <sheetData>
    <row r="1" spans="1:98" x14ac:dyDescent="0.25">
      <c r="A1" s="605" t="s">
        <v>0</v>
      </c>
      <c r="B1" s="605"/>
      <c r="C1" s="605"/>
      <c r="D1" s="605"/>
      <c r="E1" s="605"/>
      <c r="F1" s="605"/>
      <c r="G1" s="605"/>
      <c r="H1" s="605"/>
      <c r="I1" s="605"/>
      <c r="J1" s="605"/>
      <c r="K1" s="605"/>
      <c r="L1" s="605"/>
      <c r="M1" s="605"/>
      <c r="N1" s="605"/>
      <c r="O1" s="605"/>
    </row>
    <row r="2" spans="1:98" x14ac:dyDescent="0.25">
      <c r="A2" s="605" t="s">
        <v>1</v>
      </c>
      <c r="B2" s="605"/>
      <c r="C2" s="605"/>
      <c r="D2" s="605"/>
      <c r="E2" s="605"/>
      <c r="F2" s="605"/>
      <c r="G2" s="605"/>
      <c r="H2" s="605"/>
      <c r="I2" s="605"/>
      <c r="J2" s="605"/>
      <c r="K2" s="605"/>
      <c r="L2" s="605"/>
      <c r="M2" s="605"/>
      <c r="N2" s="605"/>
      <c r="O2" s="605"/>
    </row>
    <row r="3" spans="1:98" x14ac:dyDescent="0.25">
      <c r="A3" s="605" t="s">
        <v>2</v>
      </c>
      <c r="B3" s="605"/>
      <c r="C3" s="605"/>
      <c r="D3" s="605"/>
      <c r="E3" s="605"/>
      <c r="F3" s="605"/>
      <c r="G3" s="605"/>
      <c r="H3" s="605" t="s">
        <v>3</v>
      </c>
      <c r="I3" s="605"/>
      <c r="J3" s="605"/>
      <c r="K3" s="605"/>
      <c r="L3" s="605"/>
      <c r="M3" s="605"/>
      <c r="N3" s="605"/>
      <c r="O3" s="605"/>
    </row>
    <row r="4" spans="1:98" x14ac:dyDescent="0.25">
      <c r="A4" s="605">
        <v>2013</v>
      </c>
      <c r="B4" s="605"/>
      <c r="C4" s="605"/>
      <c r="D4" s="605"/>
      <c r="E4" s="605"/>
      <c r="F4" s="605"/>
      <c r="G4" s="605"/>
      <c r="H4" s="605"/>
      <c r="I4" s="605"/>
      <c r="J4" s="605"/>
      <c r="K4" s="605"/>
      <c r="L4" s="605"/>
      <c r="M4" s="605"/>
      <c r="N4" s="605"/>
      <c r="O4" s="605"/>
    </row>
    <row r="5" spans="1:98" x14ac:dyDescent="0.25">
      <c r="A5" s="2"/>
      <c r="B5" s="2"/>
      <c r="C5" s="2"/>
      <c r="D5" s="2"/>
      <c r="E5" s="2"/>
      <c r="F5" s="2"/>
      <c r="G5" s="2"/>
      <c r="H5" s="2"/>
      <c r="I5" s="2"/>
      <c r="J5" s="2"/>
      <c r="K5" s="2"/>
      <c r="L5" s="4"/>
      <c r="M5" s="5"/>
      <c r="N5" s="6"/>
      <c r="O5" s="5"/>
    </row>
    <row r="6" spans="1:98" x14ac:dyDescent="0.25">
      <c r="A6" s="7" t="s">
        <v>4</v>
      </c>
      <c r="B6" s="606" t="s">
        <v>3255</v>
      </c>
      <c r="C6" s="606"/>
      <c r="D6" s="606"/>
      <c r="E6" s="606"/>
      <c r="F6" s="606"/>
      <c r="G6" s="606"/>
      <c r="H6" s="606"/>
      <c r="I6" s="606"/>
      <c r="J6" s="606"/>
      <c r="K6" s="606"/>
      <c r="L6" s="606"/>
      <c r="M6" s="606"/>
      <c r="N6" s="606"/>
      <c r="O6" s="606"/>
    </row>
    <row r="7" spans="1:98"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7" t="s">
        <v>22</v>
      </c>
      <c r="R7" s="481"/>
    </row>
    <row r="8" spans="1:98" ht="63.75" customHeight="1" x14ac:dyDescent="0.25">
      <c r="A8" s="618"/>
      <c r="B8" s="618"/>
      <c r="C8" s="618"/>
      <c r="D8" s="618"/>
      <c r="E8" s="618"/>
      <c r="F8" s="618"/>
      <c r="G8" s="618"/>
      <c r="H8" s="618"/>
      <c r="I8" s="622"/>
      <c r="J8" s="622"/>
      <c r="K8" s="618"/>
      <c r="L8" s="618"/>
      <c r="M8" s="618"/>
      <c r="N8" s="624"/>
      <c r="O8" s="624"/>
      <c r="P8" s="624"/>
      <c r="Q8" s="618"/>
      <c r="R8" s="482" t="s">
        <v>3256</v>
      </c>
      <c r="S8" s="483"/>
      <c r="T8" s="8"/>
      <c r="U8" s="8"/>
      <c r="V8" s="8"/>
      <c r="W8" s="8"/>
      <c r="X8" s="8"/>
      <c r="Y8" s="8"/>
      <c r="Z8" s="8"/>
      <c r="AA8" s="8"/>
      <c r="AB8" s="8"/>
      <c r="AC8" s="8"/>
      <c r="AD8" s="8"/>
      <c r="AE8" s="8"/>
      <c r="AF8" s="8"/>
      <c r="AG8" s="8"/>
      <c r="AH8" s="8"/>
      <c r="AI8" s="8"/>
      <c r="AL8" s="9"/>
      <c r="AP8" s="9"/>
      <c r="AT8" s="9"/>
      <c r="AX8" s="9"/>
      <c r="BB8" s="9"/>
      <c r="BF8" s="9"/>
      <c r="BJ8" s="9"/>
      <c r="BN8" s="9"/>
      <c r="BR8" s="9"/>
      <c r="BV8" s="9"/>
      <c r="BZ8" s="9"/>
      <c r="CD8" s="9"/>
      <c r="CH8" s="9"/>
      <c r="CL8" s="9"/>
      <c r="CP8" s="9"/>
      <c r="CT8" s="9"/>
    </row>
    <row r="9" spans="1:98" ht="138.75" customHeight="1" x14ac:dyDescent="0.25">
      <c r="A9" s="10" t="s">
        <v>23</v>
      </c>
      <c r="B9" s="10" t="s">
        <v>142</v>
      </c>
      <c r="C9" s="10" t="s">
        <v>150</v>
      </c>
      <c r="D9" s="10">
        <v>212360000</v>
      </c>
      <c r="E9" s="10" t="s">
        <v>1363</v>
      </c>
      <c r="F9" s="50" t="s">
        <v>3257</v>
      </c>
      <c r="G9" s="10">
        <v>22329001</v>
      </c>
      <c r="H9" s="10" t="s">
        <v>3258</v>
      </c>
      <c r="I9" s="177">
        <v>0</v>
      </c>
      <c r="J9" s="459">
        <v>-65000000</v>
      </c>
      <c r="K9" s="10" t="s">
        <v>3259</v>
      </c>
      <c r="L9" s="10">
        <v>5</v>
      </c>
      <c r="M9" s="371">
        <v>5</v>
      </c>
      <c r="N9" s="10"/>
      <c r="O9" s="10">
        <v>0</v>
      </c>
      <c r="P9" s="82">
        <v>0</v>
      </c>
      <c r="Q9" s="10" t="s">
        <v>3260</v>
      </c>
      <c r="R9" s="484"/>
      <c r="S9" s="16"/>
      <c r="V9" s="9"/>
      <c r="W9" s="8"/>
      <c r="X9" s="8"/>
      <c r="Y9" s="8"/>
      <c r="Z9" s="8"/>
      <c r="AA9" s="8"/>
      <c r="AB9" s="8"/>
      <c r="AC9" s="8"/>
      <c r="AD9" s="8"/>
      <c r="AE9" s="8"/>
      <c r="AF9" s="8"/>
      <c r="AG9" s="8"/>
      <c r="AH9" s="8"/>
      <c r="AI9" s="8"/>
      <c r="AL9" s="9"/>
      <c r="AP9" s="9"/>
      <c r="AT9" s="9"/>
      <c r="AX9" s="9"/>
      <c r="BB9" s="9"/>
      <c r="BF9" s="9"/>
      <c r="BJ9" s="9"/>
      <c r="BN9" s="9"/>
      <c r="BR9" s="9"/>
      <c r="BV9" s="9"/>
      <c r="BZ9" s="9"/>
      <c r="CD9" s="9"/>
      <c r="CH9" s="9"/>
      <c r="CL9" s="9"/>
      <c r="CP9" s="9"/>
      <c r="CT9" s="9"/>
    </row>
    <row r="10" spans="1:98" ht="120.75" customHeight="1" x14ac:dyDescent="0.25">
      <c r="A10" s="10" t="s">
        <v>23</v>
      </c>
      <c r="B10" s="10" t="s">
        <v>3261</v>
      </c>
      <c r="C10" s="10" t="s">
        <v>3262</v>
      </c>
      <c r="D10" s="10">
        <v>213110007</v>
      </c>
      <c r="E10" s="10" t="s">
        <v>3263</v>
      </c>
      <c r="F10" s="50" t="s">
        <v>3264</v>
      </c>
      <c r="G10" s="10">
        <v>22137001</v>
      </c>
      <c r="H10" s="10" t="s">
        <v>3265</v>
      </c>
      <c r="I10" s="255">
        <v>217241379</v>
      </c>
      <c r="J10" s="459">
        <v>211741379</v>
      </c>
      <c r="K10" s="10" t="s">
        <v>3266</v>
      </c>
      <c r="L10" s="10">
        <v>250</v>
      </c>
      <c r="M10" s="485">
        <v>33</v>
      </c>
      <c r="N10" s="10"/>
      <c r="O10" s="10">
        <v>0</v>
      </c>
      <c r="P10" s="10">
        <v>450</v>
      </c>
      <c r="Q10" s="486" t="s">
        <v>3267</v>
      </c>
      <c r="R10" s="484" t="s">
        <v>3268</v>
      </c>
      <c r="S10" s="16"/>
      <c r="V10" s="9"/>
      <c r="W10" s="8"/>
      <c r="X10" s="8"/>
      <c r="Y10" s="8"/>
      <c r="Z10" s="8"/>
      <c r="AA10" s="8"/>
      <c r="AB10" s="8"/>
      <c r="AC10" s="8"/>
      <c r="AD10" s="8"/>
      <c r="AE10" s="8"/>
      <c r="AF10" s="8"/>
      <c r="AG10" s="8"/>
      <c r="AH10" s="8"/>
      <c r="AI10" s="8"/>
      <c r="AL10" s="9"/>
      <c r="AP10" s="9"/>
      <c r="AT10" s="9"/>
      <c r="AX10" s="9"/>
      <c r="BB10" s="9"/>
      <c r="BF10" s="9"/>
      <c r="BJ10" s="9"/>
      <c r="BN10" s="9"/>
      <c r="BR10" s="9"/>
      <c r="BV10" s="9"/>
      <c r="BZ10" s="9"/>
      <c r="CD10" s="9"/>
      <c r="CH10" s="9"/>
      <c r="CL10" s="9"/>
      <c r="CP10" s="9"/>
      <c r="CT10" s="9"/>
    </row>
    <row r="11" spans="1:98" ht="87" customHeight="1" x14ac:dyDescent="0.25">
      <c r="A11" s="10">
        <v>0</v>
      </c>
      <c r="B11" s="10">
        <v>0</v>
      </c>
      <c r="C11" s="10">
        <v>0</v>
      </c>
      <c r="D11" s="10">
        <v>0</v>
      </c>
      <c r="E11" s="10" t="s">
        <v>342</v>
      </c>
      <c r="F11" s="50">
        <v>0</v>
      </c>
      <c r="G11" s="10">
        <v>0</v>
      </c>
      <c r="H11" s="10"/>
      <c r="I11" s="177">
        <v>0</v>
      </c>
      <c r="J11" s="459"/>
      <c r="K11" s="10" t="s">
        <v>3269</v>
      </c>
      <c r="L11" s="10">
        <v>325</v>
      </c>
      <c r="M11" s="371">
        <v>325</v>
      </c>
      <c r="N11" s="10"/>
      <c r="O11" s="10">
        <v>0</v>
      </c>
      <c r="P11" s="10">
        <v>227</v>
      </c>
      <c r="Q11" s="10" t="s">
        <v>3270</v>
      </c>
      <c r="R11" s="250"/>
      <c r="S11" s="16"/>
      <c r="V11" s="9"/>
      <c r="W11" s="8"/>
      <c r="X11" s="8"/>
      <c r="Y11" s="8"/>
      <c r="Z11" s="8"/>
      <c r="AA11" s="8"/>
      <c r="AB11" s="8"/>
      <c r="AC11" s="8"/>
      <c r="AD11" s="8"/>
      <c r="AE11" s="8"/>
      <c r="AF11" s="8"/>
      <c r="AG11" s="8"/>
      <c r="AH11" s="8"/>
      <c r="AI11" s="8"/>
      <c r="AL11" s="9"/>
      <c r="AP11" s="9"/>
      <c r="AT11" s="9"/>
      <c r="AX11" s="9"/>
      <c r="BB11" s="9"/>
      <c r="BF11" s="9"/>
      <c r="BJ11" s="9"/>
      <c r="BN11" s="9"/>
      <c r="BR11" s="9"/>
      <c r="BV11" s="9"/>
      <c r="BZ11" s="9"/>
      <c r="CD11" s="9"/>
      <c r="CH11" s="9"/>
      <c r="CL11" s="9"/>
      <c r="CP11" s="9"/>
      <c r="CT11" s="9"/>
    </row>
    <row r="12" spans="1:98" ht="102.75" customHeight="1" x14ac:dyDescent="0.25">
      <c r="A12" s="10" t="s">
        <v>23</v>
      </c>
      <c r="B12" s="10" t="s">
        <v>3261</v>
      </c>
      <c r="C12" s="10" t="s">
        <v>3262</v>
      </c>
      <c r="D12" s="10">
        <v>213120007</v>
      </c>
      <c r="E12" s="10" t="s">
        <v>3271</v>
      </c>
      <c r="F12" s="50" t="s">
        <v>3272</v>
      </c>
      <c r="G12" s="10">
        <v>22138001</v>
      </c>
      <c r="H12" s="10" t="s">
        <v>3273</v>
      </c>
      <c r="I12" s="255">
        <v>108620690</v>
      </c>
      <c r="J12" s="459">
        <v>108620690</v>
      </c>
      <c r="K12" s="10" t="s">
        <v>3274</v>
      </c>
      <c r="L12" s="10">
        <v>150</v>
      </c>
      <c r="M12" s="371">
        <v>650</v>
      </c>
      <c r="N12" s="10"/>
      <c r="O12" s="371">
        <v>500</v>
      </c>
      <c r="P12" s="10">
        <v>500</v>
      </c>
      <c r="Q12" s="18" t="s">
        <v>3275</v>
      </c>
      <c r="R12" s="484" t="s">
        <v>3268</v>
      </c>
      <c r="S12" s="16"/>
      <c r="V12" s="9"/>
      <c r="W12" s="8"/>
      <c r="X12" s="8"/>
      <c r="Y12" s="8"/>
      <c r="Z12" s="8"/>
      <c r="AA12" s="8"/>
      <c r="AB12" s="8"/>
      <c r="AC12" s="8"/>
      <c r="AD12" s="8"/>
      <c r="AE12" s="8"/>
      <c r="AF12" s="8"/>
      <c r="AG12" s="8"/>
      <c r="AH12" s="8"/>
      <c r="AI12" s="8"/>
      <c r="AL12" s="9"/>
      <c r="AP12" s="9"/>
      <c r="AT12" s="9"/>
      <c r="AX12" s="9"/>
      <c r="BB12" s="9"/>
      <c r="BF12" s="9"/>
      <c r="BJ12" s="9"/>
      <c r="BN12" s="9"/>
      <c r="BR12" s="9"/>
      <c r="BV12" s="9"/>
      <c r="BZ12" s="9"/>
      <c r="CD12" s="9"/>
      <c r="CH12" s="9"/>
      <c r="CL12" s="9"/>
      <c r="CP12" s="9"/>
      <c r="CT12" s="9"/>
    </row>
    <row r="13" spans="1:98" ht="103.5" customHeight="1" x14ac:dyDescent="0.25">
      <c r="A13" s="10" t="s">
        <v>23</v>
      </c>
      <c r="B13" s="10" t="s">
        <v>3261</v>
      </c>
      <c r="C13" s="10" t="s">
        <v>3262</v>
      </c>
      <c r="D13" s="10">
        <v>213130007</v>
      </c>
      <c r="E13" s="10" t="s">
        <v>3276</v>
      </c>
      <c r="F13" s="50" t="s">
        <v>3277</v>
      </c>
      <c r="G13" s="10">
        <v>22139001</v>
      </c>
      <c r="H13" s="10" t="s">
        <v>3278</v>
      </c>
      <c r="I13" s="255">
        <v>94137931</v>
      </c>
      <c r="J13" s="459">
        <v>94137931</v>
      </c>
      <c r="K13" s="10" t="s">
        <v>3279</v>
      </c>
      <c r="L13" s="10">
        <v>1300</v>
      </c>
      <c r="M13" s="371">
        <v>430</v>
      </c>
      <c r="N13" s="10"/>
      <c r="O13" s="10">
        <v>406</v>
      </c>
      <c r="P13" s="10">
        <v>668</v>
      </c>
      <c r="Q13" s="18" t="s">
        <v>3280</v>
      </c>
      <c r="R13" s="484" t="s">
        <v>3268</v>
      </c>
      <c r="S13" s="16"/>
      <c r="V13" s="9"/>
      <c r="W13" s="8"/>
      <c r="X13" s="8"/>
      <c r="Y13" s="8"/>
      <c r="Z13" s="8"/>
      <c r="AA13" s="8"/>
      <c r="AB13" s="8"/>
      <c r="AC13" s="8"/>
      <c r="AD13" s="8"/>
      <c r="AE13" s="8"/>
      <c r="AF13" s="8"/>
      <c r="AG13" s="8"/>
      <c r="AH13" s="8"/>
      <c r="AI13" s="8"/>
      <c r="AL13" s="9"/>
      <c r="AP13" s="9"/>
      <c r="AT13" s="9"/>
      <c r="AX13" s="9"/>
      <c r="BB13" s="9"/>
      <c r="BF13" s="9"/>
      <c r="BJ13" s="9"/>
      <c r="BN13" s="9"/>
      <c r="BR13" s="9"/>
      <c r="BV13" s="9"/>
      <c r="BZ13" s="9"/>
      <c r="CD13" s="9"/>
      <c r="CH13" s="9"/>
      <c r="CL13" s="9"/>
      <c r="CP13" s="9"/>
      <c r="CT13" s="9"/>
    </row>
    <row r="14" spans="1:98" ht="60" x14ac:dyDescent="0.25">
      <c r="A14" s="10">
        <v>0</v>
      </c>
      <c r="B14" s="10">
        <v>0</v>
      </c>
      <c r="C14" s="10">
        <v>0</v>
      </c>
      <c r="D14" s="10">
        <v>0</v>
      </c>
      <c r="E14" s="10" t="s">
        <v>342</v>
      </c>
      <c r="F14" s="50">
        <v>0</v>
      </c>
      <c r="G14" s="10">
        <v>0</v>
      </c>
      <c r="H14" s="10"/>
      <c r="I14" s="177">
        <v>0</v>
      </c>
      <c r="J14" s="459"/>
      <c r="K14" s="10" t="s">
        <v>3281</v>
      </c>
      <c r="L14" s="10">
        <v>1200</v>
      </c>
      <c r="M14" s="371">
        <v>1600</v>
      </c>
      <c r="N14" s="10"/>
      <c r="O14" s="10">
        <v>1603</v>
      </c>
      <c r="P14" s="10">
        <v>1603</v>
      </c>
      <c r="Q14" s="10" t="s">
        <v>3282</v>
      </c>
      <c r="R14" s="250"/>
      <c r="S14" s="16"/>
      <c r="V14" s="9"/>
      <c r="W14" s="8"/>
      <c r="X14" s="8"/>
      <c r="Y14" s="8"/>
      <c r="Z14" s="8"/>
      <c r="AA14" s="8"/>
      <c r="AB14" s="8"/>
      <c r="AC14" s="8"/>
      <c r="AD14" s="8"/>
      <c r="AE14" s="8"/>
      <c r="AF14" s="8"/>
      <c r="AG14" s="8"/>
      <c r="AH14" s="8"/>
      <c r="AI14" s="8"/>
      <c r="AL14" s="9"/>
      <c r="AP14" s="9"/>
      <c r="AT14" s="9"/>
      <c r="AX14" s="9"/>
      <c r="BB14" s="9"/>
      <c r="BF14" s="9"/>
      <c r="BJ14" s="9"/>
      <c r="BN14" s="9"/>
      <c r="BR14" s="9"/>
      <c r="BV14" s="9"/>
      <c r="BZ14" s="9"/>
      <c r="CD14" s="9"/>
      <c r="CH14" s="9"/>
      <c r="CL14" s="9"/>
      <c r="CP14" s="9"/>
      <c r="CT14" s="9"/>
    </row>
    <row r="15" spans="1:98" ht="115.5" customHeight="1" x14ac:dyDescent="0.25">
      <c r="A15" s="10" t="s">
        <v>23</v>
      </c>
      <c r="B15" s="10" t="s">
        <v>3261</v>
      </c>
      <c r="C15" s="10" t="s">
        <v>3283</v>
      </c>
      <c r="D15" s="10">
        <v>213210007</v>
      </c>
      <c r="E15" s="10" t="s">
        <v>3284</v>
      </c>
      <c r="F15" s="50" t="s">
        <v>3285</v>
      </c>
      <c r="G15" s="10">
        <v>29154001</v>
      </c>
      <c r="H15" s="10" t="s">
        <v>3286</v>
      </c>
      <c r="I15" s="177">
        <v>0</v>
      </c>
      <c r="J15" s="459">
        <v>-80000000</v>
      </c>
      <c r="K15" s="10" t="s">
        <v>3287</v>
      </c>
      <c r="L15" s="10">
        <v>88</v>
      </c>
      <c r="M15" s="371">
        <v>5</v>
      </c>
      <c r="N15" s="10"/>
      <c r="O15" s="10">
        <v>5</v>
      </c>
      <c r="P15" s="10">
        <v>5</v>
      </c>
      <c r="Q15" s="18" t="s">
        <v>3288</v>
      </c>
      <c r="R15" s="484" t="s">
        <v>3268</v>
      </c>
      <c r="S15" s="16"/>
      <c r="V15" s="9"/>
      <c r="W15" s="8"/>
      <c r="X15" s="8"/>
      <c r="Y15" s="8"/>
      <c r="Z15" s="8"/>
      <c r="AA15" s="8"/>
      <c r="AB15" s="8"/>
      <c r="AC15" s="8"/>
      <c r="AD15" s="8"/>
      <c r="AE15" s="8"/>
      <c r="AF15" s="8"/>
      <c r="AG15" s="8"/>
      <c r="AH15" s="8"/>
      <c r="AI15" s="8"/>
      <c r="AL15" s="9"/>
      <c r="AP15" s="9"/>
      <c r="AT15" s="9"/>
      <c r="AX15" s="9"/>
      <c r="BB15" s="9"/>
      <c r="BF15" s="9"/>
      <c r="BJ15" s="9"/>
      <c r="BN15" s="9"/>
      <c r="BR15" s="9"/>
      <c r="BV15" s="9"/>
      <c r="BZ15" s="9"/>
      <c r="CD15" s="9"/>
      <c r="CH15" s="9"/>
      <c r="CL15" s="9"/>
      <c r="CP15" s="9"/>
      <c r="CT15" s="9"/>
    </row>
    <row r="16" spans="1:98" ht="110.25" customHeight="1" x14ac:dyDescent="0.25">
      <c r="A16" s="10" t="s">
        <v>23</v>
      </c>
      <c r="B16" s="10" t="s">
        <v>142</v>
      </c>
      <c r="C16" s="10" t="s">
        <v>1274</v>
      </c>
      <c r="D16" s="10">
        <v>212110000</v>
      </c>
      <c r="E16" s="10" t="s">
        <v>1275</v>
      </c>
      <c r="F16" s="50" t="s">
        <v>3289</v>
      </c>
      <c r="G16" s="10">
        <v>22325001</v>
      </c>
      <c r="H16" s="10" t="s">
        <v>3290</v>
      </c>
      <c r="I16" s="255">
        <v>135850052</v>
      </c>
      <c r="J16" s="459">
        <v>135850052</v>
      </c>
      <c r="K16" s="10" t="s">
        <v>3291</v>
      </c>
      <c r="L16" s="10">
        <v>1</v>
      </c>
      <c r="M16" s="371">
        <v>1</v>
      </c>
      <c r="N16" s="10"/>
      <c r="O16" s="10">
        <v>0</v>
      </c>
      <c r="P16" s="10">
        <v>1</v>
      </c>
      <c r="Q16" s="18" t="s">
        <v>3292</v>
      </c>
      <c r="R16" s="484"/>
      <c r="S16" s="16"/>
      <c r="V16" s="9"/>
      <c r="W16" s="8"/>
      <c r="X16" s="8"/>
      <c r="Y16" s="8"/>
      <c r="Z16" s="8"/>
      <c r="AA16" s="8"/>
      <c r="AB16" s="8"/>
      <c r="AC16" s="8"/>
      <c r="AD16" s="8"/>
      <c r="AE16" s="8"/>
      <c r="AF16" s="8"/>
      <c r="AG16" s="8"/>
      <c r="AH16" s="8"/>
      <c r="AI16" s="8"/>
      <c r="AL16" s="9"/>
      <c r="AP16" s="9"/>
      <c r="AT16" s="9"/>
      <c r="AX16" s="9"/>
      <c r="BB16" s="9"/>
      <c r="BF16" s="9"/>
      <c r="BJ16" s="9"/>
      <c r="BN16" s="9"/>
      <c r="BR16" s="9"/>
      <c r="BV16" s="9"/>
      <c r="BZ16" s="9"/>
      <c r="CD16" s="9"/>
      <c r="CH16" s="9"/>
      <c r="CL16" s="9"/>
      <c r="CP16" s="9"/>
      <c r="CT16" s="9"/>
    </row>
    <row r="17" spans="1:98" ht="94.5" customHeight="1" x14ac:dyDescent="0.25">
      <c r="A17" s="10" t="s">
        <v>23</v>
      </c>
      <c r="B17" s="10" t="s">
        <v>136</v>
      </c>
      <c r="C17" s="10" t="s">
        <v>137</v>
      </c>
      <c r="D17" s="10">
        <v>211180000</v>
      </c>
      <c r="E17" s="10" t="s">
        <v>138</v>
      </c>
      <c r="F17" s="50" t="s">
        <v>3293</v>
      </c>
      <c r="G17" s="39">
        <v>222206001</v>
      </c>
      <c r="H17" s="10" t="s">
        <v>3294</v>
      </c>
      <c r="I17" s="255">
        <v>874253278</v>
      </c>
      <c r="J17" s="459">
        <v>-25746722</v>
      </c>
      <c r="K17" s="10" t="s">
        <v>978</v>
      </c>
      <c r="L17" s="10">
        <v>2</v>
      </c>
      <c r="M17" s="371">
        <v>2</v>
      </c>
      <c r="N17" s="10"/>
      <c r="O17" s="11">
        <v>1.8</v>
      </c>
      <c r="P17" s="10">
        <v>2</v>
      </c>
      <c r="Q17" s="18" t="s">
        <v>3295</v>
      </c>
      <c r="R17" s="250" t="s">
        <v>3296</v>
      </c>
      <c r="S17" s="16"/>
      <c r="V17" s="9"/>
      <c r="W17" s="8"/>
      <c r="X17" s="8"/>
      <c r="Y17" s="8"/>
      <c r="Z17" s="8"/>
      <c r="AA17" s="8"/>
      <c r="AB17" s="8"/>
      <c r="AC17" s="8"/>
      <c r="AD17" s="8"/>
      <c r="AE17" s="8"/>
      <c r="AF17" s="8"/>
      <c r="AG17" s="8"/>
      <c r="AH17" s="8"/>
      <c r="AI17" s="8"/>
      <c r="AL17" s="9"/>
      <c r="AP17" s="9"/>
      <c r="AT17" s="9"/>
      <c r="AX17" s="9"/>
      <c r="BB17" s="9"/>
      <c r="BF17" s="9"/>
      <c r="BJ17" s="9"/>
      <c r="BN17" s="9"/>
      <c r="BR17" s="9"/>
      <c r="BV17" s="9"/>
      <c r="BZ17" s="9"/>
      <c r="CD17" s="9"/>
      <c r="CH17" s="9"/>
      <c r="CL17" s="9"/>
      <c r="CP17" s="9"/>
      <c r="CT17" s="9"/>
    </row>
    <row r="18" spans="1:98" ht="123" customHeight="1" x14ac:dyDescent="0.25">
      <c r="A18" s="10" t="s">
        <v>23</v>
      </c>
      <c r="B18" s="10" t="s">
        <v>142</v>
      </c>
      <c r="C18" s="10" t="s">
        <v>1274</v>
      </c>
      <c r="D18" s="10">
        <v>212110000</v>
      </c>
      <c r="E18" s="10" t="s">
        <v>1275</v>
      </c>
      <c r="F18" s="50" t="s">
        <v>3297</v>
      </c>
      <c r="G18" s="10">
        <v>29142001</v>
      </c>
      <c r="H18" s="10" t="s">
        <v>3298</v>
      </c>
      <c r="I18" s="177">
        <v>0</v>
      </c>
      <c r="J18" s="459">
        <v>0</v>
      </c>
      <c r="K18" s="18" t="s">
        <v>3291</v>
      </c>
      <c r="L18" s="10">
        <v>1</v>
      </c>
      <c r="M18" s="371">
        <v>1</v>
      </c>
      <c r="N18" s="10"/>
      <c r="O18" s="10">
        <v>0</v>
      </c>
      <c r="P18" s="10">
        <v>1</v>
      </c>
      <c r="Q18" s="18" t="s">
        <v>3292</v>
      </c>
      <c r="R18" s="484"/>
      <c r="S18" s="16"/>
      <c r="V18" s="9"/>
      <c r="W18" s="8"/>
      <c r="X18" s="8"/>
      <c r="Y18" s="8"/>
      <c r="Z18" s="8"/>
      <c r="AA18" s="8"/>
      <c r="AB18" s="8"/>
      <c r="AC18" s="8"/>
      <c r="AD18" s="8"/>
      <c r="AE18" s="8"/>
      <c r="AF18" s="8"/>
      <c r="AG18" s="8"/>
      <c r="AH18" s="8"/>
      <c r="AI18" s="8"/>
      <c r="AL18" s="9"/>
      <c r="AP18" s="9"/>
      <c r="AT18" s="9"/>
      <c r="AX18" s="9"/>
      <c r="BB18" s="9"/>
      <c r="BF18" s="9"/>
      <c r="BJ18" s="9"/>
      <c r="BN18" s="9"/>
      <c r="BR18" s="9"/>
      <c r="BV18" s="9"/>
      <c r="BZ18" s="9"/>
      <c r="CD18" s="9"/>
      <c r="CH18" s="9"/>
      <c r="CL18" s="9"/>
      <c r="CP18" s="9"/>
      <c r="CT18" s="9"/>
    </row>
    <row r="19" spans="1:98" ht="131.25" customHeight="1" x14ac:dyDescent="0.25">
      <c r="A19" s="10" t="s">
        <v>156</v>
      </c>
      <c r="B19" s="10" t="s">
        <v>3299</v>
      </c>
      <c r="C19" s="10" t="s">
        <v>3300</v>
      </c>
      <c r="D19" s="10">
        <v>221120008</v>
      </c>
      <c r="E19" s="10" t="s">
        <v>3301</v>
      </c>
      <c r="F19" s="50" t="s">
        <v>3302</v>
      </c>
      <c r="G19" s="10">
        <v>22219001</v>
      </c>
      <c r="H19" s="10" t="s">
        <v>3303</v>
      </c>
      <c r="I19" s="177">
        <v>0</v>
      </c>
      <c r="J19" s="459">
        <v>0</v>
      </c>
      <c r="K19" s="10" t="s">
        <v>3304</v>
      </c>
      <c r="L19" s="10">
        <v>2000</v>
      </c>
      <c r="M19" s="371">
        <v>2000</v>
      </c>
      <c r="N19" s="10"/>
      <c r="O19" s="10">
        <v>371</v>
      </c>
      <c r="P19" s="10">
        <v>2728</v>
      </c>
      <c r="Q19" s="18" t="s">
        <v>3305</v>
      </c>
      <c r="R19" s="250"/>
      <c r="S19" s="16"/>
      <c r="V19" s="9"/>
      <c r="W19" s="8"/>
      <c r="X19" s="8"/>
      <c r="Y19" s="8"/>
      <c r="Z19" s="8"/>
      <c r="AA19" s="8"/>
      <c r="AB19" s="8"/>
      <c r="AC19" s="8"/>
      <c r="AD19" s="8"/>
      <c r="AE19" s="8"/>
      <c r="AF19" s="8"/>
      <c r="AG19" s="8"/>
      <c r="AH19" s="8"/>
      <c r="AI19" s="8"/>
      <c r="AL19" s="9"/>
      <c r="AP19" s="9"/>
      <c r="AT19" s="9"/>
      <c r="AX19" s="9"/>
      <c r="BB19" s="9"/>
      <c r="BF19" s="9"/>
      <c r="BJ19" s="9"/>
      <c r="BN19" s="9"/>
      <c r="BR19" s="9"/>
      <c r="BV19" s="9"/>
      <c r="BZ19" s="9"/>
      <c r="CD19" s="9"/>
      <c r="CH19" s="9"/>
      <c r="CL19" s="9"/>
      <c r="CP19" s="9"/>
      <c r="CT19" s="9"/>
    </row>
    <row r="20" spans="1:98" ht="165" customHeight="1" x14ac:dyDescent="0.25">
      <c r="A20" s="10" t="s">
        <v>156</v>
      </c>
      <c r="B20" s="10" t="s">
        <v>3299</v>
      </c>
      <c r="C20" s="10" t="s">
        <v>3300</v>
      </c>
      <c r="D20" s="10">
        <v>221140008</v>
      </c>
      <c r="E20" s="10" t="s">
        <v>1371</v>
      </c>
      <c r="F20" s="50">
        <v>0</v>
      </c>
      <c r="G20" s="10">
        <v>22200001</v>
      </c>
      <c r="H20" s="10" t="s">
        <v>3306</v>
      </c>
      <c r="I20" s="255">
        <v>-700000000</v>
      </c>
      <c r="J20" s="459">
        <v>704703392</v>
      </c>
      <c r="K20" s="10" t="s">
        <v>1374</v>
      </c>
      <c r="L20" s="10">
        <v>297</v>
      </c>
      <c r="M20" s="18">
        <v>297</v>
      </c>
      <c r="N20" s="10"/>
      <c r="O20" s="10">
        <v>152</v>
      </c>
      <c r="P20" s="10">
        <v>319</v>
      </c>
      <c r="Q20" s="18" t="s">
        <v>3307</v>
      </c>
      <c r="R20" s="250" t="s">
        <v>3308</v>
      </c>
      <c r="S20" s="16"/>
      <c r="V20" s="9"/>
      <c r="W20" s="8"/>
      <c r="X20" s="8"/>
      <c r="Y20" s="8"/>
      <c r="Z20" s="8"/>
      <c r="AA20" s="8"/>
      <c r="AB20" s="8"/>
      <c r="AC20" s="8"/>
      <c r="AD20" s="8"/>
      <c r="AE20" s="8"/>
      <c r="AF20" s="8"/>
      <c r="AG20" s="8"/>
      <c r="AH20" s="8"/>
      <c r="AI20" s="8"/>
      <c r="AL20" s="9"/>
      <c r="AP20" s="9"/>
      <c r="AT20" s="9"/>
      <c r="AX20" s="9"/>
      <c r="BB20" s="9"/>
      <c r="BF20" s="9"/>
      <c r="BJ20" s="9"/>
      <c r="BN20" s="9"/>
      <c r="BR20" s="9"/>
      <c r="BV20" s="9"/>
      <c r="BZ20" s="9"/>
      <c r="CD20" s="9"/>
      <c r="CH20" s="9"/>
      <c r="CL20" s="9"/>
      <c r="CP20" s="9"/>
      <c r="CT20" s="9"/>
    </row>
    <row r="21" spans="1:98" ht="108.75" customHeight="1" x14ac:dyDescent="0.25">
      <c r="A21" s="10" t="s">
        <v>156</v>
      </c>
      <c r="B21" s="10" t="s">
        <v>3299</v>
      </c>
      <c r="C21" s="10" t="s">
        <v>3309</v>
      </c>
      <c r="D21" s="10">
        <v>221210007</v>
      </c>
      <c r="E21" s="10" t="s">
        <v>3310</v>
      </c>
      <c r="F21" s="50" t="s">
        <v>3311</v>
      </c>
      <c r="G21" s="10">
        <v>22208001</v>
      </c>
      <c r="H21" s="10" t="s">
        <v>3312</v>
      </c>
      <c r="I21" s="255">
        <v>7251500000</v>
      </c>
      <c r="J21" s="459">
        <v>4776500000</v>
      </c>
      <c r="K21" s="10" t="s">
        <v>3313</v>
      </c>
      <c r="L21" s="10">
        <v>10</v>
      </c>
      <c r="M21" s="371">
        <v>78</v>
      </c>
      <c r="N21" s="10"/>
      <c r="O21" s="487">
        <v>68</v>
      </c>
      <c r="P21" s="10">
        <v>68</v>
      </c>
      <c r="Q21" s="18" t="s">
        <v>3314</v>
      </c>
      <c r="R21" s="250" t="s">
        <v>3315</v>
      </c>
      <c r="S21" s="16"/>
      <c r="V21" s="9"/>
      <c r="W21" s="8"/>
      <c r="X21" s="8"/>
      <c r="Y21" s="8"/>
      <c r="Z21" s="8"/>
      <c r="AA21" s="8"/>
      <c r="AB21" s="8"/>
      <c r="AC21" s="8"/>
      <c r="AD21" s="8"/>
      <c r="AE21" s="8"/>
      <c r="AF21" s="8"/>
      <c r="AG21" s="8"/>
      <c r="AH21" s="8"/>
      <c r="AI21" s="8"/>
      <c r="AL21" s="9"/>
      <c r="AP21" s="9"/>
      <c r="AT21" s="9"/>
      <c r="AX21" s="9"/>
      <c r="BB21" s="9"/>
      <c r="BF21" s="9"/>
      <c r="BJ21" s="9"/>
      <c r="BN21" s="9"/>
      <c r="BR21" s="9"/>
      <c r="BV21" s="9"/>
      <c r="BZ21" s="9"/>
      <c r="CD21" s="9"/>
      <c r="CH21" s="9"/>
      <c r="CL21" s="9"/>
      <c r="CP21" s="9"/>
      <c r="CT21" s="9"/>
    </row>
    <row r="22" spans="1:98" ht="84.75" customHeight="1" x14ac:dyDescent="0.25">
      <c r="A22" s="10"/>
      <c r="B22" s="10"/>
      <c r="C22" s="10"/>
      <c r="D22" s="10"/>
      <c r="E22" s="10"/>
      <c r="F22" s="50"/>
      <c r="G22" s="10"/>
      <c r="H22" s="10"/>
      <c r="I22" s="177">
        <v>0</v>
      </c>
      <c r="J22" s="459"/>
      <c r="K22" s="10" t="s">
        <v>3316</v>
      </c>
      <c r="L22" s="10">
        <v>451</v>
      </c>
      <c r="M22" s="371">
        <v>431</v>
      </c>
      <c r="N22" s="10"/>
      <c r="O22" s="10">
        <v>431</v>
      </c>
      <c r="P22" s="10">
        <v>445</v>
      </c>
      <c r="Q22" s="10" t="s">
        <v>3317</v>
      </c>
      <c r="R22" s="484"/>
      <c r="S22" s="16"/>
      <c r="V22" s="9"/>
      <c r="W22" s="8"/>
      <c r="X22" s="8"/>
      <c r="Y22" s="8"/>
      <c r="Z22" s="8"/>
      <c r="AA22" s="8"/>
      <c r="AB22" s="8"/>
      <c r="AC22" s="8"/>
      <c r="AD22" s="8"/>
      <c r="AE22" s="8"/>
      <c r="AF22" s="8"/>
      <c r="AG22" s="8"/>
      <c r="AH22" s="8"/>
      <c r="AI22" s="8"/>
      <c r="AL22" s="9"/>
      <c r="AP22" s="9"/>
      <c r="AT22" s="9"/>
      <c r="AX22" s="9"/>
      <c r="BB22" s="9"/>
      <c r="BF22" s="9"/>
      <c r="BJ22" s="9"/>
      <c r="BN22" s="9"/>
      <c r="BR22" s="9"/>
      <c r="BV22" s="9"/>
      <c r="BZ22" s="9"/>
      <c r="CD22" s="9"/>
      <c r="CH22" s="9"/>
      <c r="CL22" s="9"/>
      <c r="CP22" s="9"/>
      <c r="CT22" s="9"/>
    </row>
    <row r="23" spans="1:98" ht="93.75" customHeight="1" x14ac:dyDescent="0.25">
      <c r="A23" s="10"/>
      <c r="B23" s="10"/>
      <c r="C23" s="10"/>
      <c r="D23" s="10"/>
      <c r="E23" s="10"/>
      <c r="F23" s="50"/>
      <c r="G23" s="10"/>
      <c r="H23" s="10"/>
      <c r="I23" s="177">
        <v>0</v>
      </c>
      <c r="J23" s="459"/>
      <c r="K23" s="10" t="s">
        <v>3318</v>
      </c>
      <c r="L23" s="10">
        <v>5000</v>
      </c>
      <c r="M23" s="371">
        <v>3484</v>
      </c>
      <c r="N23" s="10"/>
      <c r="O23" s="10">
        <v>3484</v>
      </c>
      <c r="P23" s="10">
        <v>5110</v>
      </c>
      <c r="Q23" s="10" t="s">
        <v>3319</v>
      </c>
      <c r="R23" s="484"/>
      <c r="S23" s="16"/>
      <c r="V23" s="9"/>
      <c r="W23" s="8"/>
      <c r="X23" s="8"/>
      <c r="Y23" s="8"/>
      <c r="Z23" s="8"/>
      <c r="AA23" s="8"/>
      <c r="AB23" s="8"/>
      <c r="AC23" s="8"/>
      <c r="AD23" s="8"/>
      <c r="AE23" s="8"/>
      <c r="AF23" s="8"/>
      <c r="AG23" s="8"/>
      <c r="AH23" s="8"/>
      <c r="AI23" s="8"/>
      <c r="AL23" s="9"/>
      <c r="AP23" s="9"/>
      <c r="AT23" s="9"/>
      <c r="AX23" s="9"/>
      <c r="BB23" s="9"/>
      <c r="BF23" s="9"/>
      <c r="BJ23" s="9"/>
      <c r="BN23" s="9"/>
      <c r="BR23" s="9"/>
      <c r="BV23" s="9"/>
      <c r="BZ23" s="9"/>
      <c r="CD23" s="9"/>
      <c r="CH23" s="9"/>
      <c r="CL23" s="9"/>
      <c r="CP23" s="9"/>
      <c r="CT23" s="9"/>
    </row>
    <row r="24" spans="1:98" ht="90" x14ac:dyDescent="0.25">
      <c r="A24" s="10"/>
      <c r="B24" s="10"/>
      <c r="C24" s="10"/>
      <c r="D24" s="10"/>
      <c r="E24" s="10"/>
      <c r="F24" s="50"/>
      <c r="G24" s="10"/>
      <c r="H24" s="10"/>
      <c r="I24" s="177">
        <v>0</v>
      </c>
      <c r="J24" s="459"/>
      <c r="K24" s="10" t="s">
        <v>3320</v>
      </c>
      <c r="L24" s="10">
        <v>1500</v>
      </c>
      <c r="M24" s="371">
        <v>1794</v>
      </c>
      <c r="N24" s="10"/>
      <c r="O24" s="10">
        <v>1672</v>
      </c>
      <c r="P24" s="10">
        <v>2593</v>
      </c>
      <c r="Q24" s="10" t="s">
        <v>3321</v>
      </c>
      <c r="R24" s="484" t="s">
        <v>3322</v>
      </c>
      <c r="S24" s="16"/>
      <c r="V24" s="9"/>
      <c r="W24" s="8"/>
      <c r="X24" s="8"/>
      <c r="Y24" s="8"/>
      <c r="Z24" s="8"/>
      <c r="AA24" s="8"/>
      <c r="AB24" s="8"/>
      <c r="AC24" s="8"/>
      <c r="AD24" s="8"/>
      <c r="AE24" s="8"/>
      <c r="AF24" s="8"/>
      <c r="AG24" s="8"/>
      <c r="AH24" s="8"/>
      <c r="AI24" s="8"/>
      <c r="AL24" s="9"/>
      <c r="AP24" s="9"/>
      <c r="AT24" s="9"/>
      <c r="AX24" s="9"/>
      <c r="BB24" s="9"/>
      <c r="BF24" s="9"/>
      <c r="BJ24" s="9"/>
      <c r="BN24" s="9"/>
      <c r="BR24" s="9"/>
      <c r="BV24" s="9"/>
      <c r="BZ24" s="9"/>
      <c r="CD24" s="9"/>
      <c r="CH24" s="9"/>
      <c r="CL24" s="9"/>
      <c r="CP24" s="9"/>
      <c r="CT24" s="9"/>
    </row>
    <row r="25" spans="1:98" ht="108.75" customHeight="1" x14ac:dyDescent="0.25">
      <c r="A25" s="10"/>
      <c r="B25" s="10"/>
      <c r="C25" s="10"/>
      <c r="D25" s="10"/>
      <c r="E25" s="10"/>
      <c r="F25" s="50"/>
      <c r="G25" s="10"/>
      <c r="H25" s="10"/>
      <c r="I25" s="177">
        <v>0</v>
      </c>
      <c r="J25" s="459"/>
      <c r="K25" s="10" t="s">
        <v>3323</v>
      </c>
      <c r="L25" s="10">
        <v>30484</v>
      </c>
      <c r="M25" s="371">
        <v>30484</v>
      </c>
      <c r="N25" s="10"/>
      <c r="O25" s="10">
        <v>0</v>
      </c>
      <c r="P25" s="10">
        <v>27501</v>
      </c>
      <c r="Q25" s="10" t="s">
        <v>3324</v>
      </c>
      <c r="R25" s="484" t="s">
        <v>3315</v>
      </c>
      <c r="S25" s="16"/>
      <c r="V25" s="9"/>
      <c r="W25" s="8"/>
      <c r="X25" s="8"/>
      <c r="Y25" s="8"/>
      <c r="Z25" s="8"/>
      <c r="AA25" s="8"/>
      <c r="AB25" s="8"/>
      <c r="AC25" s="8"/>
      <c r="AD25" s="8"/>
      <c r="AE25" s="8"/>
      <c r="AF25" s="8"/>
      <c r="AG25" s="8"/>
      <c r="AH25" s="8"/>
      <c r="AI25" s="8"/>
      <c r="AL25" s="9"/>
      <c r="AP25" s="9"/>
      <c r="AT25" s="9"/>
      <c r="AX25" s="9"/>
      <c r="BB25" s="9"/>
      <c r="BF25" s="9"/>
      <c r="BJ25" s="9"/>
      <c r="BN25" s="9"/>
      <c r="BR25" s="9"/>
      <c r="BV25" s="9"/>
      <c r="BZ25" s="9"/>
      <c r="CD25" s="9"/>
      <c r="CH25" s="9"/>
      <c r="CL25" s="9"/>
      <c r="CP25" s="9"/>
      <c r="CT25" s="9"/>
    </row>
    <row r="26" spans="1:98" ht="90" x14ac:dyDescent="0.25">
      <c r="A26" s="10"/>
      <c r="B26" s="10"/>
      <c r="C26" s="10"/>
      <c r="D26" s="10"/>
      <c r="E26" s="10"/>
      <c r="F26" s="50"/>
      <c r="G26" s="10"/>
      <c r="H26" s="10"/>
      <c r="I26" s="177">
        <v>0</v>
      </c>
      <c r="J26" s="459"/>
      <c r="K26" s="10" t="s">
        <v>3325</v>
      </c>
      <c r="L26" s="10">
        <v>2500</v>
      </c>
      <c r="M26" s="371">
        <v>11069</v>
      </c>
      <c r="N26" s="10"/>
      <c r="O26" s="10">
        <v>11069</v>
      </c>
      <c r="P26" s="10">
        <v>11069</v>
      </c>
      <c r="Q26" s="10" t="s">
        <v>3326</v>
      </c>
      <c r="R26" s="484"/>
      <c r="S26" s="16"/>
      <c r="V26" s="9"/>
      <c r="W26" s="8"/>
      <c r="X26" s="8"/>
      <c r="Y26" s="8"/>
      <c r="Z26" s="8"/>
      <c r="AA26" s="8"/>
      <c r="AB26" s="8"/>
      <c r="AC26" s="8"/>
      <c r="AD26" s="8"/>
      <c r="AE26" s="8"/>
      <c r="AF26" s="8"/>
      <c r="AG26" s="8"/>
      <c r="AH26" s="8"/>
      <c r="AI26" s="8"/>
      <c r="AL26" s="9"/>
      <c r="AP26" s="9"/>
      <c r="AT26" s="9"/>
      <c r="AX26" s="9"/>
      <c r="BB26" s="9"/>
      <c r="BF26" s="9"/>
      <c r="BJ26" s="9"/>
      <c r="BN26" s="9"/>
      <c r="BR26" s="9"/>
      <c r="BV26" s="9"/>
      <c r="BZ26" s="9"/>
      <c r="CD26" s="9"/>
      <c r="CH26" s="9"/>
      <c r="CL26" s="9"/>
      <c r="CP26" s="9"/>
      <c r="CT26" s="9"/>
    </row>
    <row r="27" spans="1:98" ht="117.75" customHeight="1" x14ac:dyDescent="0.25">
      <c r="A27" s="10" t="s">
        <v>156</v>
      </c>
      <c r="B27" s="10" t="s">
        <v>3299</v>
      </c>
      <c r="C27" s="10" t="s">
        <v>3309</v>
      </c>
      <c r="D27" s="10">
        <v>221220007</v>
      </c>
      <c r="E27" s="10" t="s">
        <v>3327</v>
      </c>
      <c r="F27" s="50" t="s">
        <v>3328</v>
      </c>
      <c r="G27" s="10">
        <v>22205001</v>
      </c>
      <c r="H27" s="10" t="s">
        <v>3329</v>
      </c>
      <c r="I27" s="255">
        <v>-3251500000</v>
      </c>
      <c r="J27" s="459">
        <v>-3251500000</v>
      </c>
      <c r="K27" s="10" t="s">
        <v>3330</v>
      </c>
      <c r="L27" s="10">
        <v>160</v>
      </c>
      <c r="M27" s="371">
        <v>146</v>
      </c>
      <c r="N27" s="10"/>
      <c r="O27" s="10">
        <v>146</v>
      </c>
      <c r="P27" s="10">
        <v>150</v>
      </c>
      <c r="Q27" s="10" t="s">
        <v>3331</v>
      </c>
      <c r="R27" s="481" t="s">
        <v>3315</v>
      </c>
      <c r="S27" s="16"/>
      <c r="V27" s="9"/>
      <c r="W27" s="8"/>
      <c r="X27" s="8"/>
      <c r="Y27" s="8"/>
      <c r="Z27" s="8"/>
      <c r="AA27" s="8"/>
      <c r="AB27" s="8"/>
      <c r="AC27" s="8"/>
      <c r="AD27" s="8"/>
      <c r="AE27" s="8"/>
      <c r="AF27" s="8"/>
      <c r="AG27" s="8"/>
      <c r="AH27" s="8"/>
      <c r="AI27" s="8"/>
      <c r="AL27" s="9"/>
      <c r="AP27" s="9"/>
      <c r="AT27" s="9"/>
      <c r="AX27" s="9"/>
      <c r="BB27" s="9"/>
      <c r="BF27" s="9"/>
      <c r="BJ27" s="9"/>
      <c r="BN27" s="9"/>
      <c r="BR27" s="9"/>
      <c r="BV27" s="9"/>
      <c r="BZ27" s="9"/>
      <c r="CD27" s="9"/>
      <c r="CH27" s="9"/>
      <c r="CL27" s="9"/>
      <c r="CP27" s="9"/>
      <c r="CT27" s="9"/>
    </row>
    <row r="28" spans="1:98" ht="139.5" customHeight="1" x14ac:dyDescent="0.25">
      <c r="A28" s="10" t="s">
        <v>156</v>
      </c>
      <c r="B28" s="10" t="s">
        <v>3299</v>
      </c>
      <c r="C28" s="10" t="s">
        <v>3332</v>
      </c>
      <c r="D28" s="10">
        <v>221310000</v>
      </c>
      <c r="E28" s="10" t="s">
        <v>3333</v>
      </c>
      <c r="F28" s="50" t="s">
        <v>3334</v>
      </c>
      <c r="G28" s="10" t="s">
        <v>3335</v>
      </c>
      <c r="H28" s="18" t="s">
        <v>3336</v>
      </c>
      <c r="I28" s="471">
        <v>0</v>
      </c>
      <c r="J28" s="459">
        <v>0</v>
      </c>
      <c r="K28" s="18" t="s">
        <v>3337</v>
      </c>
      <c r="L28" s="18">
        <v>150</v>
      </c>
      <c r="M28" s="487">
        <v>0</v>
      </c>
      <c r="N28" s="10"/>
      <c r="O28" s="10">
        <v>0</v>
      </c>
      <c r="P28" s="10">
        <v>204</v>
      </c>
      <c r="Q28" s="10" t="s">
        <v>3338</v>
      </c>
      <c r="R28" s="250"/>
      <c r="S28" s="16"/>
      <c r="V28" s="9"/>
      <c r="W28" s="8"/>
      <c r="X28" s="8"/>
      <c r="Y28" s="8"/>
      <c r="Z28" s="8"/>
      <c r="AA28" s="8"/>
      <c r="AB28" s="8"/>
      <c r="AC28" s="8"/>
      <c r="AD28" s="8"/>
      <c r="AE28" s="8"/>
      <c r="AF28" s="8"/>
      <c r="AG28" s="8"/>
      <c r="AH28" s="8"/>
      <c r="AI28" s="8"/>
      <c r="AL28" s="9"/>
      <c r="AP28" s="9"/>
      <c r="AT28" s="9"/>
      <c r="AX28" s="9"/>
      <c r="BB28" s="9"/>
      <c r="BF28" s="9"/>
      <c r="BJ28" s="9"/>
      <c r="BN28" s="9"/>
      <c r="BR28" s="9"/>
      <c r="BV28" s="9"/>
      <c r="BZ28" s="9"/>
      <c r="CD28" s="9"/>
      <c r="CH28" s="9"/>
      <c r="CL28" s="9"/>
      <c r="CP28" s="9"/>
      <c r="CT28" s="9"/>
    </row>
    <row r="29" spans="1:98" ht="179.25" customHeight="1" x14ac:dyDescent="0.25">
      <c r="A29" s="10" t="s">
        <v>156</v>
      </c>
      <c r="B29" s="10" t="s">
        <v>3299</v>
      </c>
      <c r="C29" s="10" t="s">
        <v>3332</v>
      </c>
      <c r="D29" s="10">
        <v>221310001</v>
      </c>
      <c r="E29" s="10" t="s">
        <v>3333</v>
      </c>
      <c r="F29" s="50" t="s">
        <v>3339</v>
      </c>
      <c r="G29" s="10">
        <v>22191001</v>
      </c>
      <c r="H29" s="18" t="s">
        <v>3340</v>
      </c>
      <c r="I29" s="471">
        <v>0</v>
      </c>
      <c r="J29" s="459">
        <v>-100000000</v>
      </c>
      <c r="K29" s="18" t="s">
        <v>3341</v>
      </c>
      <c r="L29" s="18">
        <v>6000</v>
      </c>
      <c r="M29" s="487">
        <v>1609</v>
      </c>
      <c r="N29" s="10"/>
      <c r="O29" s="10">
        <v>1609</v>
      </c>
      <c r="P29" s="10">
        <f>2832+469+466</f>
        <v>3767</v>
      </c>
      <c r="Q29" s="10" t="s">
        <v>3342</v>
      </c>
      <c r="R29" s="484" t="s">
        <v>3315</v>
      </c>
      <c r="S29" s="16"/>
      <c r="V29" s="9"/>
      <c r="W29" s="8"/>
      <c r="X29" s="8"/>
      <c r="Y29" s="8"/>
      <c r="Z29" s="8"/>
      <c r="AA29" s="8"/>
      <c r="AB29" s="8"/>
      <c r="AC29" s="8"/>
      <c r="AD29" s="8"/>
      <c r="AE29" s="8"/>
      <c r="AF29" s="8"/>
      <c r="AG29" s="8"/>
      <c r="AH29" s="8"/>
      <c r="AI29" s="8"/>
      <c r="AL29" s="9"/>
      <c r="AP29" s="9"/>
      <c r="AT29" s="9"/>
      <c r="AX29" s="9"/>
      <c r="BB29" s="9"/>
      <c r="BF29" s="9"/>
      <c r="BJ29" s="9"/>
      <c r="BN29" s="9"/>
      <c r="BR29" s="9"/>
      <c r="BV29" s="9"/>
      <c r="BZ29" s="9"/>
      <c r="CD29" s="9"/>
      <c r="CH29" s="9"/>
      <c r="CL29" s="9"/>
      <c r="CP29" s="9"/>
      <c r="CT29" s="9"/>
    </row>
    <row r="30" spans="1:98" ht="95.25" customHeight="1" x14ac:dyDescent="0.25">
      <c r="A30" s="10" t="s">
        <v>156</v>
      </c>
      <c r="B30" s="10" t="s">
        <v>3299</v>
      </c>
      <c r="C30" s="10" t="s">
        <v>3332</v>
      </c>
      <c r="D30" s="10">
        <v>221330000</v>
      </c>
      <c r="E30" s="10" t="s">
        <v>3343</v>
      </c>
      <c r="F30" s="10" t="s">
        <v>3344</v>
      </c>
      <c r="G30" s="10" t="s">
        <v>3345</v>
      </c>
      <c r="H30" s="10" t="s">
        <v>3346</v>
      </c>
      <c r="I30" s="177">
        <v>0</v>
      </c>
      <c r="J30" s="459">
        <v>0</v>
      </c>
      <c r="K30" s="10" t="s">
        <v>3347</v>
      </c>
      <c r="L30" s="10">
        <v>1</v>
      </c>
      <c r="M30" s="371">
        <v>1</v>
      </c>
      <c r="N30" s="10"/>
      <c r="O30" s="10">
        <v>0</v>
      </c>
      <c r="P30" s="10">
        <v>1</v>
      </c>
      <c r="Q30" s="10" t="s">
        <v>3348</v>
      </c>
      <c r="R30" s="250"/>
      <c r="S30" s="16"/>
      <c r="V30" s="9"/>
      <c r="W30" s="8"/>
      <c r="X30" s="8"/>
      <c r="Y30" s="8"/>
      <c r="Z30" s="8"/>
      <c r="AA30" s="8"/>
      <c r="AB30" s="8"/>
      <c r="AC30" s="8"/>
      <c r="AD30" s="8"/>
      <c r="AE30" s="8"/>
      <c r="AF30" s="8"/>
      <c r="AG30" s="8"/>
      <c r="AH30" s="8"/>
      <c r="AI30" s="8"/>
      <c r="AL30" s="9"/>
      <c r="AP30" s="9"/>
      <c r="AT30" s="9"/>
      <c r="AX30" s="9"/>
      <c r="BB30" s="9"/>
      <c r="BF30" s="9"/>
      <c r="BJ30" s="9"/>
      <c r="BN30" s="9"/>
      <c r="BR30" s="9"/>
      <c r="BV30" s="9"/>
      <c r="BZ30" s="9"/>
      <c r="CD30" s="9"/>
      <c r="CH30" s="9"/>
      <c r="CL30" s="9"/>
      <c r="CP30" s="9"/>
      <c r="CT30" s="9"/>
    </row>
    <row r="31" spans="1:98" ht="133.5" customHeight="1" x14ac:dyDescent="0.25">
      <c r="A31" s="10" t="s">
        <v>156</v>
      </c>
      <c r="B31" s="10" t="s">
        <v>3299</v>
      </c>
      <c r="C31" s="10" t="s">
        <v>3332</v>
      </c>
      <c r="D31" s="10">
        <v>221340008</v>
      </c>
      <c r="E31" s="10" t="s">
        <v>3349</v>
      </c>
      <c r="F31" s="11">
        <v>2012050000169</v>
      </c>
      <c r="G31" s="10">
        <v>22169001</v>
      </c>
      <c r="H31" s="10" t="s">
        <v>3350</v>
      </c>
      <c r="I31" s="177">
        <v>0</v>
      </c>
      <c r="J31" s="459">
        <v>0</v>
      </c>
      <c r="K31" s="10" t="s">
        <v>3351</v>
      </c>
      <c r="L31" s="10">
        <v>4</v>
      </c>
      <c r="M31" s="371">
        <v>4</v>
      </c>
      <c r="N31" s="10"/>
      <c r="O31" s="10">
        <v>0</v>
      </c>
      <c r="P31" s="10">
        <v>17</v>
      </c>
      <c r="Q31" s="10" t="s">
        <v>3352</v>
      </c>
      <c r="R31" s="250"/>
      <c r="S31" s="16"/>
      <c r="V31" s="9"/>
      <c r="W31" s="8"/>
      <c r="X31" s="8"/>
      <c r="Y31" s="8"/>
      <c r="Z31" s="8"/>
      <c r="AA31" s="8"/>
      <c r="AB31" s="8"/>
      <c r="AC31" s="8"/>
      <c r="AD31" s="8"/>
      <c r="AE31" s="8"/>
      <c r="AF31" s="8"/>
      <c r="AG31" s="8"/>
      <c r="AH31" s="8"/>
      <c r="AI31" s="8"/>
      <c r="AL31" s="9"/>
      <c r="AP31" s="9"/>
      <c r="AT31" s="9"/>
      <c r="AX31" s="9"/>
      <c r="BB31" s="9"/>
      <c r="BF31" s="9"/>
      <c r="BJ31" s="9"/>
      <c r="BN31" s="9"/>
      <c r="BR31" s="9"/>
      <c r="BV31" s="9"/>
      <c r="BZ31" s="9"/>
      <c r="CD31" s="9"/>
      <c r="CH31" s="9"/>
      <c r="CL31" s="9"/>
      <c r="CP31" s="9"/>
      <c r="CT31" s="9"/>
    </row>
    <row r="32" spans="1:98" ht="61.5" customHeight="1" x14ac:dyDescent="0.25">
      <c r="A32" s="10"/>
      <c r="B32" s="10"/>
      <c r="C32" s="10"/>
      <c r="D32" s="10"/>
      <c r="E32" s="10"/>
      <c r="F32" s="10"/>
      <c r="G32" s="10"/>
      <c r="H32" s="10"/>
      <c r="I32" s="177">
        <v>0</v>
      </c>
      <c r="J32" s="459"/>
      <c r="K32" s="10" t="s">
        <v>3353</v>
      </c>
      <c r="L32" s="10">
        <v>4</v>
      </c>
      <c r="M32" s="371">
        <v>4</v>
      </c>
      <c r="N32" s="10"/>
      <c r="O32" s="10">
        <v>0</v>
      </c>
      <c r="P32" s="10">
        <v>5</v>
      </c>
      <c r="Q32" s="10" t="s">
        <v>3354</v>
      </c>
      <c r="R32" s="250"/>
      <c r="S32" s="16"/>
      <c r="V32" s="9"/>
      <c r="W32" s="8"/>
      <c r="X32" s="8"/>
      <c r="Y32" s="8"/>
      <c r="Z32" s="8"/>
      <c r="AA32" s="8"/>
      <c r="AB32" s="8"/>
      <c r="AC32" s="8"/>
      <c r="AD32" s="8"/>
      <c r="AE32" s="8"/>
      <c r="AF32" s="8"/>
      <c r="AG32" s="8"/>
      <c r="AH32" s="8"/>
      <c r="AI32" s="8"/>
      <c r="AL32" s="9"/>
      <c r="AP32" s="9"/>
      <c r="AT32" s="9"/>
      <c r="AX32" s="9"/>
      <c r="BB32" s="9"/>
      <c r="BF32" s="9"/>
      <c r="BJ32" s="9"/>
      <c r="BN32" s="9"/>
      <c r="BR32" s="9"/>
      <c r="BV32" s="9"/>
      <c r="BZ32" s="9"/>
      <c r="CD32" s="9"/>
      <c r="CH32" s="9"/>
      <c r="CL32" s="9"/>
      <c r="CP32" s="9"/>
      <c r="CT32" s="9"/>
    </row>
    <row r="33" spans="1:98" ht="96" customHeight="1" x14ac:dyDescent="0.25">
      <c r="A33" s="10" t="s">
        <v>156</v>
      </c>
      <c r="B33" s="10" t="s">
        <v>3299</v>
      </c>
      <c r="C33" s="10" t="s">
        <v>3355</v>
      </c>
      <c r="D33" s="10">
        <v>221420008</v>
      </c>
      <c r="E33" s="10" t="s">
        <v>3356</v>
      </c>
      <c r="F33" s="50" t="s">
        <v>3357</v>
      </c>
      <c r="G33" s="10" t="s">
        <v>3358</v>
      </c>
      <c r="H33" s="10" t="s">
        <v>3359</v>
      </c>
      <c r="I33" s="177">
        <v>0</v>
      </c>
      <c r="J33" s="459">
        <v>0</v>
      </c>
      <c r="K33" s="10" t="s">
        <v>3360</v>
      </c>
      <c r="L33" s="10">
        <v>5</v>
      </c>
      <c r="M33" s="488">
        <v>5</v>
      </c>
      <c r="N33" s="27"/>
      <c r="O33" s="488">
        <v>2</v>
      </c>
      <c r="P33" s="10">
        <v>5</v>
      </c>
      <c r="Q33" s="10" t="s">
        <v>3361</v>
      </c>
      <c r="R33" s="249"/>
      <c r="S33" s="16"/>
      <c r="V33" s="9"/>
      <c r="W33" s="8"/>
      <c r="X33" s="8"/>
      <c r="Y33" s="8"/>
      <c r="Z33" s="8"/>
      <c r="AA33" s="8"/>
      <c r="AB33" s="8"/>
      <c r="AC33" s="8"/>
      <c r="AD33" s="8"/>
      <c r="AE33" s="8"/>
      <c r="AF33" s="8"/>
      <c r="AG33" s="8"/>
      <c r="AH33" s="8"/>
      <c r="AI33" s="8"/>
      <c r="AL33" s="9"/>
      <c r="AP33" s="9"/>
      <c r="AT33" s="9"/>
      <c r="AX33" s="9"/>
      <c r="BB33" s="9"/>
      <c r="BF33" s="9"/>
      <c r="BJ33" s="9"/>
      <c r="BN33" s="9"/>
      <c r="BR33" s="9"/>
      <c r="BV33" s="9"/>
      <c r="BZ33" s="9"/>
      <c r="CD33" s="9"/>
      <c r="CH33" s="9"/>
      <c r="CL33" s="9"/>
      <c r="CP33" s="9"/>
      <c r="CT33" s="9"/>
    </row>
    <row r="34" spans="1:98" ht="128.25" customHeight="1" x14ac:dyDescent="0.25">
      <c r="A34" s="10" t="s">
        <v>156</v>
      </c>
      <c r="B34" s="10" t="s">
        <v>3299</v>
      </c>
      <c r="C34" s="10" t="s">
        <v>3362</v>
      </c>
      <c r="D34" s="10">
        <v>221510007</v>
      </c>
      <c r="E34" s="10" t="s">
        <v>3363</v>
      </c>
      <c r="F34" s="50" t="s">
        <v>3364</v>
      </c>
      <c r="G34" s="10">
        <v>29155001</v>
      </c>
      <c r="H34" s="10" t="s">
        <v>3365</v>
      </c>
      <c r="I34" s="177">
        <v>0</v>
      </c>
      <c r="J34" s="459">
        <v>0</v>
      </c>
      <c r="K34" s="10" t="s">
        <v>3366</v>
      </c>
      <c r="L34" s="10">
        <v>970</v>
      </c>
      <c r="M34" s="371">
        <v>3402</v>
      </c>
      <c r="N34" s="10"/>
      <c r="O34" s="10">
        <v>3402</v>
      </c>
      <c r="P34" s="18">
        <v>3051</v>
      </c>
      <c r="Q34" s="18" t="s">
        <v>3367</v>
      </c>
      <c r="R34" s="249" t="s">
        <v>3368</v>
      </c>
      <c r="S34" s="16"/>
      <c r="V34" s="9"/>
      <c r="W34" s="8"/>
      <c r="X34" s="8"/>
      <c r="Y34" s="8"/>
      <c r="Z34" s="8"/>
      <c r="AA34" s="8"/>
      <c r="AB34" s="8"/>
      <c r="AC34" s="8"/>
      <c r="AD34" s="8"/>
      <c r="AE34" s="8"/>
      <c r="AF34" s="8"/>
      <c r="AG34" s="8"/>
      <c r="AH34" s="8"/>
      <c r="AI34" s="8"/>
      <c r="AL34" s="9"/>
      <c r="AP34" s="9"/>
      <c r="AT34" s="9"/>
      <c r="AX34" s="9"/>
      <c r="BB34" s="9"/>
      <c r="BF34" s="9"/>
      <c r="BJ34" s="9"/>
      <c r="BN34" s="9"/>
      <c r="BR34" s="9"/>
      <c r="BV34" s="9"/>
      <c r="BZ34" s="9"/>
      <c r="CD34" s="9"/>
      <c r="CH34" s="9"/>
      <c r="CL34" s="9"/>
      <c r="CP34" s="9"/>
      <c r="CT34" s="9"/>
    </row>
    <row r="35" spans="1:98" ht="66" customHeight="1" x14ac:dyDescent="0.25">
      <c r="A35" s="10"/>
      <c r="B35" s="10"/>
      <c r="C35" s="10"/>
      <c r="D35" s="10"/>
      <c r="E35" s="10"/>
      <c r="F35" s="50"/>
      <c r="G35" s="10"/>
      <c r="H35" s="10"/>
      <c r="I35" s="177">
        <v>0</v>
      </c>
      <c r="J35" s="459"/>
      <c r="K35" s="10" t="s">
        <v>3369</v>
      </c>
      <c r="L35" s="10">
        <v>1000</v>
      </c>
      <c r="M35" s="371">
        <v>1200</v>
      </c>
      <c r="N35" s="10"/>
      <c r="O35" s="10">
        <v>0</v>
      </c>
      <c r="P35" s="18">
        <v>1229</v>
      </c>
      <c r="Q35" s="18" t="s">
        <v>3370</v>
      </c>
      <c r="R35" s="249"/>
      <c r="S35" s="16"/>
      <c r="V35" s="9"/>
      <c r="W35" s="8"/>
      <c r="X35" s="8"/>
      <c r="Y35" s="8"/>
      <c r="Z35" s="8"/>
      <c r="AA35" s="8"/>
      <c r="AB35" s="8"/>
      <c r="AC35" s="8"/>
      <c r="AD35" s="8"/>
      <c r="AE35" s="8"/>
      <c r="AF35" s="8"/>
      <c r="AG35" s="8"/>
      <c r="AH35" s="8"/>
      <c r="AI35" s="8"/>
      <c r="AL35" s="9"/>
      <c r="AP35" s="9"/>
      <c r="AT35" s="9"/>
      <c r="AX35" s="9"/>
      <c r="BB35" s="9"/>
      <c r="BF35" s="9"/>
      <c r="BJ35" s="9"/>
      <c r="BN35" s="9"/>
      <c r="BR35" s="9"/>
      <c r="BV35" s="9"/>
      <c r="BZ35" s="9"/>
      <c r="CD35" s="9"/>
      <c r="CH35" s="9"/>
      <c r="CL35" s="9"/>
      <c r="CP35" s="9"/>
      <c r="CT35" s="9"/>
    </row>
    <row r="36" spans="1:98" ht="100.5" customHeight="1" x14ac:dyDescent="0.25">
      <c r="A36" s="10"/>
      <c r="B36" s="10"/>
      <c r="C36" s="10"/>
      <c r="D36" s="10"/>
      <c r="E36" s="10"/>
      <c r="F36" s="50"/>
      <c r="G36" s="10"/>
      <c r="H36" s="10"/>
      <c r="I36" s="177">
        <v>0</v>
      </c>
      <c r="J36" s="459"/>
      <c r="K36" s="10" t="s">
        <v>3371</v>
      </c>
      <c r="L36" s="10">
        <v>20</v>
      </c>
      <c r="M36" s="371">
        <v>0</v>
      </c>
      <c r="N36" s="10"/>
      <c r="O36" s="10">
        <v>400</v>
      </c>
      <c r="P36" s="18">
        <v>400</v>
      </c>
      <c r="Q36" s="18" t="s">
        <v>3372</v>
      </c>
      <c r="R36" s="249"/>
      <c r="S36" s="16"/>
      <c r="V36" s="9"/>
      <c r="W36" s="8"/>
      <c r="X36" s="8"/>
      <c r="Y36" s="8"/>
      <c r="Z36" s="8"/>
      <c r="AA36" s="8"/>
      <c r="AB36" s="8"/>
      <c r="AC36" s="8"/>
      <c r="AD36" s="8"/>
      <c r="AE36" s="8"/>
      <c r="AF36" s="8"/>
      <c r="AG36" s="8"/>
      <c r="AH36" s="8"/>
      <c r="AI36" s="8"/>
      <c r="AL36" s="9"/>
      <c r="AP36" s="9"/>
      <c r="AT36" s="9"/>
      <c r="AX36" s="9"/>
      <c r="BB36" s="9"/>
      <c r="BF36" s="9"/>
      <c r="BJ36" s="9"/>
      <c r="BN36" s="9"/>
      <c r="BR36" s="9"/>
      <c r="BV36" s="9"/>
      <c r="BZ36" s="9"/>
      <c r="CD36" s="9"/>
      <c r="CH36" s="9"/>
      <c r="CL36" s="9"/>
      <c r="CP36" s="9"/>
      <c r="CT36" s="9"/>
    </row>
    <row r="37" spans="1:98" ht="90" customHeight="1" x14ac:dyDescent="0.25">
      <c r="A37" s="10" t="s">
        <v>156</v>
      </c>
      <c r="B37" s="10" t="s">
        <v>3299</v>
      </c>
      <c r="C37" s="10" t="s">
        <v>3373</v>
      </c>
      <c r="D37" s="10">
        <v>221610007</v>
      </c>
      <c r="E37" s="10" t="s">
        <v>3374</v>
      </c>
      <c r="F37" s="50" t="s">
        <v>3375</v>
      </c>
      <c r="G37" s="10">
        <v>29152001</v>
      </c>
      <c r="H37" s="10" t="s">
        <v>3376</v>
      </c>
      <c r="I37" s="177">
        <v>0</v>
      </c>
      <c r="J37" s="459">
        <v>0</v>
      </c>
      <c r="K37" s="10" t="s">
        <v>3377</v>
      </c>
      <c r="L37" s="10">
        <v>117</v>
      </c>
      <c r="M37" s="371">
        <v>119</v>
      </c>
      <c r="N37" s="10"/>
      <c r="O37" s="10">
        <v>119</v>
      </c>
      <c r="P37" s="10">
        <v>119</v>
      </c>
      <c r="Q37" s="10" t="s">
        <v>3378</v>
      </c>
      <c r="R37" s="249"/>
      <c r="S37" s="16"/>
      <c r="V37" s="9"/>
      <c r="W37" s="8"/>
      <c r="X37" s="8"/>
      <c r="Y37" s="8"/>
      <c r="Z37" s="8"/>
      <c r="AA37" s="8"/>
      <c r="AB37" s="8"/>
      <c r="AC37" s="8"/>
      <c r="AD37" s="8"/>
      <c r="AE37" s="8"/>
      <c r="AF37" s="8"/>
      <c r="AG37" s="8"/>
      <c r="AH37" s="8"/>
      <c r="AI37" s="8"/>
      <c r="AL37" s="9"/>
      <c r="AP37" s="9"/>
      <c r="AT37" s="9"/>
      <c r="AX37" s="9"/>
      <c r="BB37" s="9"/>
      <c r="BF37" s="9"/>
      <c r="BJ37" s="9"/>
      <c r="BN37" s="9"/>
      <c r="BR37" s="9"/>
      <c r="BV37" s="9"/>
      <c r="BZ37" s="9"/>
      <c r="CD37" s="9"/>
      <c r="CH37" s="9"/>
      <c r="CL37" s="9"/>
      <c r="CP37" s="9"/>
      <c r="CT37" s="9"/>
    </row>
    <row r="38" spans="1:98" ht="142.5" customHeight="1" x14ac:dyDescent="0.25">
      <c r="A38" s="10" t="s">
        <v>156</v>
      </c>
      <c r="B38" s="10" t="s">
        <v>3299</v>
      </c>
      <c r="C38" s="10" t="s">
        <v>3373</v>
      </c>
      <c r="D38" s="10">
        <v>221650000</v>
      </c>
      <c r="E38" s="10" t="s">
        <v>3379</v>
      </c>
      <c r="F38" s="50" t="s">
        <v>3380</v>
      </c>
      <c r="G38" s="10">
        <v>22161001</v>
      </c>
      <c r="H38" s="10" t="s">
        <v>3381</v>
      </c>
      <c r="I38" s="461">
        <v>-500000000</v>
      </c>
      <c r="J38" s="459">
        <v>-500000000</v>
      </c>
      <c r="K38" s="10" t="s">
        <v>3382</v>
      </c>
      <c r="L38" s="10">
        <v>24</v>
      </c>
      <c r="M38" s="371">
        <v>100</v>
      </c>
      <c r="N38" s="10"/>
      <c r="O38" s="10">
        <v>75</v>
      </c>
      <c r="P38" s="10">
        <v>850</v>
      </c>
      <c r="Q38" s="10" t="s">
        <v>3383</v>
      </c>
      <c r="R38" s="249"/>
      <c r="S38" s="16"/>
      <c r="V38" s="9"/>
      <c r="W38" s="8"/>
      <c r="X38" s="8"/>
      <c r="Y38" s="8"/>
      <c r="Z38" s="8"/>
      <c r="AA38" s="8"/>
      <c r="AB38" s="8"/>
      <c r="AC38" s="8"/>
      <c r="AD38" s="8"/>
      <c r="AE38" s="8"/>
      <c r="AF38" s="8"/>
      <c r="AG38" s="8"/>
      <c r="AH38" s="8"/>
      <c r="AI38" s="8"/>
      <c r="AL38" s="9"/>
      <c r="AP38" s="9"/>
      <c r="AT38" s="9"/>
      <c r="AX38" s="9"/>
      <c r="BB38" s="9"/>
      <c r="BF38" s="9"/>
      <c r="BJ38" s="9"/>
      <c r="BN38" s="9"/>
      <c r="BR38" s="9"/>
      <c r="BV38" s="9"/>
      <c r="BZ38" s="9"/>
      <c r="CD38" s="9"/>
      <c r="CH38" s="9"/>
      <c r="CL38" s="9"/>
      <c r="CP38" s="9"/>
      <c r="CT38" s="9"/>
    </row>
    <row r="39" spans="1:98" ht="120" x14ac:dyDescent="0.25">
      <c r="A39" s="10" t="s">
        <v>156</v>
      </c>
      <c r="B39" s="10" t="s">
        <v>3299</v>
      </c>
      <c r="C39" s="10" t="s">
        <v>3373</v>
      </c>
      <c r="D39" s="10">
        <v>221650000</v>
      </c>
      <c r="E39" s="10" t="s">
        <v>3379</v>
      </c>
      <c r="F39" s="50" t="s">
        <v>3384</v>
      </c>
      <c r="G39" s="10">
        <v>22214001</v>
      </c>
      <c r="H39" s="10" t="s">
        <v>3385</v>
      </c>
      <c r="I39" s="177">
        <v>0</v>
      </c>
      <c r="J39" s="459">
        <v>-300000000</v>
      </c>
      <c r="K39" s="10" t="s">
        <v>3386</v>
      </c>
      <c r="L39" s="10">
        <v>1</v>
      </c>
      <c r="M39" s="371">
        <v>21</v>
      </c>
      <c r="N39" s="10"/>
      <c r="O39" s="371">
        <v>20</v>
      </c>
      <c r="P39" s="10">
        <v>53</v>
      </c>
      <c r="Q39" s="10" t="s">
        <v>3387</v>
      </c>
      <c r="R39" s="249" t="s">
        <v>3388</v>
      </c>
      <c r="S39" s="16"/>
      <c r="V39" s="9"/>
      <c r="W39" s="8"/>
      <c r="X39" s="8"/>
      <c r="Y39" s="8"/>
      <c r="Z39" s="8"/>
      <c r="AA39" s="8"/>
      <c r="AB39" s="8"/>
      <c r="AC39" s="8"/>
      <c r="AD39" s="8"/>
      <c r="AE39" s="8"/>
      <c r="AF39" s="8"/>
      <c r="AG39" s="8"/>
      <c r="AH39" s="8"/>
      <c r="AI39" s="8"/>
      <c r="AL39" s="9"/>
      <c r="AP39" s="9"/>
      <c r="AT39" s="9"/>
      <c r="AX39" s="9"/>
      <c r="BB39" s="9"/>
      <c r="BF39" s="9"/>
      <c r="BJ39" s="9"/>
      <c r="BN39" s="9"/>
      <c r="BR39" s="9"/>
      <c r="BV39" s="9"/>
      <c r="BZ39" s="9"/>
      <c r="CD39" s="9"/>
      <c r="CH39" s="9"/>
      <c r="CL39" s="9"/>
      <c r="CP39" s="9"/>
      <c r="CT39" s="9"/>
    </row>
    <row r="40" spans="1:98" ht="171.75" customHeight="1" x14ac:dyDescent="0.25">
      <c r="A40" s="10" t="s">
        <v>156</v>
      </c>
      <c r="B40" s="10" t="s">
        <v>3299</v>
      </c>
      <c r="C40" s="10" t="s">
        <v>3389</v>
      </c>
      <c r="D40" s="10">
        <v>221710000</v>
      </c>
      <c r="E40" s="10" t="s">
        <v>3390</v>
      </c>
      <c r="F40" s="50" t="s">
        <v>3391</v>
      </c>
      <c r="G40" s="10">
        <v>22171001</v>
      </c>
      <c r="H40" s="10" t="s">
        <v>3392</v>
      </c>
      <c r="I40" s="177">
        <v>0</v>
      </c>
      <c r="J40" s="459">
        <v>-362250000</v>
      </c>
      <c r="K40" s="10" t="s">
        <v>3393</v>
      </c>
      <c r="L40" s="10">
        <v>130</v>
      </c>
      <c r="M40" s="10">
        <v>125</v>
      </c>
      <c r="N40" s="10"/>
      <c r="O40" s="10">
        <v>125</v>
      </c>
      <c r="P40" s="10">
        <v>129</v>
      </c>
      <c r="Q40" s="10" t="s">
        <v>3394</v>
      </c>
      <c r="R40" s="249"/>
      <c r="S40" s="16"/>
      <c r="V40" s="9"/>
      <c r="W40" s="8"/>
      <c r="X40" s="8"/>
      <c r="Y40" s="8"/>
      <c r="Z40" s="8"/>
      <c r="AA40" s="8"/>
      <c r="AB40" s="8"/>
      <c r="AC40" s="8"/>
      <c r="AD40" s="8"/>
      <c r="AE40" s="8"/>
      <c r="AF40" s="8"/>
      <c r="AG40" s="8"/>
      <c r="AH40" s="8"/>
      <c r="AI40" s="8"/>
      <c r="AL40" s="9"/>
      <c r="AP40" s="9"/>
      <c r="AT40" s="9"/>
      <c r="AX40" s="9"/>
      <c r="BB40" s="9"/>
      <c r="BF40" s="9"/>
      <c r="BJ40" s="9"/>
      <c r="BN40" s="9"/>
      <c r="BR40" s="9"/>
      <c r="BV40" s="9"/>
      <c r="BZ40" s="9"/>
      <c r="CD40" s="9"/>
      <c r="CH40" s="9"/>
      <c r="CL40" s="9"/>
      <c r="CP40" s="9"/>
      <c r="CT40" s="9"/>
    </row>
    <row r="41" spans="1:98" ht="116.25" customHeight="1" x14ac:dyDescent="0.25">
      <c r="A41" s="10" t="s">
        <v>156</v>
      </c>
      <c r="B41" s="10" t="s">
        <v>3299</v>
      </c>
      <c r="C41" s="10" t="s">
        <v>3389</v>
      </c>
      <c r="D41" s="10">
        <v>221710007</v>
      </c>
      <c r="E41" s="10" t="s">
        <v>3390</v>
      </c>
      <c r="F41" s="50" t="s">
        <v>3395</v>
      </c>
      <c r="G41" s="10">
        <v>22232001</v>
      </c>
      <c r="H41" s="10" t="s">
        <v>3396</v>
      </c>
      <c r="I41" s="177">
        <v>0</v>
      </c>
      <c r="J41" s="459">
        <v>0</v>
      </c>
      <c r="K41" s="10" t="s">
        <v>3397</v>
      </c>
      <c r="L41" s="10">
        <v>715</v>
      </c>
      <c r="M41" s="10">
        <v>555</v>
      </c>
      <c r="N41" s="10"/>
      <c r="O41" s="10">
        <v>555</v>
      </c>
      <c r="P41" s="10">
        <v>460</v>
      </c>
      <c r="Q41" s="10" t="s">
        <v>3398</v>
      </c>
      <c r="R41" s="249"/>
      <c r="S41" s="16"/>
      <c r="V41" s="9"/>
      <c r="W41" s="8"/>
      <c r="X41" s="8"/>
      <c r="Y41" s="8"/>
      <c r="Z41" s="8"/>
      <c r="AA41" s="8"/>
      <c r="AB41" s="8"/>
      <c r="AC41" s="8"/>
      <c r="AD41" s="8"/>
      <c r="AE41" s="8"/>
      <c r="AF41" s="8"/>
      <c r="AG41" s="8"/>
      <c r="AH41" s="8"/>
      <c r="AI41" s="8"/>
      <c r="AL41" s="9"/>
      <c r="AP41" s="9"/>
      <c r="AT41" s="9"/>
      <c r="AX41" s="9"/>
      <c r="BB41" s="9"/>
      <c r="BF41" s="9"/>
      <c r="BJ41" s="9"/>
      <c r="BN41" s="9"/>
      <c r="BR41" s="9"/>
      <c r="BV41" s="9"/>
      <c r="BZ41" s="9"/>
      <c r="CD41" s="9"/>
      <c r="CH41" s="9"/>
      <c r="CL41" s="9"/>
      <c r="CP41" s="9"/>
      <c r="CT41" s="9"/>
    </row>
    <row r="42" spans="1:98" ht="97.5" customHeight="1" x14ac:dyDescent="0.25">
      <c r="A42" s="10" t="s">
        <v>156</v>
      </c>
      <c r="B42" s="10" t="s">
        <v>3299</v>
      </c>
      <c r="C42" s="10" t="s">
        <v>3389</v>
      </c>
      <c r="D42" s="10">
        <v>221720007</v>
      </c>
      <c r="E42" s="10" t="s">
        <v>3399</v>
      </c>
      <c r="F42" s="50" t="s">
        <v>3400</v>
      </c>
      <c r="G42" s="10">
        <v>22318001</v>
      </c>
      <c r="H42" s="10" t="s">
        <v>3401</v>
      </c>
      <c r="I42" s="177">
        <v>0</v>
      </c>
      <c r="J42" s="459">
        <v>0</v>
      </c>
      <c r="K42" s="10" t="s">
        <v>3402</v>
      </c>
      <c r="L42" s="10">
        <v>6</v>
      </c>
      <c r="M42" s="10">
        <v>10</v>
      </c>
      <c r="N42" s="10"/>
      <c r="O42" s="10">
        <v>10</v>
      </c>
      <c r="P42" s="10">
        <v>18</v>
      </c>
      <c r="Q42" s="10" t="s">
        <v>3403</v>
      </c>
      <c r="R42" s="249"/>
      <c r="S42" s="16"/>
      <c r="V42" s="9"/>
      <c r="W42" s="8"/>
      <c r="X42" s="8"/>
      <c r="Y42" s="8"/>
      <c r="Z42" s="8"/>
      <c r="AA42" s="8"/>
      <c r="AB42" s="8"/>
      <c r="AC42" s="8"/>
      <c r="AD42" s="8"/>
      <c r="AE42" s="8"/>
      <c r="AF42" s="8"/>
      <c r="AG42" s="8"/>
      <c r="AH42" s="8"/>
      <c r="AI42" s="8"/>
      <c r="AL42" s="9"/>
      <c r="AP42" s="9"/>
      <c r="AT42" s="9"/>
      <c r="AX42" s="9"/>
      <c r="BB42" s="9"/>
      <c r="BF42" s="9"/>
      <c r="BJ42" s="9"/>
      <c r="BN42" s="9"/>
      <c r="BR42" s="9"/>
      <c r="BV42" s="9"/>
      <c r="BZ42" s="9"/>
      <c r="CD42" s="9"/>
      <c r="CH42" s="9"/>
      <c r="CL42" s="9"/>
      <c r="CP42" s="9"/>
      <c r="CT42" s="9"/>
    </row>
    <row r="43" spans="1:98" ht="108.75" customHeight="1" x14ac:dyDescent="0.25">
      <c r="A43" s="10" t="s">
        <v>156</v>
      </c>
      <c r="B43" s="10" t="s">
        <v>3299</v>
      </c>
      <c r="C43" s="10" t="s">
        <v>3389</v>
      </c>
      <c r="D43" s="10">
        <v>221730004</v>
      </c>
      <c r="E43" s="10" t="s">
        <v>3404</v>
      </c>
      <c r="F43" s="50" t="s">
        <v>3405</v>
      </c>
      <c r="G43" s="10">
        <v>22320001</v>
      </c>
      <c r="H43" s="10" t="s">
        <v>3406</v>
      </c>
      <c r="I43" s="177">
        <v>0</v>
      </c>
      <c r="J43" s="459">
        <v>0</v>
      </c>
      <c r="K43" s="10" t="s">
        <v>3407</v>
      </c>
      <c r="L43" s="10">
        <v>8</v>
      </c>
      <c r="M43" s="10">
        <v>16</v>
      </c>
      <c r="N43" s="10"/>
      <c r="O43" s="10">
        <v>16</v>
      </c>
      <c r="P43" s="10">
        <v>16</v>
      </c>
      <c r="Q43" s="10" t="s">
        <v>3408</v>
      </c>
      <c r="R43" s="249"/>
      <c r="S43" s="16"/>
      <c r="V43" s="9"/>
      <c r="W43" s="8"/>
      <c r="X43" s="8"/>
      <c r="Y43" s="8"/>
      <c r="Z43" s="8"/>
      <c r="AA43" s="8"/>
      <c r="AB43" s="8"/>
      <c r="AC43" s="8"/>
      <c r="AD43" s="8"/>
      <c r="AE43" s="8"/>
      <c r="AF43" s="8"/>
      <c r="AG43" s="8"/>
      <c r="AH43" s="8"/>
      <c r="AI43" s="8"/>
      <c r="AL43" s="9"/>
      <c r="AP43" s="9"/>
      <c r="AT43" s="9"/>
      <c r="AX43" s="9"/>
      <c r="BB43" s="9"/>
      <c r="BF43" s="9"/>
      <c r="BJ43" s="9"/>
      <c r="BN43" s="9"/>
      <c r="BR43" s="9"/>
      <c r="BV43" s="9"/>
      <c r="BZ43" s="9"/>
      <c r="CD43" s="9"/>
      <c r="CH43" s="9"/>
      <c r="CL43" s="9"/>
      <c r="CP43" s="9"/>
      <c r="CT43" s="9"/>
    </row>
    <row r="44" spans="1:98" ht="93.75" customHeight="1" x14ac:dyDescent="0.25">
      <c r="A44" s="10" t="s">
        <v>156</v>
      </c>
      <c r="B44" s="10" t="s">
        <v>982</v>
      </c>
      <c r="C44" s="10" t="s">
        <v>3409</v>
      </c>
      <c r="D44" s="10">
        <v>222910000</v>
      </c>
      <c r="E44" s="10" t="s">
        <v>3410</v>
      </c>
      <c r="F44" s="50" t="s">
        <v>3411</v>
      </c>
      <c r="G44" s="10" t="s">
        <v>3412</v>
      </c>
      <c r="H44" s="10" t="s">
        <v>3413</v>
      </c>
      <c r="I44" s="255">
        <v>1615951388</v>
      </c>
      <c r="J44" s="459">
        <v>694587776</v>
      </c>
      <c r="K44" s="10" t="s">
        <v>3414</v>
      </c>
      <c r="L44" s="10">
        <v>100</v>
      </c>
      <c r="M44" s="371">
        <v>100</v>
      </c>
      <c r="N44" s="10"/>
      <c r="O44" s="10">
        <v>80</v>
      </c>
      <c r="P44" s="10">
        <v>245</v>
      </c>
      <c r="Q44" s="10" t="s">
        <v>3415</v>
      </c>
      <c r="R44" s="489"/>
      <c r="S44" s="16"/>
      <c r="V44" s="9"/>
      <c r="W44" s="8"/>
      <c r="X44" s="8"/>
      <c r="Y44" s="8"/>
      <c r="Z44" s="8"/>
      <c r="AA44" s="8"/>
      <c r="AB44" s="8"/>
      <c r="AC44" s="8"/>
      <c r="AD44" s="8"/>
      <c r="AE44" s="8"/>
      <c r="AF44" s="8"/>
      <c r="AG44" s="8"/>
      <c r="AH44" s="8"/>
      <c r="AI44" s="8"/>
      <c r="AL44" s="9"/>
      <c r="AP44" s="9"/>
      <c r="AT44" s="9"/>
      <c r="AX44" s="9"/>
      <c r="BB44" s="9"/>
      <c r="BF44" s="9"/>
      <c r="BJ44" s="9"/>
      <c r="BN44" s="9"/>
      <c r="BR44" s="9"/>
      <c r="BV44" s="9"/>
      <c r="BZ44" s="9"/>
      <c r="CD44" s="9"/>
      <c r="CH44" s="9"/>
      <c r="CL44" s="9"/>
      <c r="CP44" s="9"/>
      <c r="CT44" s="9"/>
    </row>
    <row r="45" spans="1:98" ht="75" x14ac:dyDescent="0.25">
      <c r="A45" s="10"/>
      <c r="B45" s="10"/>
      <c r="C45" s="10"/>
      <c r="D45" s="10"/>
      <c r="E45" s="10"/>
      <c r="F45" s="50"/>
      <c r="G45" s="10"/>
      <c r="H45" s="10"/>
      <c r="I45" s="177">
        <v>0</v>
      </c>
      <c r="J45" s="459"/>
      <c r="K45" s="10" t="s">
        <v>3416</v>
      </c>
      <c r="L45" s="10">
        <v>2</v>
      </c>
      <c r="M45" s="371">
        <v>3</v>
      </c>
      <c r="N45" s="10"/>
      <c r="O45" s="10">
        <v>3</v>
      </c>
      <c r="P45" s="10">
        <v>3</v>
      </c>
      <c r="Q45" s="10" t="s">
        <v>3417</v>
      </c>
      <c r="R45" s="249"/>
      <c r="S45" s="16"/>
      <c r="V45" s="9"/>
      <c r="W45" s="8"/>
      <c r="X45" s="8"/>
      <c r="Y45" s="8"/>
      <c r="Z45" s="8"/>
      <c r="AA45" s="8"/>
      <c r="AB45" s="8"/>
      <c r="AC45" s="8"/>
      <c r="AD45" s="8"/>
      <c r="AE45" s="8"/>
      <c r="AF45" s="8"/>
      <c r="AG45" s="8"/>
      <c r="AH45" s="8"/>
      <c r="AI45" s="8"/>
      <c r="AL45" s="9"/>
      <c r="AP45" s="9"/>
      <c r="AT45" s="9"/>
      <c r="AX45" s="9"/>
      <c r="BB45" s="9"/>
      <c r="BF45" s="9"/>
      <c r="BJ45" s="9"/>
      <c r="BN45" s="9"/>
      <c r="BR45" s="9"/>
      <c r="BV45" s="9"/>
      <c r="BZ45" s="9"/>
      <c r="CD45" s="9"/>
      <c r="CH45" s="9"/>
      <c r="CL45" s="9"/>
      <c r="CP45" s="9"/>
      <c r="CT45" s="9"/>
    </row>
    <row r="46" spans="1:98" ht="75" x14ac:dyDescent="0.25">
      <c r="A46" s="10"/>
      <c r="B46" s="10"/>
      <c r="C46" s="10"/>
      <c r="D46" s="10"/>
      <c r="E46" s="10"/>
      <c r="F46" s="50"/>
      <c r="G46" s="10"/>
      <c r="H46" s="10"/>
      <c r="I46" s="177">
        <v>0</v>
      </c>
      <c r="J46" s="459"/>
      <c r="K46" s="10" t="s">
        <v>3418</v>
      </c>
      <c r="L46" s="10">
        <v>5</v>
      </c>
      <c r="M46" s="371">
        <v>5</v>
      </c>
      <c r="N46" s="10"/>
      <c r="O46" s="10">
        <v>0</v>
      </c>
      <c r="P46" s="10">
        <v>0</v>
      </c>
      <c r="Q46" s="10" t="s">
        <v>3419</v>
      </c>
      <c r="R46" s="249"/>
      <c r="S46" s="16"/>
      <c r="V46" s="9"/>
      <c r="W46" s="8"/>
      <c r="X46" s="8"/>
      <c r="Y46" s="8"/>
      <c r="Z46" s="8"/>
      <c r="AA46" s="8"/>
      <c r="AB46" s="8"/>
      <c r="AC46" s="8"/>
      <c r="AD46" s="8"/>
      <c r="AE46" s="8"/>
      <c r="AF46" s="8"/>
      <c r="AG46" s="8"/>
      <c r="AH46" s="8"/>
      <c r="AI46" s="8"/>
      <c r="AL46" s="9"/>
      <c r="AP46" s="9"/>
      <c r="AT46" s="9"/>
      <c r="AX46" s="9"/>
      <c r="BB46" s="9"/>
      <c r="BF46" s="9"/>
      <c r="BJ46" s="9"/>
      <c r="BN46" s="9"/>
      <c r="BR46" s="9"/>
      <c r="BV46" s="9"/>
      <c r="BZ46" s="9"/>
      <c r="CD46" s="9"/>
      <c r="CH46" s="9"/>
      <c r="CL46" s="9"/>
      <c r="CP46" s="9"/>
      <c r="CT46" s="9"/>
    </row>
    <row r="47" spans="1:98" ht="180" x14ac:dyDescent="0.25">
      <c r="A47" s="10" t="s">
        <v>156</v>
      </c>
      <c r="B47" s="10" t="s">
        <v>3299</v>
      </c>
      <c r="C47" s="10" t="s">
        <v>3332</v>
      </c>
      <c r="D47" s="10">
        <v>221310000</v>
      </c>
      <c r="E47" s="10" t="s">
        <v>3333</v>
      </c>
      <c r="F47" s="50" t="s">
        <v>3420</v>
      </c>
      <c r="G47" s="10">
        <v>22140001</v>
      </c>
      <c r="H47" s="18" t="s">
        <v>3421</v>
      </c>
      <c r="I47" s="471">
        <v>0</v>
      </c>
      <c r="J47" s="459">
        <v>-400000000</v>
      </c>
      <c r="K47" s="18" t="s">
        <v>3341</v>
      </c>
      <c r="L47" s="18">
        <v>6000</v>
      </c>
      <c r="M47" s="487">
        <v>1609</v>
      </c>
      <c r="N47" s="10"/>
      <c r="O47" s="371">
        <v>1609</v>
      </c>
      <c r="P47" s="10">
        <f>3301+466</f>
        <v>3767</v>
      </c>
      <c r="Q47" s="10" t="s">
        <v>3422</v>
      </c>
      <c r="R47" s="484" t="s">
        <v>3315</v>
      </c>
      <c r="S47" s="16"/>
      <c r="V47" s="9"/>
      <c r="W47" s="8"/>
      <c r="X47" s="8"/>
      <c r="Y47" s="8"/>
      <c r="Z47" s="8"/>
      <c r="AA47" s="8"/>
      <c r="AB47" s="8"/>
      <c r="AC47" s="8"/>
      <c r="AD47" s="8"/>
      <c r="AE47" s="8"/>
      <c r="AF47" s="8"/>
      <c r="AG47" s="8"/>
      <c r="AH47" s="8"/>
      <c r="AI47" s="8"/>
      <c r="AL47" s="9"/>
      <c r="AP47" s="9"/>
      <c r="AT47" s="9"/>
      <c r="AX47" s="9"/>
      <c r="BB47" s="9"/>
      <c r="BF47" s="9"/>
      <c r="BJ47" s="9"/>
      <c r="BN47" s="9"/>
      <c r="BR47" s="9"/>
      <c r="BV47" s="9"/>
      <c r="BZ47" s="9"/>
      <c r="CD47" s="9"/>
      <c r="CH47" s="9"/>
      <c r="CL47" s="9"/>
      <c r="CP47" s="9"/>
      <c r="CT47" s="9"/>
    </row>
    <row r="48" spans="1:98" ht="60" x14ac:dyDescent="0.25">
      <c r="A48" s="10" t="s">
        <v>156</v>
      </c>
      <c r="B48" s="10" t="s">
        <v>3299</v>
      </c>
      <c r="C48" s="10" t="s">
        <v>3300</v>
      </c>
      <c r="D48" s="10">
        <v>221130008</v>
      </c>
      <c r="E48" s="10" t="s">
        <v>3423</v>
      </c>
      <c r="F48" s="50" t="s">
        <v>3424</v>
      </c>
      <c r="G48" s="10">
        <v>28238001</v>
      </c>
      <c r="H48" s="18" t="s">
        <v>3425</v>
      </c>
      <c r="I48" s="471">
        <v>0</v>
      </c>
      <c r="J48" s="459">
        <v>4873000000</v>
      </c>
      <c r="K48" s="18" t="s">
        <v>3426</v>
      </c>
      <c r="L48" s="18">
        <v>61000</v>
      </c>
      <c r="M48" s="487">
        <v>63561</v>
      </c>
      <c r="N48" s="10"/>
      <c r="O48" s="10">
        <v>63561</v>
      </c>
      <c r="P48" s="10">
        <v>63561</v>
      </c>
      <c r="Q48" s="10" t="s">
        <v>3427</v>
      </c>
      <c r="R48" s="249" t="s">
        <v>3428</v>
      </c>
      <c r="S48" s="16"/>
      <c r="V48" s="9"/>
      <c r="W48" s="8"/>
      <c r="X48" s="8"/>
      <c r="Y48" s="8"/>
      <c r="Z48" s="8"/>
      <c r="AA48" s="8"/>
      <c r="AB48" s="8"/>
      <c r="AC48" s="8"/>
      <c r="AD48" s="8"/>
      <c r="AE48" s="8"/>
      <c r="AF48" s="8"/>
      <c r="AG48" s="8"/>
      <c r="AH48" s="8"/>
      <c r="AI48" s="8"/>
      <c r="AL48" s="9"/>
      <c r="AP48" s="9"/>
      <c r="AT48" s="9"/>
      <c r="AX48" s="9"/>
      <c r="BB48" s="9"/>
      <c r="BF48" s="9"/>
      <c r="BJ48" s="9"/>
      <c r="BN48" s="9"/>
      <c r="BR48" s="9"/>
      <c r="BV48" s="9"/>
      <c r="BZ48" s="9"/>
      <c r="CD48" s="9"/>
      <c r="CH48" s="9"/>
      <c r="CL48" s="9"/>
      <c r="CP48" s="9"/>
      <c r="CT48" s="9"/>
    </row>
    <row r="49" spans="1:98" ht="75" x14ac:dyDescent="0.25">
      <c r="A49" s="10" t="s">
        <v>156</v>
      </c>
      <c r="B49" s="10" t="s">
        <v>3299</v>
      </c>
      <c r="C49" s="10" t="s">
        <v>3300</v>
      </c>
      <c r="D49" s="10">
        <v>221130008</v>
      </c>
      <c r="E49" s="10" t="s">
        <v>3423</v>
      </c>
      <c r="F49" s="50" t="s">
        <v>3429</v>
      </c>
      <c r="G49" s="10">
        <v>28244001</v>
      </c>
      <c r="H49" s="18" t="s">
        <v>3430</v>
      </c>
      <c r="I49" s="255">
        <v>779954239</v>
      </c>
      <c r="J49" s="459">
        <v>988105974</v>
      </c>
      <c r="K49" s="18" t="s">
        <v>3426</v>
      </c>
      <c r="L49" s="18">
        <v>61000</v>
      </c>
      <c r="M49" s="487">
        <v>63561</v>
      </c>
      <c r="N49" s="10"/>
      <c r="O49" s="10">
        <v>63561</v>
      </c>
      <c r="P49" s="10">
        <v>63561</v>
      </c>
      <c r="Q49" s="10" t="s">
        <v>3427</v>
      </c>
      <c r="R49" s="249" t="s">
        <v>3428</v>
      </c>
      <c r="S49" s="16"/>
      <c r="V49" s="9"/>
      <c r="W49" s="8"/>
      <c r="X49" s="8"/>
      <c r="Y49" s="8"/>
      <c r="Z49" s="8"/>
      <c r="AA49" s="8"/>
      <c r="AB49" s="8"/>
      <c r="AC49" s="8"/>
      <c r="AD49" s="8"/>
      <c r="AE49" s="8"/>
      <c r="AF49" s="8"/>
      <c r="AG49" s="8"/>
      <c r="AH49" s="8"/>
      <c r="AI49" s="8"/>
      <c r="AL49" s="9"/>
      <c r="AP49" s="9"/>
      <c r="AT49" s="9"/>
      <c r="AX49" s="9"/>
      <c r="BB49" s="9"/>
      <c r="BF49" s="9"/>
      <c r="BJ49" s="9"/>
      <c r="BN49" s="9"/>
      <c r="BR49" s="9"/>
      <c r="BV49" s="9"/>
      <c r="BZ49" s="9"/>
      <c r="CD49" s="9"/>
      <c r="CH49" s="9"/>
      <c r="CL49" s="9"/>
      <c r="CP49" s="9"/>
      <c r="CT49" s="9"/>
    </row>
    <row r="50" spans="1:98" ht="101.25" customHeight="1" x14ac:dyDescent="0.25">
      <c r="A50" s="10" t="s">
        <v>156</v>
      </c>
      <c r="B50" s="10" t="s">
        <v>3299</v>
      </c>
      <c r="C50" s="10" t="s">
        <v>3300</v>
      </c>
      <c r="D50" s="10">
        <v>221130008</v>
      </c>
      <c r="E50" s="10" t="s">
        <v>3423</v>
      </c>
      <c r="F50" s="50" t="s">
        <v>3431</v>
      </c>
      <c r="G50" s="10">
        <v>22258001</v>
      </c>
      <c r="H50" s="18" t="s">
        <v>3432</v>
      </c>
      <c r="I50" s="255">
        <v>779954239</v>
      </c>
      <c r="J50" s="459">
        <v>988105974</v>
      </c>
      <c r="K50" s="18" t="s">
        <v>3426</v>
      </c>
      <c r="L50" s="18">
        <v>61000</v>
      </c>
      <c r="M50" s="487">
        <v>63561</v>
      </c>
      <c r="N50" s="10"/>
      <c r="O50" s="10">
        <v>63561</v>
      </c>
      <c r="P50" s="10">
        <v>63561</v>
      </c>
      <c r="Q50" s="10" t="s">
        <v>3427</v>
      </c>
      <c r="R50" s="249" t="s">
        <v>3428</v>
      </c>
      <c r="S50" s="16"/>
      <c r="V50" s="9"/>
      <c r="W50" s="8"/>
      <c r="X50" s="8"/>
      <c r="Y50" s="8"/>
      <c r="Z50" s="8"/>
      <c r="AA50" s="8"/>
      <c r="AB50" s="8"/>
      <c r="AC50" s="8"/>
      <c r="AD50" s="8"/>
      <c r="AE50" s="8"/>
      <c r="AF50" s="8"/>
      <c r="AG50" s="8"/>
      <c r="AH50" s="8"/>
      <c r="AI50" s="8"/>
      <c r="AL50" s="9"/>
      <c r="AP50" s="9"/>
      <c r="AT50" s="9"/>
      <c r="AX50" s="9"/>
      <c r="BB50" s="9"/>
      <c r="BF50" s="9"/>
      <c r="BJ50" s="9"/>
      <c r="BN50" s="9"/>
      <c r="BR50" s="9"/>
      <c r="BV50" s="9"/>
      <c r="BZ50" s="9"/>
      <c r="CD50" s="9"/>
      <c r="CH50" s="9"/>
      <c r="CL50" s="9"/>
      <c r="CP50" s="9"/>
      <c r="CT50" s="9"/>
    </row>
    <row r="51" spans="1:98" ht="98.25" customHeight="1" x14ac:dyDescent="0.25">
      <c r="A51" s="10" t="s">
        <v>156</v>
      </c>
      <c r="B51" s="10" t="s">
        <v>3299</v>
      </c>
      <c r="C51" s="10" t="s">
        <v>3355</v>
      </c>
      <c r="D51" s="10">
        <v>221420007</v>
      </c>
      <c r="E51" s="10" t="s">
        <v>3356</v>
      </c>
      <c r="F51" s="50" t="s">
        <v>3433</v>
      </c>
      <c r="G51" s="10">
        <v>22032001</v>
      </c>
      <c r="H51" s="10" t="s">
        <v>3434</v>
      </c>
      <c r="I51" s="255">
        <v>-8009424956</v>
      </c>
      <c r="J51" s="459">
        <v>47384958579</v>
      </c>
      <c r="K51" s="10" t="s">
        <v>3435</v>
      </c>
      <c r="L51" s="10">
        <v>2</v>
      </c>
      <c r="M51" s="371">
        <v>6</v>
      </c>
      <c r="N51" s="10"/>
      <c r="O51" s="10">
        <v>6</v>
      </c>
      <c r="P51" s="10">
        <v>7</v>
      </c>
      <c r="Q51" s="10" t="s">
        <v>3436</v>
      </c>
      <c r="R51" s="484"/>
      <c r="S51" s="16"/>
      <c r="V51" s="9"/>
      <c r="W51" s="8"/>
      <c r="X51" s="8"/>
      <c r="Y51" s="8"/>
      <c r="Z51" s="8"/>
      <c r="AA51" s="8"/>
      <c r="AB51" s="8"/>
      <c r="AC51" s="8"/>
      <c r="AD51" s="8"/>
      <c r="AE51" s="8"/>
      <c r="AF51" s="8"/>
      <c r="AG51" s="8"/>
      <c r="AH51" s="8"/>
      <c r="AI51" s="8"/>
      <c r="AL51" s="9"/>
      <c r="AP51" s="9"/>
      <c r="AT51" s="9"/>
      <c r="AX51" s="9"/>
      <c r="BB51" s="9"/>
      <c r="BF51" s="9"/>
      <c r="BJ51" s="9"/>
      <c r="BN51" s="9"/>
      <c r="BR51" s="9"/>
      <c r="BV51" s="9"/>
      <c r="BZ51" s="9"/>
      <c r="CD51" s="9"/>
      <c r="CH51" s="9"/>
      <c r="CL51" s="9"/>
      <c r="CP51" s="9"/>
      <c r="CT51" s="9"/>
    </row>
    <row r="52" spans="1:98" ht="72.75" customHeight="1" x14ac:dyDescent="0.25">
      <c r="A52" s="10"/>
      <c r="B52" s="10"/>
      <c r="C52" s="10"/>
      <c r="D52" s="10"/>
      <c r="E52" s="10"/>
      <c r="F52" s="50"/>
      <c r="G52" s="10"/>
      <c r="H52" s="10"/>
      <c r="I52" s="177">
        <v>0</v>
      </c>
      <c r="J52" s="459"/>
      <c r="K52" s="10" t="s">
        <v>3437</v>
      </c>
      <c r="L52" s="10">
        <v>15</v>
      </c>
      <c r="M52" s="371">
        <v>6</v>
      </c>
      <c r="N52" s="10"/>
      <c r="O52" s="10">
        <v>2</v>
      </c>
      <c r="P52" s="10">
        <v>5</v>
      </c>
      <c r="Q52" s="10" t="s">
        <v>3438</v>
      </c>
      <c r="R52" s="484"/>
      <c r="S52" s="16"/>
      <c r="V52" s="9"/>
      <c r="W52" s="8"/>
      <c r="X52" s="8"/>
      <c r="Y52" s="8"/>
      <c r="Z52" s="8"/>
      <c r="AA52" s="8"/>
      <c r="AB52" s="8"/>
      <c r="AC52" s="8"/>
      <c r="AD52" s="8"/>
      <c r="AE52" s="8"/>
      <c r="AF52" s="8"/>
      <c r="AG52" s="8"/>
      <c r="AH52" s="8"/>
      <c r="AI52" s="8"/>
      <c r="AL52" s="9"/>
      <c r="AP52" s="9"/>
      <c r="AT52" s="9"/>
      <c r="AX52" s="9"/>
      <c r="BB52" s="9"/>
      <c r="BF52" s="9"/>
      <c r="BJ52" s="9"/>
      <c r="BN52" s="9"/>
      <c r="BR52" s="9"/>
      <c r="BV52" s="9"/>
      <c r="BZ52" s="9"/>
      <c r="CD52" s="9"/>
      <c r="CH52" s="9"/>
      <c r="CL52" s="9"/>
      <c r="CP52" s="9"/>
      <c r="CT52" s="9"/>
    </row>
    <row r="53" spans="1:98" ht="90" x14ac:dyDescent="0.25">
      <c r="A53" s="10"/>
      <c r="B53" s="10"/>
      <c r="C53" s="10"/>
      <c r="D53" s="10"/>
      <c r="E53" s="10"/>
      <c r="F53" s="50"/>
      <c r="G53" s="10"/>
      <c r="H53" s="10"/>
      <c r="I53" s="177">
        <v>0</v>
      </c>
      <c r="J53" s="459"/>
      <c r="K53" s="10" t="s">
        <v>3439</v>
      </c>
      <c r="L53" s="10">
        <v>220</v>
      </c>
      <c r="M53" s="371">
        <v>180</v>
      </c>
      <c r="N53" s="10"/>
      <c r="O53" s="10">
        <v>123</v>
      </c>
      <c r="P53" s="10">
        <v>212</v>
      </c>
      <c r="Q53" s="10" t="s">
        <v>3440</v>
      </c>
      <c r="R53" s="484"/>
      <c r="S53" s="16"/>
      <c r="V53" s="9"/>
      <c r="W53" s="8"/>
      <c r="X53" s="8"/>
      <c r="Y53" s="8"/>
      <c r="Z53" s="8"/>
      <c r="AA53" s="8"/>
      <c r="AB53" s="8"/>
      <c r="AC53" s="8"/>
      <c r="AD53" s="8"/>
      <c r="AE53" s="8"/>
      <c r="AF53" s="8"/>
      <c r="AG53" s="8"/>
      <c r="AH53" s="8"/>
      <c r="AI53" s="8"/>
      <c r="AL53" s="9"/>
      <c r="AP53" s="9"/>
      <c r="AT53" s="9"/>
      <c r="AX53" s="9"/>
      <c r="BB53" s="9"/>
      <c r="BF53" s="9"/>
      <c r="BJ53" s="9"/>
      <c r="BN53" s="9"/>
      <c r="BR53" s="9"/>
      <c r="BV53" s="9"/>
      <c r="BZ53" s="9"/>
      <c r="CD53" s="9"/>
      <c r="CH53" s="9"/>
      <c r="CL53" s="9"/>
      <c r="CP53" s="9"/>
      <c r="CT53" s="9"/>
    </row>
    <row r="54" spans="1:98" ht="180" x14ac:dyDescent="0.25">
      <c r="A54" s="10"/>
      <c r="B54" s="10"/>
      <c r="C54" s="10"/>
      <c r="D54" s="10"/>
      <c r="E54" s="10"/>
      <c r="F54" s="50"/>
      <c r="G54" s="10"/>
      <c r="H54" s="10"/>
      <c r="I54" s="177">
        <v>0</v>
      </c>
      <c r="J54" s="459"/>
      <c r="K54" s="10" t="s">
        <v>3441</v>
      </c>
      <c r="L54" s="10">
        <v>15</v>
      </c>
      <c r="M54" s="371">
        <v>13</v>
      </c>
      <c r="N54" s="10"/>
      <c r="O54" s="10">
        <v>6</v>
      </c>
      <c r="P54" s="10">
        <v>9</v>
      </c>
      <c r="Q54" s="10" t="s">
        <v>3442</v>
      </c>
      <c r="R54" s="484"/>
      <c r="S54" s="16"/>
      <c r="V54" s="9"/>
      <c r="W54" s="8"/>
      <c r="X54" s="8"/>
      <c r="Y54" s="8"/>
      <c r="Z54" s="8"/>
      <c r="AA54" s="8"/>
      <c r="AB54" s="8"/>
      <c r="AC54" s="8"/>
      <c r="AD54" s="8"/>
      <c r="AE54" s="8"/>
      <c r="AF54" s="8"/>
      <c r="AG54" s="8"/>
      <c r="AH54" s="8"/>
      <c r="AI54" s="8"/>
      <c r="AL54" s="9"/>
      <c r="AP54" s="9"/>
      <c r="AT54" s="9"/>
      <c r="AX54" s="9"/>
      <c r="BB54" s="9"/>
      <c r="BF54" s="9"/>
      <c r="BJ54" s="9"/>
      <c r="BN54" s="9"/>
      <c r="BR54" s="9"/>
      <c r="BV54" s="9"/>
      <c r="BZ54" s="9"/>
      <c r="CD54" s="9"/>
      <c r="CH54" s="9"/>
      <c r="CL54" s="9"/>
      <c r="CP54" s="9"/>
      <c r="CT54" s="9"/>
    </row>
    <row r="55" spans="1:98" ht="80.25" customHeight="1" x14ac:dyDescent="0.25">
      <c r="A55" s="10" t="s">
        <v>156</v>
      </c>
      <c r="B55" s="10" t="s">
        <v>3299</v>
      </c>
      <c r="C55" s="10" t="s">
        <v>3389</v>
      </c>
      <c r="D55" s="10">
        <v>221710007</v>
      </c>
      <c r="E55" s="10" t="s">
        <v>3390</v>
      </c>
      <c r="F55" s="50" t="s">
        <v>3443</v>
      </c>
      <c r="G55" s="10">
        <v>22319001</v>
      </c>
      <c r="H55" s="10" t="s">
        <v>3444</v>
      </c>
      <c r="I55" s="255">
        <v>9000000000</v>
      </c>
      <c r="J55" s="459">
        <v>7300000000</v>
      </c>
      <c r="K55" s="10" t="s">
        <v>3445</v>
      </c>
      <c r="L55" s="10">
        <v>178000</v>
      </c>
      <c r="M55" s="10">
        <v>174500</v>
      </c>
      <c r="N55" s="10"/>
      <c r="O55" s="49">
        <v>173407</v>
      </c>
      <c r="P55" s="140">
        <v>176298</v>
      </c>
      <c r="Q55" s="151" t="s">
        <v>3446</v>
      </c>
      <c r="R55" s="249"/>
      <c r="S55" s="16"/>
      <c r="V55" s="9"/>
      <c r="W55" s="8"/>
      <c r="X55" s="8"/>
      <c r="Y55" s="8"/>
      <c r="Z55" s="8"/>
      <c r="AA55" s="8"/>
      <c r="AB55" s="8"/>
      <c r="AC55" s="8"/>
      <c r="AD55" s="8"/>
      <c r="AE55" s="8"/>
      <c r="AF55" s="8"/>
      <c r="AG55" s="8"/>
      <c r="AH55" s="8"/>
      <c r="AI55" s="8"/>
      <c r="AL55" s="9"/>
      <c r="AP55" s="9"/>
      <c r="AT55" s="9"/>
      <c r="AX55" s="9"/>
      <c r="BB55" s="9"/>
      <c r="BF55" s="9"/>
      <c r="BJ55" s="9"/>
      <c r="BN55" s="9"/>
      <c r="BR55" s="9"/>
      <c r="BV55" s="9"/>
      <c r="BZ55" s="9"/>
      <c r="CD55" s="9"/>
      <c r="CH55" s="9"/>
      <c r="CL55" s="9"/>
      <c r="CP55" s="9"/>
      <c r="CT55" s="9"/>
    </row>
    <row r="56" spans="1:98" ht="44.25" customHeight="1" x14ac:dyDescent="0.25">
      <c r="A56" s="10"/>
      <c r="B56" s="10"/>
      <c r="C56" s="10"/>
      <c r="D56" s="10"/>
      <c r="E56" s="10"/>
      <c r="F56" s="50"/>
      <c r="G56" s="10"/>
      <c r="H56" s="10"/>
      <c r="I56" s="177">
        <v>0</v>
      </c>
      <c r="J56" s="459"/>
      <c r="K56" s="10" t="s">
        <v>3447</v>
      </c>
      <c r="L56" s="10">
        <v>60000</v>
      </c>
      <c r="M56" s="10">
        <v>54500</v>
      </c>
      <c r="N56" s="10"/>
      <c r="O56" s="49">
        <v>53624</v>
      </c>
      <c r="P56" s="140">
        <v>57856</v>
      </c>
      <c r="Q56" s="151" t="s">
        <v>3448</v>
      </c>
      <c r="R56" s="249"/>
      <c r="S56" s="16"/>
      <c r="V56" s="9"/>
      <c r="W56" s="8"/>
      <c r="X56" s="8"/>
      <c r="Y56" s="8"/>
      <c r="Z56" s="8"/>
      <c r="AA56" s="8"/>
      <c r="AB56" s="8"/>
      <c r="AC56" s="8"/>
      <c r="AD56" s="8"/>
      <c r="AE56" s="8"/>
      <c r="AF56" s="8"/>
      <c r="AG56" s="8"/>
      <c r="AH56" s="8"/>
      <c r="AI56" s="8"/>
      <c r="AL56" s="9"/>
      <c r="AP56" s="9"/>
      <c r="AT56" s="9"/>
      <c r="AX56" s="9"/>
      <c r="BB56" s="9"/>
      <c r="BF56" s="9"/>
      <c r="BJ56" s="9"/>
      <c r="BN56" s="9"/>
      <c r="BR56" s="9"/>
      <c r="BV56" s="9"/>
      <c r="BZ56" s="9"/>
      <c r="CD56" s="9"/>
      <c r="CH56" s="9"/>
      <c r="CL56" s="9"/>
      <c r="CP56" s="9"/>
      <c r="CT56" s="9"/>
    </row>
    <row r="57" spans="1:98" ht="159" customHeight="1" x14ac:dyDescent="0.25">
      <c r="A57" s="10" t="s">
        <v>156</v>
      </c>
      <c r="B57" s="10" t="s">
        <v>3299</v>
      </c>
      <c r="C57" s="10" t="s">
        <v>3389</v>
      </c>
      <c r="D57" s="10">
        <v>221710001</v>
      </c>
      <c r="E57" s="10" t="s">
        <v>3390</v>
      </c>
      <c r="F57" s="50" t="s">
        <v>3449</v>
      </c>
      <c r="G57" s="10">
        <v>22192001</v>
      </c>
      <c r="H57" s="10" t="s">
        <v>3450</v>
      </c>
      <c r="I57" s="255">
        <v>2266584102</v>
      </c>
      <c r="J57" s="459">
        <v>2266584102</v>
      </c>
      <c r="K57" s="10" t="s">
        <v>3451</v>
      </c>
      <c r="L57" s="10">
        <v>525000</v>
      </c>
      <c r="M57" s="10">
        <v>503000</v>
      </c>
      <c r="N57" s="10"/>
      <c r="O57" s="49">
        <v>502029</v>
      </c>
      <c r="P57" s="10">
        <v>491329</v>
      </c>
      <c r="Q57" s="10" t="s">
        <v>3452</v>
      </c>
      <c r="R57" s="249"/>
      <c r="S57" s="16"/>
      <c r="V57" s="9"/>
      <c r="W57" s="8"/>
      <c r="X57" s="8"/>
      <c r="Y57" s="8"/>
      <c r="Z57" s="8"/>
      <c r="AA57" s="8"/>
      <c r="AB57" s="8"/>
      <c r="AC57" s="8"/>
      <c r="AD57" s="8"/>
      <c r="AE57" s="8"/>
      <c r="AF57" s="8"/>
      <c r="AG57" s="8"/>
      <c r="AH57" s="8"/>
      <c r="AI57" s="8"/>
      <c r="AL57" s="9"/>
      <c r="AP57" s="9"/>
      <c r="AT57" s="9"/>
      <c r="AX57" s="9"/>
      <c r="BB57" s="9"/>
      <c r="BF57" s="9"/>
      <c r="BJ57" s="9"/>
      <c r="BN57" s="9"/>
      <c r="BR57" s="9"/>
      <c r="BV57" s="9"/>
      <c r="BZ57" s="9"/>
      <c r="CD57" s="9"/>
      <c r="CH57" s="9"/>
      <c r="CL57" s="9"/>
      <c r="CP57" s="9"/>
      <c r="CT57" s="9"/>
    </row>
    <row r="58" spans="1:98" ht="54" customHeight="1" x14ac:dyDescent="0.25">
      <c r="A58" s="10"/>
      <c r="B58" s="10"/>
      <c r="C58" s="10"/>
      <c r="D58" s="10"/>
      <c r="E58" s="10"/>
      <c r="F58" s="50"/>
      <c r="G58" s="10"/>
      <c r="H58" s="10"/>
      <c r="I58" s="177">
        <v>0</v>
      </c>
      <c r="J58" s="459"/>
      <c r="K58" s="10" t="s">
        <v>3453</v>
      </c>
      <c r="L58" s="10">
        <v>8000</v>
      </c>
      <c r="M58" s="10">
        <v>32000</v>
      </c>
      <c r="N58" s="10"/>
      <c r="O58" s="49">
        <v>15333</v>
      </c>
      <c r="P58" s="10">
        <v>30407</v>
      </c>
      <c r="Q58" s="10" t="s">
        <v>3454</v>
      </c>
      <c r="R58" s="249"/>
      <c r="S58" s="16"/>
      <c r="V58" s="9"/>
      <c r="W58" s="8"/>
      <c r="X58" s="8"/>
      <c r="Y58" s="8"/>
      <c r="Z58" s="8"/>
      <c r="AA58" s="8"/>
      <c r="AB58" s="8"/>
      <c r="AC58" s="8"/>
      <c r="AD58" s="8"/>
      <c r="AE58" s="8"/>
      <c r="AF58" s="8"/>
      <c r="AG58" s="8"/>
      <c r="AH58" s="8"/>
      <c r="AI58" s="8"/>
      <c r="AL58" s="9"/>
      <c r="AP58" s="9"/>
      <c r="AT58" s="9"/>
      <c r="AX58" s="9"/>
      <c r="BB58" s="9"/>
      <c r="BF58" s="9"/>
      <c r="BJ58" s="9"/>
      <c r="BN58" s="9"/>
      <c r="BR58" s="9"/>
      <c r="BV58" s="9"/>
      <c r="BZ58" s="9"/>
      <c r="CD58" s="9"/>
      <c r="CH58" s="9"/>
      <c r="CL58" s="9"/>
      <c r="CP58" s="9"/>
      <c r="CT58" s="9"/>
    </row>
    <row r="59" spans="1:98" ht="96.75" customHeight="1" x14ac:dyDescent="0.25">
      <c r="A59" s="10" t="s">
        <v>156</v>
      </c>
      <c r="B59" s="10" t="s">
        <v>3299</v>
      </c>
      <c r="C59" s="10" t="s">
        <v>3389</v>
      </c>
      <c r="D59" s="10">
        <v>221710000</v>
      </c>
      <c r="E59" s="10" t="s">
        <v>3390</v>
      </c>
      <c r="F59" s="50" t="s">
        <v>3455</v>
      </c>
      <c r="G59" s="10">
        <v>22210001</v>
      </c>
      <c r="H59" s="10" t="s">
        <v>3456</v>
      </c>
      <c r="I59" s="255">
        <v>4000000000</v>
      </c>
      <c r="J59" s="459">
        <v>500000000</v>
      </c>
      <c r="K59" s="10" t="s">
        <v>3457</v>
      </c>
      <c r="L59" s="10">
        <v>30500</v>
      </c>
      <c r="M59" s="10">
        <v>38000</v>
      </c>
      <c r="N59" s="10"/>
      <c r="O59" s="49">
        <v>34490</v>
      </c>
      <c r="P59" s="10">
        <v>40274</v>
      </c>
      <c r="Q59" s="10" t="s">
        <v>3458</v>
      </c>
      <c r="R59" s="249"/>
      <c r="S59" s="16"/>
      <c r="V59" s="9"/>
      <c r="W59" s="8"/>
      <c r="X59" s="8"/>
      <c r="Y59" s="8"/>
      <c r="Z59" s="8"/>
      <c r="AA59" s="8"/>
      <c r="AB59" s="8"/>
      <c r="AC59" s="8"/>
      <c r="AD59" s="8"/>
      <c r="AE59" s="8"/>
      <c r="AF59" s="8"/>
      <c r="AG59" s="8"/>
      <c r="AH59" s="8"/>
      <c r="AI59" s="8"/>
      <c r="AL59" s="9"/>
      <c r="AP59" s="9"/>
      <c r="AT59" s="9"/>
      <c r="AX59" s="9"/>
      <c r="BB59" s="9"/>
      <c r="BF59" s="9"/>
      <c r="BJ59" s="9"/>
      <c r="BN59" s="9"/>
      <c r="BR59" s="9"/>
      <c r="BV59" s="9"/>
      <c r="BZ59" s="9"/>
      <c r="CD59" s="9"/>
      <c r="CH59" s="9"/>
      <c r="CL59" s="9"/>
      <c r="CP59" s="9"/>
      <c r="CT59" s="9"/>
    </row>
    <row r="60" spans="1:98" ht="120.75" customHeight="1" x14ac:dyDescent="0.25">
      <c r="A60" s="10" t="s">
        <v>156</v>
      </c>
      <c r="B60" s="10" t="s">
        <v>3299</v>
      </c>
      <c r="C60" s="10" t="s">
        <v>3389</v>
      </c>
      <c r="D60" s="10">
        <v>221710005</v>
      </c>
      <c r="E60" s="10" t="s">
        <v>3390</v>
      </c>
      <c r="F60" s="50" t="s">
        <v>3459</v>
      </c>
      <c r="G60" s="10">
        <v>22180001</v>
      </c>
      <c r="H60" s="10" t="s">
        <v>3460</v>
      </c>
      <c r="I60" s="177">
        <v>0</v>
      </c>
      <c r="J60" s="459">
        <v>0</v>
      </c>
      <c r="K60" s="10" t="s">
        <v>3461</v>
      </c>
      <c r="L60" s="10">
        <v>10</v>
      </c>
      <c r="M60" s="10">
        <v>0</v>
      </c>
      <c r="N60" s="10"/>
      <c r="O60" s="10">
        <v>0</v>
      </c>
      <c r="P60" s="10">
        <v>0</v>
      </c>
      <c r="Q60" s="10" t="s">
        <v>3462</v>
      </c>
      <c r="R60" s="249" t="s">
        <v>3463</v>
      </c>
      <c r="S60" s="16"/>
      <c r="V60" s="9"/>
      <c r="W60" s="8"/>
      <c r="X60" s="8"/>
      <c r="Y60" s="8"/>
      <c r="Z60" s="8"/>
      <c r="AA60" s="8"/>
      <c r="AB60" s="8"/>
      <c r="AC60" s="8"/>
      <c r="AD60" s="8"/>
      <c r="AE60" s="8"/>
      <c r="AF60" s="8"/>
      <c r="AG60" s="8"/>
      <c r="AH60" s="8"/>
      <c r="AI60" s="8"/>
      <c r="AL60" s="9"/>
      <c r="AP60" s="9"/>
      <c r="AT60" s="9"/>
      <c r="AX60" s="9"/>
      <c r="BB60" s="9"/>
      <c r="BF60" s="9"/>
      <c r="BJ60" s="9"/>
      <c r="BN60" s="9"/>
      <c r="BR60" s="9"/>
      <c r="BV60" s="9"/>
      <c r="BZ60" s="9"/>
      <c r="CD60" s="9"/>
      <c r="CH60" s="9"/>
      <c r="CL60" s="9"/>
      <c r="CP60" s="9"/>
      <c r="CT60" s="9"/>
    </row>
    <row r="61" spans="1:98" ht="95.25" customHeight="1" x14ac:dyDescent="0.25">
      <c r="A61" s="10" t="s">
        <v>156</v>
      </c>
      <c r="B61" s="10" t="s">
        <v>3299</v>
      </c>
      <c r="C61" s="10" t="s">
        <v>3389</v>
      </c>
      <c r="D61" s="10">
        <v>221710000</v>
      </c>
      <c r="E61" s="10" t="s">
        <v>3390</v>
      </c>
      <c r="F61" s="50" t="s">
        <v>3464</v>
      </c>
      <c r="G61" s="10">
        <v>22029001</v>
      </c>
      <c r="H61" s="10" t="s">
        <v>3465</v>
      </c>
      <c r="I61" s="255">
        <v>8375309457</v>
      </c>
      <c r="J61" s="459">
        <v>2905550368</v>
      </c>
      <c r="K61" s="10" t="s">
        <v>3466</v>
      </c>
      <c r="L61" s="10">
        <v>464</v>
      </c>
      <c r="M61" s="18">
        <v>536</v>
      </c>
      <c r="N61" s="10"/>
      <c r="O61" s="49">
        <v>536</v>
      </c>
      <c r="P61" s="10">
        <v>536</v>
      </c>
      <c r="Q61" s="10" t="s">
        <v>3467</v>
      </c>
      <c r="R61" s="249"/>
      <c r="S61" s="16"/>
      <c r="V61" s="9"/>
      <c r="W61" s="8"/>
      <c r="X61" s="8"/>
      <c r="Y61" s="8"/>
      <c r="Z61" s="8"/>
      <c r="AA61" s="8"/>
      <c r="AB61" s="8"/>
      <c r="AC61" s="8"/>
      <c r="AD61" s="8"/>
      <c r="AE61" s="8"/>
      <c r="AF61" s="8"/>
      <c r="AG61" s="8"/>
      <c r="AH61" s="8"/>
      <c r="AI61" s="8"/>
      <c r="AL61" s="9"/>
      <c r="AP61" s="9"/>
      <c r="AT61" s="9"/>
      <c r="AX61" s="9"/>
      <c r="BB61" s="9"/>
      <c r="BF61" s="9"/>
      <c r="BJ61" s="9"/>
      <c r="BN61" s="9"/>
      <c r="BR61" s="9"/>
      <c r="BV61" s="9"/>
      <c r="BZ61" s="9"/>
      <c r="CD61" s="9"/>
      <c r="CH61" s="9"/>
      <c r="CL61" s="9"/>
      <c r="CP61" s="9"/>
      <c r="CT61" s="9"/>
    </row>
    <row r="62" spans="1:98" ht="80.25" customHeight="1" x14ac:dyDescent="0.25">
      <c r="A62" s="10" t="s">
        <v>156</v>
      </c>
      <c r="B62" s="10" t="s">
        <v>3299</v>
      </c>
      <c r="C62" s="10" t="s">
        <v>3389</v>
      </c>
      <c r="D62" s="10">
        <v>221710000</v>
      </c>
      <c r="E62" s="10" t="s">
        <v>3390</v>
      </c>
      <c r="F62" s="50" t="s">
        <v>3468</v>
      </c>
      <c r="G62" s="10">
        <v>22131001</v>
      </c>
      <c r="H62" s="10" t="s">
        <v>3469</v>
      </c>
      <c r="I62" s="255">
        <v>68422561078</v>
      </c>
      <c r="J62" s="459">
        <v>80292320167</v>
      </c>
      <c r="K62" s="10" t="s">
        <v>3466</v>
      </c>
      <c r="L62" s="10">
        <v>464</v>
      </c>
      <c r="M62" s="487">
        <v>536</v>
      </c>
      <c r="N62" s="10"/>
      <c r="O62" s="49">
        <v>536</v>
      </c>
      <c r="P62" s="10">
        <v>536</v>
      </c>
      <c r="Q62" s="10"/>
      <c r="R62" s="249"/>
      <c r="S62" s="16"/>
      <c r="V62" s="9"/>
      <c r="W62" s="8"/>
      <c r="X62" s="8"/>
      <c r="Y62" s="8"/>
      <c r="Z62" s="8"/>
      <c r="AA62" s="8"/>
      <c r="AB62" s="8"/>
      <c r="AC62" s="8"/>
      <c r="AD62" s="8"/>
      <c r="AE62" s="8"/>
      <c r="AF62" s="8"/>
      <c r="AG62" s="8"/>
      <c r="AH62" s="8"/>
      <c r="AI62" s="8"/>
      <c r="AL62" s="9"/>
      <c r="AP62" s="9"/>
      <c r="AT62" s="9"/>
      <c r="AX62" s="9"/>
      <c r="BB62" s="9"/>
      <c r="BF62" s="9"/>
      <c r="BJ62" s="9"/>
      <c r="BN62" s="9"/>
      <c r="BR62" s="9"/>
      <c r="BV62" s="9"/>
      <c r="BZ62" s="9"/>
      <c r="CD62" s="9"/>
      <c r="CH62" s="9"/>
      <c r="CL62" s="9"/>
      <c r="CP62" s="9"/>
      <c r="CT62" s="9"/>
    </row>
    <row r="63" spans="1:98" ht="95.25" customHeight="1" x14ac:dyDescent="0.25">
      <c r="A63" s="10" t="s">
        <v>156</v>
      </c>
      <c r="B63" s="10" t="s">
        <v>982</v>
      </c>
      <c r="C63" s="10" t="s">
        <v>3409</v>
      </c>
      <c r="D63" s="10">
        <v>222930000</v>
      </c>
      <c r="E63" s="10" t="s">
        <v>3470</v>
      </c>
      <c r="F63" s="50" t="s">
        <v>3471</v>
      </c>
      <c r="G63" s="10">
        <v>29159001</v>
      </c>
      <c r="H63" s="10" t="s">
        <v>3472</v>
      </c>
      <c r="I63" s="255">
        <v>11188739199</v>
      </c>
      <c r="J63" s="459">
        <v>12110102811</v>
      </c>
      <c r="K63" s="10" t="s">
        <v>3473</v>
      </c>
      <c r="L63" s="10">
        <v>2523</v>
      </c>
      <c r="M63" s="371">
        <v>2262</v>
      </c>
      <c r="N63" s="10"/>
      <c r="O63" s="49">
        <v>2262</v>
      </c>
      <c r="P63" s="10">
        <v>1952</v>
      </c>
      <c r="Q63" s="18" t="s">
        <v>3474</v>
      </c>
      <c r="R63" s="249"/>
      <c r="S63" s="16"/>
      <c r="V63" s="9"/>
      <c r="W63" s="8"/>
      <c r="X63" s="8"/>
      <c r="Y63" s="8"/>
      <c r="Z63" s="8"/>
      <c r="AA63" s="8"/>
      <c r="AB63" s="8"/>
      <c r="AC63" s="8"/>
      <c r="AD63" s="8"/>
      <c r="AE63" s="8"/>
      <c r="AF63" s="8"/>
      <c r="AG63" s="8"/>
      <c r="AH63" s="8"/>
      <c r="AI63" s="8"/>
      <c r="AL63" s="9"/>
      <c r="AP63" s="9"/>
      <c r="AT63" s="9"/>
      <c r="AX63" s="9"/>
      <c r="BB63" s="9"/>
      <c r="BF63" s="9"/>
      <c r="BJ63" s="9"/>
      <c r="BN63" s="9"/>
      <c r="BR63" s="9"/>
      <c r="BV63" s="9"/>
      <c r="BZ63" s="9"/>
      <c r="CD63" s="9"/>
      <c r="CH63" s="9"/>
      <c r="CL63" s="9"/>
      <c r="CP63" s="9"/>
      <c r="CT63" s="9"/>
    </row>
    <row r="64" spans="1:98" ht="45" x14ac:dyDescent="0.25">
      <c r="A64" s="10"/>
      <c r="B64" s="10"/>
      <c r="C64" s="10"/>
      <c r="D64" s="10"/>
      <c r="E64" s="10"/>
      <c r="F64" s="50"/>
      <c r="G64" s="10"/>
      <c r="H64" s="10"/>
      <c r="I64" s="177">
        <v>0</v>
      </c>
      <c r="J64" s="459"/>
      <c r="K64" s="10" t="s">
        <v>3475</v>
      </c>
      <c r="L64" s="10">
        <v>130</v>
      </c>
      <c r="M64" s="371">
        <v>135</v>
      </c>
      <c r="N64" s="10"/>
      <c r="O64" s="49">
        <v>75</v>
      </c>
      <c r="P64" s="140">
        <v>274</v>
      </c>
      <c r="Q64" s="151" t="s">
        <v>3476</v>
      </c>
      <c r="R64" s="249" t="s">
        <v>3477</v>
      </c>
      <c r="S64" s="16"/>
      <c r="V64" s="9"/>
      <c r="W64" s="8"/>
      <c r="X64" s="8"/>
      <c r="Y64" s="8"/>
      <c r="Z64" s="8"/>
      <c r="AA64" s="8"/>
      <c r="AB64" s="8"/>
      <c r="AC64" s="8"/>
      <c r="AD64" s="8"/>
      <c r="AE64" s="8"/>
      <c r="AF64" s="8"/>
      <c r="AG64" s="8"/>
      <c r="AH64" s="8"/>
      <c r="AI64" s="8"/>
      <c r="AL64" s="9"/>
      <c r="AP64" s="9"/>
      <c r="AT64" s="9"/>
      <c r="AX64" s="9"/>
      <c r="BB64" s="9"/>
      <c r="BF64" s="9"/>
      <c r="BJ64" s="9"/>
      <c r="BN64" s="9"/>
      <c r="BR64" s="9"/>
      <c r="BV64" s="9"/>
      <c r="BZ64" s="9"/>
      <c r="CD64" s="9"/>
      <c r="CH64" s="9"/>
      <c r="CL64" s="9"/>
      <c r="CP64" s="9"/>
      <c r="CT64" s="9"/>
    </row>
    <row r="65" spans="1:98" ht="39" customHeight="1" x14ac:dyDescent="0.25">
      <c r="A65" s="10"/>
      <c r="B65" s="10"/>
      <c r="C65" s="10"/>
      <c r="D65" s="10"/>
      <c r="E65" s="10"/>
      <c r="F65" s="50"/>
      <c r="G65" s="10"/>
      <c r="H65" s="10"/>
      <c r="I65" s="177">
        <v>0</v>
      </c>
      <c r="J65" s="459"/>
      <c r="K65" s="10" t="s">
        <v>3478</v>
      </c>
      <c r="L65" s="10">
        <v>230</v>
      </c>
      <c r="M65" s="371">
        <v>230</v>
      </c>
      <c r="N65" s="10"/>
      <c r="O65" s="49">
        <v>230</v>
      </c>
      <c r="P65" s="10">
        <v>230</v>
      </c>
      <c r="Q65" s="10"/>
      <c r="R65" s="249"/>
      <c r="S65" s="16"/>
      <c r="V65" s="9"/>
      <c r="W65" s="8"/>
      <c r="X65" s="8"/>
      <c r="Y65" s="8"/>
      <c r="Z65" s="8"/>
      <c r="AA65" s="8"/>
      <c r="AB65" s="8"/>
      <c r="AC65" s="8"/>
      <c r="AD65" s="8"/>
      <c r="AE65" s="8"/>
      <c r="AF65" s="8"/>
      <c r="AG65" s="8"/>
      <c r="AH65" s="8"/>
      <c r="AI65" s="8"/>
      <c r="AL65" s="9"/>
      <c r="AP65" s="9"/>
      <c r="AT65" s="9"/>
      <c r="AX65" s="9"/>
      <c r="BB65" s="9"/>
      <c r="BF65" s="9"/>
      <c r="BJ65" s="9"/>
      <c r="BN65" s="9"/>
      <c r="BR65" s="9"/>
      <c r="BV65" s="9"/>
      <c r="BZ65" s="9"/>
      <c r="CD65" s="9"/>
      <c r="CH65" s="9"/>
      <c r="CL65" s="9"/>
      <c r="CP65" s="9"/>
      <c r="CT65" s="9"/>
    </row>
    <row r="66" spans="1:98" ht="121.5" customHeight="1" x14ac:dyDescent="0.25">
      <c r="A66" s="10" t="s">
        <v>156</v>
      </c>
      <c r="B66" s="10" t="s">
        <v>3299</v>
      </c>
      <c r="C66" s="10" t="s">
        <v>3332</v>
      </c>
      <c r="D66" s="10">
        <v>221310000</v>
      </c>
      <c r="E66" s="10" t="s">
        <v>3333</v>
      </c>
      <c r="F66" s="50" t="s">
        <v>3479</v>
      </c>
      <c r="G66" s="10">
        <v>22209001</v>
      </c>
      <c r="H66" s="18" t="s">
        <v>3480</v>
      </c>
      <c r="I66" s="255">
        <v>600000000</v>
      </c>
      <c r="J66" s="459">
        <v>600000000</v>
      </c>
      <c r="K66" s="18" t="s">
        <v>3337</v>
      </c>
      <c r="L66" s="18">
        <v>150</v>
      </c>
      <c r="M66" s="10">
        <v>150</v>
      </c>
      <c r="N66" s="10"/>
      <c r="O66" s="18">
        <v>0</v>
      </c>
      <c r="P66" s="140">
        <v>204</v>
      </c>
      <c r="Q66" s="490" t="s">
        <v>3481</v>
      </c>
      <c r="R66" s="250" t="s">
        <v>3482</v>
      </c>
      <c r="S66" s="16"/>
      <c r="V66" s="9"/>
      <c r="W66" s="8"/>
      <c r="X66" s="8"/>
      <c r="Y66" s="8"/>
      <c r="Z66" s="8"/>
      <c r="AA66" s="8"/>
      <c r="AB66" s="8"/>
      <c r="AC66" s="8"/>
      <c r="AD66" s="8"/>
      <c r="AE66" s="8"/>
      <c r="AF66" s="8"/>
      <c r="AG66" s="8"/>
      <c r="AH66" s="8"/>
      <c r="AI66" s="8"/>
      <c r="AL66" s="9"/>
      <c r="AP66" s="9"/>
      <c r="AT66" s="9"/>
      <c r="AX66" s="9"/>
      <c r="BB66" s="9"/>
      <c r="BF66" s="9"/>
      <c r="BJ66" s="9"/>
      <c r="BN66" s="9"/>
      <c r="BR66" s="9"/>
      <c r="BV66" s="9"/>
      <c r="BZ66" s="9"/>
      <c r="CD66" s="9"/>
      <c r="CH66" s="9"/>
      <c r="CL66" s="9"/>
      <c r="CP66" s="9"/>
      <c r="CT66" s="9"/>
    </row>
    <row r="67" spans="1:98" ht="152.25" customHeight="1" x14ac:dyDescent="0.25">
      <c r="A67" s="10" t="s">
        <v>156</v>
      </c>
      <c r="B67" s="10" t="s">
        <v>3299</v>
      </c>
      <c r="C67" s="10" t="s">
        <v>3332</v>
      </c>
      <c r="D67" s="10">
        <v>221320000</v>
      </c>
      <c r="E67" s="10" t="s">
        <v>3483</v>
      </c>
      <c r="F67" s="50" t="s">
        <v>3484</v>
      </c>
      <c r="G67" s="10">
        <v>22136001</v>
      </c>
      <c r="H67" s="10" t="s">
        <v>3485</v>
      </c>
      <c r="I67" s="177">
        <v>0</v>
      </c>
      <c r="J67" s="459">
        <v>-500000000</v>
      </c>
      <c r="K67" s="10" t="s">
        <v>3486</v>
      </c>
      <c r="L67" s="10">
        <v>2000</v>
      </c>
      <c r="M67" s="371">
        <v>2000</v>
      </c>
      <c r="N67" s="10"/>
      <c r="O67" s="10">
        <v>0</v>
      </c>
      <c r="P67" s="18">
        <v>250</v>
      </c>
      <c r="Q67" s="18" t="s">
        <v>3487</v>
      </c>
      <c r="R67" s="249"/>
      <c r="S67" s="16"/>
      <c r="V67" s="9"/>
      <c r="W67" s="8"/>
      <c r="X67" s="8"/>
      <c r="Y67" s="8"/>
      <c r="Z67" s="8"/>
      <c r="AA67" s="8"/>
      <c r="AB67" s="8"/>
      <c r="AC67" s="8"/>
      <c r="AD67" s="8"/>
      <c r="AE67" s="8"/>
      <c r="AF67" s="8"/>
      <c r="AG67" s="8"/>
      <c r="AH67" s="8"/>
      <c r="AI67" s="8"/>
      <c r="AL67" s="9"/>
      <c r="AP67" s="9"/>
      <c r="AT67" s="9"/>
      <c r="AX67" s="9"/>
      <c r="BB67" s="9"/>
      <c r="BF67" s="9"/>
      <c r="BJ67" s="9"/>
      <c r="BN67" s="9"/>
      <c r="BR67" s="9"/>
      <c r="BV67" s="9"/>
      <c r="BZ67" s="9"/>
      <c r="CD67" s="9"/>
      <c r="CH67" s="9"/>
      <c r="CL67" s="9"/>
      <c r="CP67" s="9"/>
      <c r="CT67" s="9"/>
    </row>
    <row r="68" spans="1:98" ht="102" x14ac:dyDescent="0.25">
      <c r="A68" s="10"/>
      <c r="B68" s="10"/>
      <c r="C68" s="10"/>
      <c r="D68" s="10"/>
      <c r="E68" s="10"/>
      <c r="F68" s="50"/>
      <c r="G68" s="10"/>
      <c r="H68" s="10"/>
      <c r="I68" s="177">
        <v>0</v>
      </c>
      <c r="J68" s="459"/>
      <c r="K68" s="10" t="s">
        <v>3488</v>
      </c>
      <c r="L68" s="10">
        <v>1000</v>
      </c>
      <c r="M68" s="371">
        <v>600</v>
      </c>
      <c r="N68" s="10"/>
      <c r="O68" s="10">
        <v>5</v>
      </c>
      <c r="P68" s="140">
        <v>10</v>
      </c>
      <c r="Q68" s="490" t="s">
        <v>3489</v>
      </c>
      <c r="R68" s="249"/>
      <c r="S68" s="16"/>
      <c r="V68" s="9"/>
      <c r="W68" s="8"/>
      <c r="X68" s="8"/>
      <c r="Y68" s="8"/>
      <c r="Z68" s="8"/>
      <c r="AA68" s="8"/>
      <c r="AB68" s="8"/>
      <c r="AC68" s="8"/>
      <c r="AD68" s="8"/>
      <c r="AE68" s="8"/>
      <c r="AF68" s="8"/>
      <c r="AG68" s="8"/>
      <c r="AH68" s="8"/>
      <c r="AI68" s="8"/>
      <c r="AL68" s="9"/>
      <c r="AP68" s="9"/>
      <c r="AT68" s="9"/>
      <c r="AX68" s="9"/>
      <c r="BB68" s="9"/>
      <c r="BF68" s="9"/>
      <c r="BJ68" s="9"/>
      <c r="BN68" s="9"/>
      <c r="BR68" s="9"/>
      <c r="BV68" s="9"/>
      <c r="BZ68" s="9"/>
      <c r="CD68" s="9"/>
      <c r="CH68" s="9"/>
      <c r="CL68" s="9"/>
      <c r="CP68" s="9"/>
      <c r="CT68" s="9"/>
    </row>
    <row r="69" spans="1:98" ht="78" customHeight="1" x14ac:dyDescent="0.25">
      <c r="A69" s="10"/>
      <c r="B69" s="10"/>
      <c r="C69" s="10"/>
      <c r="D69" s="10"/>
      <c r="E69" s="10"/>
      <c r="F69" s="50"/>
      <c r="G69" s="10"/>
      <c r="H69" s="10"/>
      <c r="I69" s="177">
        <v>0</v>
      </c>
      <c r="J69" s="459"/>
      <c r="K69" s="10" t="s">
        <v>3490</v>
      </c>
      <c r="L69" s="10">
        <v>10</v>
      </c>
      <c r="M69" s="371">
        <v>10</v>
      </c>
      <c r="N69" s="10"/>
      <c r="O69" s="10">
        <v>0</v>
      </c>
      <c r="P69" s="18">
        <v>21</v>
      </c>
      <c r="Q69" s="18" t="s">
        <v>3491</v>
      </c>
      <c r="R69" s="249"/>
      <c r="S69" s="16"/>
      <c r="V69" s="9"/>
      <c r="W69" s="8"/>
      <c r="X69" s="8"/>
      <c r="Y69" s="8"/>
      <c r="Z69" s="8"/>
      <c r="AA69" s="8"/>
      <c r="AB69" s="8"/>
      <c r="AC69" s="8"/>
      <c r="AD69" s="8"/>
      <c r="AE69" s="8"/>
      <c r="AF69" s="8"/>
      <c r="AG69" s="8"/>
      <c r="AH69" s="8"/>
      <c r="AI69" s="8"/>
      <c r="AL69" s="9"/>
      <c r="AP69" s="9"/>
      <c r="AT69" s="9"/>
      <c r="AX69" s="9"/>
      <c r="BB69" s="9"/>
      <c r="BF69" s="9"/>
      <c r="BJ69" s="9"/>
      <c r="BN69" s="9"/>
      <c r="BR69" s="9"/>
      <c r="BV69" s="9"/>
      <c r="BZ69" s="9"/>
      <c r="CD69" s="9"/>
      <c r="CH69" s="9"/>
      <c r="CL69" s="9"/>
      <c r="CP69" s="9"/>
      <c r="CT69" s="9"/>
    </row>
    <row r="70" spans="1:98" ht="129.75" customHeight="1" x14ac:dyDescent="0.25">
      <c r="A70" s="10" t="s">
        <v>156</v>
      </c>
      <c r="B70" s="10" t="s">
        <v>3299</v>
      </c>
      <c r="C70" s="10" t="s">
        <v>3300</v>
      </c>
      <c r="D70" s="10">
        <v>221110008</v>
      </c>
      <c r="E70" s="10" t="s">
        <v>3492</v>
      </c>
      <c r="F70" s="50" t="s">
        <v>3493</v>
      </c>
      <c r="G70" s="10">
        <v>22207001</v>
      </c>
      <c r="H70" s="10" t="s">
        <v>3494</v>
      </c>
      <c r="I70" s="177">
        <v>0</v>
      </c>
      <c r="J70" s="459">
        <v>-200</v>
      </c>
      <c r="K70" s="10" t="s">
        <v>3495</v>
      </c>
      <c r="L70" s="371">
        <v>2350</v>
      </c>
      <c r="M70" s="371">
        <v>2350</v>
      </c>
      <c r="N70" s="10"/>
      <c r="O70" s="10">
        <v>568</v>
      </c>
      <c r="P70" s="140">
        <v>3828</v>
      </c>
      <c r="Q70" s="151" t="s">
        <v>3496</v>
      </c>
      <c r="R70" s="249"/>
      <c r="S70" s="16"/>
      <c r="V70" s="9"/>
      <c r="W70" s="8"/>
      <c r="X70" s="8"/>
      <c r="Y70" s="8"/>
      <c r="Z70" s="8"/>
      <c r="AA70" s="8"/>
      <c r="AB70" s="8"/>
      <c r="AC70" s="8"/>
      <c r="AD70" s="8"/>
      <c r="AE70" s="8"/>
      <c r="AF70" s="8"/>
      <c r="AG70" s="8"/>
      <c r="AH70" s="8"/>
      <c r="AI70" s="8"/>
      <c r="AL70" s="9"/>
      <c r="AP70" s="9"/>
      <c r="AT70" s="9"/>
      <c r="AX70" s="9"/>
      <c r="BB70" s="9"/>
      <c r="BF70" s="9"/>
      <c r="BJ70" s="9"/>
      <c r="BN70" s="9"/>
      <c r="BR70" s="9"/>
      <c r="BV70" s="9"/>
      <c r="BZ70" s="9"/>
      <c r="CD70" s="9"/>
      <c r="CH70" s="9"/>
      <c r="CL70" s="9"/>
      <c r="CP70" s="9"/>
      <c r="CT70" s="9"/>
    </row>
    <row r="71" spans="1:98" ht="90.75" customHeight="1" x14ac:dyDescent="0.25">
      <c r="A71" s="10" t="s">
        <v>156</v>
      </c>
      <c r="B71" s="10" t="s">
        <v>3299</v>
      </c>
      <c r="C71" s="10" t="s">
        <v>3300</v>
      </c>
      <c r="D71" s="10">
        <v>221130008</v>
      </c>
      <c r="E71" s="10" t="s">
        <v>3423</v>
      </c>
      <c r="F71" s="50" t="s">
        <v>3497</v>
      </c>
      <c r="G71" s="10">
        <v>22257001</v>
      </c>
      <c r="H71" s="18" t="s">
        <v>3498</v>
      </c>
      <c r="I71" s="471">
        <v>0</v>
      </c>
      <c r="J71" s="459">
        <v>2450000000</v>
      </c>
      <c r="K71" s="18" t="s">
        <v>3426</v>
      </c>
      <c r="L71" s="18">
        <v>61000</v>
      </c>
      <c r="M71" s="487">
        <v>63561</v>
      </c>
      <c r="N71" s="10"/>
      <c r="O71" s="10">
        <v>63561</v>
      </c>
      <c r="P71" s="10">
        <v>63561</v>
      </c>
      <c r="Q71" s="10"/>
      <c r="R71" s="249" t="s">
        <v>3499</v>
      </c>
      <c r="S71" s="16"/>
      <c r="V71" s="9"/>
      <c r="W71" s="8"/>
      <c r="X71" s="8"/>
      <c r="Y71" s="8"/>
      <c r="Z71" s="8"/>
      <c r="AA71" s="8"/>
      <c r="AB71" s="8"/>
      <c r="AC71" s="8"/>
      <c r="AD71" s="8"/>
      <c r="AE71" s="8"/>
      <c r="AF71" s="8"/>
      <c r="AG71" s="8"/>
      <c r="AH71" s="8"/>
      <c r="AI71" s="8"/>
      <c r="AL71" s="9"/>
      <c r="AP71" s="9"/>
      <c r="AT71" s="9"/>
      <c r="AX71" s="9"/>
      <c r="BB71" s="9"/>
      <c r="BF71" s="9"/>
      <c r="BJ71" s="9"/>
      <c r="BN71" s="9"/>
      <c r="BR71" s="9"/>
      <c r="BV71" s="9"/>
      <c r="BZ71" s="9"/>
      <c r="CD71" s="9"/>
      <c r="CH71" s="9"/>
      <c r="CL71" s="9"/>
      <c r="CP71" s="9"/>
      <c r="CT71" s="9"/>
    </row>
    <row r="72" spans="1:98" ht="104.25" customHeight="1" x14ac:dyDescent="0.25">
      <c r="A72" s="10" t="s">
        <v>156</v>
      </c>
      <c r="B72" s="10" t="s">
        <v>3299</v>
      </c>
      <c r="C72" s="10" t="s">
        <v>3300</v>
      </c>
      <c r="D72" s="10">
        <v>221150008</v>
      </c>
      <c r="E72" s="10" t="s">
        <v>3500</v>
      </c>
      <c r="F72" s="50" t="s">
        <v>3501</v>
      </c>
      <c r="G72" s="10">
        <v>22218001</v>
      </c>
      <c r="H72" s="10" t="s">
        <v>3502</v>
      </c>
      <c r="I72" s="255">
        <v>500000000</v>
      </c>
      <c r="J72" s="459">
        <v>500000000</v>
      </c>
      <c r="K72" s="10" t="s">
        <v>3503</v>
      </c>
      <c r="L72" s="10">
        <v>2750</v>
      </c>
      <c r="M72" s="487">
        <v>2750</v>
      </c>
      <c r="N72" s="10"/>
      <c r="O72" s="10">
        <v>3115</v>
      </c>
      <c r="P72" s="140">
        <v>2792</v>
      </c>
      <c r="Q72" s="151" t="s">
        <v>3504</v>
      </c>
      <c r="R72" s="249" t="s">
        <v>3308</v>
      </c>
      <c r="S72" s="16"/>
      <c r="V72" s="9"/>
      <c r="W72" s="8"/>
      <c r="X72" s="8"/>
      <c r="Y72" s="8"/>
      <c r="Z72" s="8"/>
      <c r="AA72" s="8"/>
      <c r="AB72" s="8"/>
      <c r="AC72" s="8"/>
      <c r="AD72" s="8"/>
      <c r="AE72" s="8"/>
      <c r="AF72" s="8"/>
      <c r="AG72" s="8"/>
      <c r="AH72" s="8"/>
      <c r="AI72" s="8"/>
      <c r="AL72" s="9"/>
      <c r="AP72" s="9"/>
      <c r="AT72" s="9"/>
      <c r="AX72" s="9"/>
      <c r="BB72" s="9"/>
      <c r="BF72" s="9"/>
      <c r="BJ72" s="9"/>
      <c r="BN72" s="9"/>
      <c r="BR72" s="9"/>
      <c r="BV72" s="9"/>
      <c r="BZ72" s="9"/>
      <c r="CD72" s="9"/>
      <c r="CH72" s="9"/>
      <c r="CL72" s="9"/>
      <c r="CP72" s="9"/>
      <c r="CT72" s="9"/>
    </row>
    <row r="73" spans="1:98" ht="138" customHeight="1" x14ac:dyDescent="0.25">
      <c r="A73" s="10" t="s">
        <v>156</v>
      </c>
      <c r="B73" s="10" t="s">
        <v>3299</v>
      </c>
      <c r="C73" s="10" t="s">
        <v>3355</v>
      </c>
      <c r="D73" s="10">
        <v>221410007</v>
      </c>
      <c r="E73" s="10" t="s">
        <v>3505</v>
      </c>
      <c r="F73" s="50" t="s">
        <v>3506</v>
      </c>
      <c r="G73" s="10">
        <v>22172001</v>
      </c>
      <c r="H73" s="10" t="s">
        <v>3507</v>
      </c>
      <c r="I73" s="255">
        <v>18000000000</v>
      </c>
      <c r="J73" s="459">
        <v>17434312620</v>
      </c>
      <c r="K73" s="10" t="s">
        <v>3508</v>
      </c>
      <c r="L73" s="10">
        <v>500</v>
      </c>
      <c r="M73" s="491">
        <v>350</v>
      </c>
      <c r="N73" s="10"/>
      <c r="O73" s="49">
        <v>350</v>
      </c>
      <c r="P73" s="10">
        <v>350</v>
      </c>
      <c r="Q73" s="18" t="s">
        <v>3509</v>
      </c>
      <c r="R73" s="484" t="s">
        <v>3510</v>
      </c>
      <c r="S73" s="16"/>
      <c r="V73" s="9"/>
      <c r="W73" s="8"/>
      <c r="X73" s="8"/>
      <c r="Y73" s="8"/>
      <c r="Z73" s="8"/>
      <c r="AA73" s="8"/>
      <c r="AB73" s="8"/>
      <c r="AC73" s="8"/>
      <c r="AD73" s="8"/>
      <c r="AE73" s="8"/>
      <c r="AF73" s="8"/>
      <c r="AG73" s="8"/>
      <c r="AH73" s="8"/>
      <c r="AI73" s="8"/>
      <c r="AL73" s="9"/>
      <c r="AP73" s="9"/>
      <c r="AT73" s="9"/>
      <c r="AX73" s="9"/>
      <c r="BB73" s="9"/>
      <c r="BF73" s="9"/>
      <c r="BJ73" s="9"/>
      <c r="BN73" s="9"/>
      <c r="BR73" s="9"/>
      <c r="BV73" s="9"/>
      <c r="BZ73" s="9"/>
      <c r="CD73" s="9"/>
      <c r="CH73" s="9"/>
      <c r="CL73" s="9"/>
      <c r="CP73" s="9"/>
      <c r="CT73" s="9"/>
    </row>
    <row r="74" spans="1:98" ht="60" x14ac:dyDescent="0.25">
      <c r="A74" s="10"/>
      <c r="B74" s="10"/>
      <c r="C74" s="10"/>
      <c r="D74" s="10"/>
      <c r="E74" s="10"/>
      <c r="F74" s="50"/>
      <c r="G74" s="10"/>
      <c r="H74" s="10"/>
      <c r="I74" s="177">
        <v>0</v>
      </c>
      <c r="J74" s="459"/>
      <c r="K74" s="10" t="s">
        <v>3511</v>
      </c>
      <c r="L74" s="10">
        <v>1600</v>
      </c>
      <c r="M74" s="491">
        <v>1500000</v>
      </c>
      <c r="N74" s="10"/>
      <c r="O74" s="49">
        <v>1500000</v>
      </c>
      <c r="P74" s="18">
        <v>1956648</v>
      </c>
      <c r="Q74" s="18" t="s">
        <v>3512</v>
      </c>
      <c r="R74" s="484" t="s">
        <v>3510</v>
      </c>
      <c r="S74" s="16"/>
      <c r="V74" s="9"/>
      <c r="W74" s="8"/>
      <c r="X74" s="8"/>
      <c r="Y74" s="8"/>
      <c r="Z74" s="8"/>
      <c r="AA74" s="8"/>
      <c r="AB74" s="8"/>
      <c r="AC74" s="8"/>
      <c r="AD74" s="8"/>
      <c r="AE74" s="8"/>
      <c r="AF74" s="8"/>
      <c r="AG74" s="8"/>
      <c r="AH74" s="8"/>
      <c r="AI74" s="8"/>
      <c r="AL74" s="9"/>
      <c r="AP74" s="9"/>
      <c r="AT74" s="9"/>
      <c r="AX74" s="9"/>
      <c r="BB74" s="9"/>
      <c r="BF74" s="9"/>
      <c r="BJ74" s="9"/>
      <c r="BN74" s="9"/>
      <c r="BR74" s="9"/>
      <c r="BV74" s="9"/>
      <c r="BZ74" s="9"/>
      <c r="CD74" s="9"/>
      <c r="CH74" s="9"/>
      <c r="CL74" s="9"/>
      <c r="CP74" s="9"/>
      <c r="CT74" s="9"/>
    </row>
    <row r="75" spans="1:98" ht="91.5" customHeight="1" x14ac:dyDescent="0.25">
      <c r="A75" s="10"/>
      <c r="B75" s="10"/>
      <c r="C75" s="10"/>
      <c r="D75" s="10"/>
      <c r="E75" s="10"/>
      <c r="F75" s="50"/>
      <c r="G75" s="10"/>
      <c r="H75" s="10"/>
      <c r="I75" s="177">
        <v>0</v>
      </c>
      <c r="J75" s="459"/>
      <c r="K75" s="10" t="s">
        <v>3513</v>
      </c>
      <c r="L75" s="10">
        <v>100</v>
      </c>
      <c r="M75" s="491">
        <v>50</v>
      </c>
      <c r="N75" s="10"/>
      <c r="O75" s="49">
        <v>50</v>
      </c>
      <c r="P75" s="140">
        <v>86</v>
      </c>
      <c r="Q75" s="49" t="s">
        <v>3514</v>
      </c>
      <c r="R75" s="484"/>
      <c r="S75" s="16"/>
      <c r="V75" s="9"/>
      <c r="W75" s="8"/>
      <c r="X75" s="8"/>
      <c r="Y75" s="8"/>
      <c r="Z75" s="8"/>
      <c r="AA75" s="8"/>
      <c r="AB75" s="8"/>
      <c r="AC75" s="8"/>
      <c r="AD75" s="8"/>
      <c r="AE75" s="8"/>
      <c r="AF75" s="8"/>
      <c r="AG75" s="8"/>
      <c r="AH75" s="8"/>
      <c r="AI75" s="8"/>
      <c r="AL75" s="9"/>
      <c r="AP75" s="9"/>
      <c r="AT75" s="9"/>
      <c r="AX75" s="9"/>
      <c r="BB75" s="9"/>
      <c r="BF75" s="9"/>
      <c r="BJ75" s="9"/>
      <c r="BN75" s="9"/>
      <c r="BR75" s="9"/>
      <c r="BV75" s="9"/>
      <c r="BZ75" s="9"/>
      <c r="CD75" s="9"/>
      <c r="CH75" s="9"/>
      <c r="CL75" s="9"/>
      <c r="CP75" s="9"/>
      <c r="CT75" s="9"/>
    </row>
    <row r="76" spans="1:98" ht="85.5" customHeight="1" x14ac:dyDescent="0.25">
      <c r="A76" s="10"/>
      <c r="B76" s="10"/>
      <c r="C76" s="10"/>
      <c r="D76" s="10"/>
      <c r="E76" s="10"/>
      <c r="F76" s="50"/>
      <c r="G76" s="10"/>
      <c r="H76" s="10"/>
      <c r="I76" s="177">
        <v>0</v>
      </c>
      <c r="J76" s="459"/>
      <c r="K76" s="10" t="s">
        <v>3515</v>
      </c>
      <c r="L76" s="10">
        <v>750</v>
      </c>
      <c r="M76" s="491">
        <v>750</v>
      </c>
      <c r="N76" s="10"/>
      <c r="O76" s="49">
        <v>0</v>
      </c>
      <c r="P76" s="18">
        <v>1021</v>
      </c>
      <c r="Q76" s="18" t="s">
        <v>3516</v>
      </c>
      <c r="R76" s="484" t="s">
        <v>3517</v>
      </c>
      <c r="S76" s="16"/>
      <c r="V76" s="9"/>
      <c r="W76" s="8"/>
      <c r="X76" s="8"/>
      <c r="Y76" s="8"/>
      <c r="Z76" s="8"/>
      <c r="AA76" s="8"/>
      <c r="AB76" s="8"/>
      <c r="AC76" s="8"/>
      <c r="AD76" s="8"/>
      <c r="AE76" s="8"/>
      <c r="AF76" s="8"/>
      <c r="AG76" s="8"/>
      <c r="AH76" s="8"/>
      <c r="AI76" s="8"/>
      <c r="AL76" s="9"/>
      <c r="AP76" s="9"/>
      <c r="AT76" s="9"/>
      <c r="AX76" s="9"/>
      <c r="BB76" s="9"/>
      <c r="BF76" s="9"/>
      <c r="BJ76" s="9"/>
      <c r="BN76" s="9"/>
      <c r="BR76" s="9"/>
      <c r="BV76" s="9"/>
      <c r="BZ76" s="9"/>
      <c r="CD76" s="9"/>
      <c r="CH76" s="9"/>
      <c r="CL76" s="9"/>
      <c r="CP76" s="9"/>
      <c r="CT76" s="9"/>
    </row>
    <row r="77" spans="1:98" ht="69.75" customHeight="1" x14ac:dyDescent="0.25">
      <c r="A77" s="10" t="s">
        <v>156</v>
      </c>
      <c r="B77" s="10" t="s">
        <v>3299</v>
      </c>
      <c r="C77" s="10" t="s">
        <v>3373</v>
      </c>
      <c r="D77" s="10">
        <v>221620007</v>
      </c>
      <c r="E77" s="10" t="s">
        <v>3518</v>
      </c>
      <c r="F77" s="50" t="s">
        <v>3519</v>
      </c>
      <c r="G77" s="10">
        <v>22160001</v>
      </c>
      <c r="H77" s="10" t="s">
        <v>3520</v>
      </c>
      <c r="I77" s="255">
        <v>596768175</v>
      </c>
      <c r="J77" s="459">
        <v>586861150</v>
      </c>
      <c r="K77" s="10" t="s">
        <v>3521</v>
      </c>
      <c r="L77" s="10">
        <v>20000</v>
      </c>
      <c r="M77" s="371">
        <v>69741</v>
      </c>
      <c r="N77" s="10"/>
      <c r="O77" s="492">
        <v>69741</v>
      </c>
      <c r="P77" s="10">
        <v>69741</v>
      </c>
      <c r="Q77" s="18" t="s">
        <v>3522</v>
      </c>
      <c r="R77" s="249" t="s">
        <v>3523</v>
      </c>
      <c r="S77" s="16"/>
      <c r="V77" s="9"/>
      <c r="W77" s="8"/>
      <c r="X77" s="8"/>
      <c r="Y77" s="8"/>
      <c r="Z77" s="8"/>
      <c r="AA77" s="8"/>
      <c r="AB77" s="8"/>
      <c r="AC77" s="8"/>
      <c r="AD77" s="8"/>
      <c r="AE77" s="8"/>
      <c r="AF77" s="8"/>
      <c r="AG77" s="8"/>
      <c r="AH77" s="8"/>
      <c r="AI77" s="8"/>
      <c r="AL77" s="9"/>
      <c r="AP77" s="9"/>
      <c r="AT77" s="9"/>
      <c r="AX77" s="9"/>
      <c r="BB77" s="9"/>
      <c r="BF77" s="9"/>
      <c r="BJ77" s="9"/>
      <c r="BN77" s="9"/>
      <c r="BR77" s="9"/>
      <c r="BV77" s="9"/>
      <c r="BZ77" s="9"/>
      <c r="CD77" s="9"/>
      <c r="CH77" s="9"/>
      <c r="CL77" s="9"/>
      <c r="CP77" s="9"/>
      <c r="CT77" s="9"/>
    </row>
    <row r="78" spans="1:98" ht="109.5" customHeight="1" x14ac:dyDescent="0.25">
      <c r="A78" s="10" t="s">
        <v>156</v>
      </c>
      <c r="B78" s="10" t="s">
        <v>3299</v>
      </c>
      <c r="C78" s="10" t="s">
        <v>3373</v>
      </c>
      <c r="D78" s="10">
        <v>221630000</v>
      </c>
      <c r="E78" s="10" t="s">
        <v>3524</v>
      </c>
      <c r="F78" s="50" t="s">
        <v>3525</v>
      </c>
      <c r="G78" s="10">
        <v>29158001</v>
      </c>
      <c r="H78" s="10" t="s">
        <v>3526</v>
      </c>
      <c r="I78" s="255">
        <v>1000000000</v>
      </c>
      <c r="J78" s="459">
        <v>1000000000</v>
      </c>
      <c r="K78" s="10" t="s">
        <v>3527</v>
      </c>
      <c r="L78" s="10">
        <v>89</v>
      </c>
      <c r="M78" s="371">
        <v>89</v>
      </c>
      <c r="N78" s="10"/>
      <c r="O78" s="49">
        <v>14</v>
      </c>
      <c r="P78" s="10">
        <v>127</v>
      </c>
      <c r="Q78" s="18" t="s">
        <v>3528</v>
      </c>
      <c r="R78" s="481" t="s">
        <v>3529</v>
      </c>
      <c r="S78" s="16"/>
      <c r="V78" s="9"/>
      <c r="W78" s="8"/>
      <c r="X78" s="8"/>
      <c r="Y78" s="8"/>
      <c r="Z78" s="8"/>
      <c r="AA78" s="8"/>
      <c r="AB78" s="8"/>
      <c r="AC78" s="8"/>
      <c r="AD78" s="8"/>
      <c r="AE78" s="8"/>
      <c r="AF78" s="8"/>
      <c r="AG78" s="8"/>
      <c r="AH78" s="8"/>
      <c r="AI78" s="8"/>
      <c r="AL78" s="9"/>
      <c r="AP78" s="9"/>
      <c r="AT78" s="9"/>
      <c r="AX78" s="9"/>
      <c r="BB78" s="9"/>
      <c r="BF78" s="9"/>
      <c r="BJ78" s="9"/>
      <c r="BN78" s="9"/>
      <c r="BR78" s="9"/>
      <c r="BV78" s="9"/>
      <c r="BZ78" s="9"/>
      <c r="CD78" s="9"/>
      <c r="CH78" s="9"/>
      <c r="CL78" s="9"/>
      <c r="CP78" s="9"/>
      <c r="CT78" s="9"/>
    </row>
    <row r="79" spans="1:98" ht="68.25" customHeight="1" x14ac:dyDescent="0.25">
      <c r="A79" s="10"/>
      <c r="B79" s="10"/>
      <c r="C79" s="10"/>
      <c r="D79" s="10"/>
      <c r="E79" s="10"/>
      <c r="F79" s="50"/>
      <c r="G79" s="10"/>
      <c r="H79" s="10"/>
      <c r="I79" s="177">
        <v>0</v>
      </c>
      <c r="J79" s="459"/>
      <c r="K79" s="10" t="s">
        <v>3530</v>
      </c>
      <c r="L79" s="10">
        <v>4000</v>
      </c>
      <c r="M79" s="371">
        <v>400</v>
      </c>
      <c r="N79" s="10"/>
      <c r="O79" s="49">
        <v>96</v>
      </c>
      <c r="P79" s="10">
        <v>12070</v>
      </c>
      <c r="Q79" s="10" t="s">
        <v>3531</v>
      </c>
      <c r="R79" s="249"/>
      <c r="S79" s="16"/>
      <c r="V79" s="9"/>
      <c r="W79" s="8"/>
      <c r="X79" s="8"/>
      <c r="Y79" s="8"/>
      <c r="Z79" s="8"/>
      <c r="AA79" s="8"/>
      <c r="AB79" s="8"/>
      <c r="AC79" s="8"/>
      <c r="AD79" s="8"/>
      <c r="AE79" s="8"/>
      <c r="AF79" s="8"/>
      <c r="AG79" s="8"/>
      <c r="AH79" s="8"/>
      <c r="AI79" s="8"/>
      <c r="AL79" s="9"/>
      <c r="AP79" s="9"/>
      <c r="AT79" s="9"/>
      <c r="AX79" s="9"/>
      <c r="BB79" s="9"/>
      <c r="BF79" s="9"/>
      <c r="BJ79" s="9"/>
      <c r="BN79" s="9"/>
      <c r="BR79" s="9"/>
      <c r="BV79" s="9"/>
      <c r="BZ79" s="9"/>
      <c r="CD79" s="9"/>
      <c r="CH79" s="9"/>
      <c r="CL79" s="9"/>
      <c r="CP79" s="9"/>
      <c r="CT79" s="9"/>
    </row>
    <row r="80" spans="1:98" ht="93" customHeight="1" x14ac:dyDescent="0.25">
      <c r="A80" s="10" t="s">
        <v>156</v>
      </c>
      <c r="B80" s="10" t="s">
        <v>3299</v>
      </c>
      <c r="C80" s="10" t="s">
        <v>3373</v>
      </c>
      <c r="D80" s="10">
        <v>221630000</v>
      </c>
      <c r="E80" s="10" t="s">
        <v>3532</v>
      </c>
      <c r="F80" s="50" t="s">
        <v>3533</v>
      </c>
      <c r="G80" s="10">
        <v>22193001</v>
      </c>
      <c r="H80" s="10" t="s">
        <v>3534</v>
      </c>
      <c r="I80" s="177">
        <v>0</v>
      </c>
      <c r="J80" s="459">
        <v>0</v>
      </c>
      <c r="K80" s="10" t="s">
        <v>3535</v>
      </c>
      <c r="L80" s="10">
        <v>255</v>
      </c>
      <c r="M80" s="371">
        <v>255</v>
      </c>
      <c r="N80" s="10"/>
      <c r="O80" s="49">
        <v>0</v>
      </c>
      <c r="P80" s="10">
        <v>371</v>
      </c>
      <c r="Q80" s="10" t="s">
        <v>3536</v>
      </c>
      <c r="R80" s="249"/>
      <c r="S80" s="16"/>
      <c r="V80" s="9"/>
      <c r="W80" s="8"/>
      <c r="X80" s="8"/>
      <c r="Y80" s="8"/>
      <c r="Z80" s="8"/>
      <c r="AA80" s="8"/>
      <c r="AB80" s="8"/>
      <c r="AC80" s="8"/>
      <c r="AD80" s="8"/>
      <c r="AE80" s="8"/>
      <c r="AF80" s="8"/>
      <c r="AG80" s="8"/>
      <c r="AH80" s="8"/>
      <c r="AI80" s="8"/>
      <c r="AL80" s="9"/>
      <c r="AP80" s="9"/>
      <c r="AT80" s="9"/>
      <c r="AX80" s="9"/>
      <c r="BB80" s="9"/>
      <c r="BF80" s="9"/>
      <c r="BJ80" s="9"/>
      <c r="BN80" s="9"/>
      <c r="BR80" s="9"/>
      <c r="BV80" s="9"/>
      <c r="BZ80" s="9"/>
      <c r="CD80" s="9"/>
      <c r="CH80" s="9"/>
      <c r="CL80" s="9"/>
      <c r="CP80" s="9"/>
      <c r="CT80" s="9"/>
    </row>
    <row r="81" spans="1:98" ht="86.25" customHeight="1" x14ac:dyDescent="0.25">
      <c r="A81" s="10"/>
      <c r="B81" s="10"/>
      <c r="C81" s="10"/>
      <c r="D81" s="10"/>
      <c r="E81" s="10"/>
      <c r="F81" s="50"/>
      <c r="G81" s="10"/>
      <c r="H81" s="10"/>
      <c r="I81" s="177">
        <v>0</v>
      </c>
      <c r="J81" s="459"/>
      <c r="K81" s="10" t="s">
        <v>3537</v>
      </c>
      <c r="L81" s="10">
        <v>180</v>
      </c>
      <c r="M81" s="371">
        <v>180</v>
      </c>
      <c r="N81" s="10"/>
      <c r="O81" s="49">
        <v>0</v>
      </c>
      <c r="P81" s="10">
        <v>190</v>
      </c>
      <c r="Q81" s="10" t="s">
        <v>3538</v>
      </c>
      <c r="R81" s="249"/>
      <c r="S81" s="16"/>
      <c r="V81" s="9"/>
      <c r="W81" s="8"/>
      <c r="X81" s="8"/>
      <c r="Y81" s="8"/>
      <c r="Z81" s="8"/>
      <c r="AA81" s="8"/>
      <c r="AB81" s="8"/>
      <c r="AC81" s="8"/>
      <c r="AD81" s="8"/>
      <c r="AE81" s="8"/>
      <c r="AF81" s="8"/>
      <c r="AG81" s="8"/>
      <c r="AH81" s="8"/>
      <c r="AI81" s="8"/>
      <c r="AL81" s="9"/>
      <c r="AP81" s="9"/>
      <c r="AT81" s="9"/>
      <c r="AX81" s="9"/>
      <c r="BB81" s="9"/>
      <c r="BF81" s="9"/>
      <c r="BJ81" s="9"/>
      <c r="BN81" s="9"/>
      <c r="BR81" s="9"/>
      <c r="BV81" s="9"/>
      <c r="BZ81" s="9"/>
      <c r="CD81" s="9"/>
      <c r="CH81" s="9"/>
      <c r="CL81" s="9"/>
      <c r="CP81" s="9"/>
      <c r="CT81" s="9"/>
    </row>
    <row r="82" spans="1:98" ht="80.25" customHeight="1" x14ac:dyDescent="0.25">
      <c r="A82" s="10" t="s">
        <v>156</v>
      </c>
      <c r="B82" s="10" t="s">
        <v>3299</v>
      </c>
      <c r="C82" s="10" t="s">
        <v>3389</v>
      </c>
      <c r="D82" s="10">
        <v>221710007</v>
      </c>
      <c r="E82" s="10" t="s">
        <v>3390</v>
      </c>
      <c r="F82" s="50" t="s">
        <v>3539</v>
      </c>
      <c r="G82" s="10">
        <v>22073001</v>
      </c>
      <c r="H82" s="10" t="s">
        <v>3540</v>
      </c>
      <c r="I82" s="255">
        <v>2500000000</v>
      </c>
      <c r="J82" s="459">
        <v>3000000000</v>
      </c>
      <c r="K82" s="10" t="s">
        <v>3541</v>
      </c>
      <c r="L82" s="10">
        <v>525000</v>
      </c>
      <c r="M82" s="371">
        <v>525000</v>
      </c>
      <c r="N82" s="10"/>
      <c r="O82" s="49">
        <v>516214</v>
      </c>
      <c r="P82" s="10">
        <v>534847</v>
      </c>
      <c r="Q82" s="10" t="s">
        <v>3542</v>
      </c>
      <c r="R82" s="249"/>
      <c r="S82" s="16"/>
      <c r="V82" s="9"/>
      <c r="W82" s="8"/>
      <c r="X82" s="8"/>
      <c r="Y82" s="8"/>
      <c r="Z82" s="8"/>
      <c r="AA82" s="8"/>
      <c r="AB82" s="8"/>
      <c r="AC82" s="8"/>
      <c r="AD82" s="8"/>
      <c r="AE82" s="8"/>
      <c r="AF82" s="8"/>
      <c r="AG82" s="8"/>
      <c r="AH82" s="8"/>
      <c r="AI82" s="8"/>
      <c r="AL82" s="9"/>
      <c r="AP82" s="9"/>
      <c r="AT82" s="9"/>
      <c r="AX82" s="9"/>
      <c r="BB82" s="9"/>
      <c r="BF82" s="9"/>
      <c r="BJ82" s="9"/>
      <c r="BN82" s="9"/>
      <c r="BR82" s="9"/>
      <c r="BV82" s="9"/>
      <c r="BZ82" s="9"/>
      <c r="CD82" s="9"/>
      <c r="CH82" s="9"/>
      <c r="CL82" s="9"/>
      <c r="CP82" s="9"/>
      <c r="CT82" s="9"/>
    </row>
    <row r="83" spans="1:98" ht="96" customHeight="1" x14ac:dyDescent="0.25">
      <c r="A83" s="10" t="s">
        <v>156</v>
      </c>
      <c r="B83" s="10" t="s">
        <v>982</v>
      </c>
      <c r="C83" s="10" t="s">
        <v>3409</v>
      </c>
      <c r="D83" s="10">
        <v>222920000</v>
      </c>
      <c r="E83" s="10" t="s">
        <v>3543</v>
      </c>
      <c r="F83" s="50" t="s">
        <v>3544</v>
      </c>
      <c r="G83" s="10">
        <v>22162001</v>
      </c>
      <c r="H83" s="10" t="s">
        <v>3545</v>
      </c>
      <c r="I83" s="255">
        <v>1373157500</v>
      </c>
      <c r="J83" s="459">
        <v>1373157500</v>
      </c>
      <c r="K83" s="10" t="s">
        <v>3546</v>
      </c>
      <c r="L83" s="10">
        <v>200</v>
      </c>
      <c r="M83" s="371">
        <v>200</v>
      </c>
      <c r="N83" s="10"/>
      <c r="O83" s="10">
        <v>0</v>
      </c>
      <c r="P83" s="10">
        <v>0</v>
      </c>
      <c r="Q83" s="10" t="s">
        <v>3547</v>
      </c>
      <c r="R83" s="249"/>
      <c r="S83" s="16"/>
      <c r="V83" s="9"/>
      <c r="W83" s="8"/>
      <c r="X83" s="8"/>
      <c r="Y83" s="8"/>
      <c r="Z83" s="8"/>
      <c r="AA83" s="8"/>
      <c r="AB83" s="8"/>
      <c r="AC83" s="8"/>
      <c r="AD83" s="8"/>
      <c r="AE83" s="8"/>
      <c r="AF83" s="8"/>
      <c r="AG83" s="8"/>
      <c r="AH83" s="8"/>
      <c r="AI83" s="8"/>
      <c r="AL83" s="9"/>
      <c r="AP83" s="9"/>
      <c r="AT83" s="9"/>
      <c r="AX83" s="9"/>
      <c r="BB83" s="9"/>
      <c r="BF83" s="9"/>
      <c r="BJ83" s="9"/>
      <c r="BN83" s="9"/>
      <c r="BR83" s="9"/>
      <c r="BV83" s="9"/>
      <c r="BZ83" s="9"/>
      <c r="CD83" s="9"/>
      <c r="CH83" s="9"/>
      <c r="CL83" s="9"/>
      <c r="CP83" s="9"/>
      <c r="CT83" s="9"/>
    </row>
    <row r="84" spans="1:98" ht="47.25" customHeight="1" x14ac:dyDescent="0.25">
      <c r="A84" s="10"/>
      <c r="B84" s="10"/>
      <c r="C84" s="10"/>
      <c r="D84" s="10"/>
      <c r="E84" s="10"/>
      <c r="F84" s="50"/>
      <c r="G84" s="10"/>
      <c r="H84" s="10"/>
      <c r="I84" s="177">
        <v>0</v>
      </c>
      <c r="J84" s="459"/>
      <c r="K84" s="10" t="s">
        <v>3548</v>
      </c>
      <c r="L84" s="10">
        <v>300</v>
      </c>
      <c r="M84" s="371">
        <v>300</v>
      </c>
      <c r="N84" s="10"/>
      <c r="O84" s="49">
        <v>269</v>
      </c>
      <c r="P84" s="10">
        <v>16667</v>
      </c>
      <c r="Q84" s="10" t="s">
        <v>3549</v>
      </c>
      <c r="R84" s="249"/>
      <c r="S84" s="16"/>
      <c r="V84" s="9"/>
      <c r="W84" s="8"/>
      <c r="X84" s="8"/>
      <c r="Y84" s="8"/>
      <c r="Z84" s="8"/>
      <c r="AA84" s="8"/>
      <c r="AB84" s="8"/>
      <c r="AC84" s="8"/>
      <c r="AD84" s="8"/>
      <c r="AE84" s="8"/>
      <c r="AF84" s="8"/>
      <c r="AG84" s="8"/>
      <c r="AH84" s="8"/>
      <c r="AI84" s="8"/>
      <c r="AL84" s="9"/>
      <c r="AP84" s="9"/>
      <c r="AT84" s="9"/>
      <c r="AX84" s="9"/>
      <c r="BB84" s="9"/>
      <c r="BF84" s="9"/>
      <c r="BJ84" s="9"/>
      <c r="BN84" s="9"/>
      <c r="BR84" s="9"/>
      <c r="BV84" s="9"/>
      <c r="BZ84" s="9"/>
      <c r="CD84" s="9"/>
      <c r="CH84" s="9"/>
      <c r="CL84" s="9"/>
      <c r="CP84" s="9"/>
      <c r="CT84" s="9"/>
    </row>
    <row r="85" spans="1:98" ht="82.5" customHeight="1" x14ac:dyDescent="0.25">
      <c r="A85" s="10"/>
      <c r="B85" s="10"/>
      <c r="C85" s="10"/>
      <c r="D85" s="10"/>
      <c r="E85" s="10"/>
      <c r="F85" s="50"/>
      <c r="G85" s="10"/>
      <c r="H85" s="10"/>
      <c r="I85" s="177">
        <v>0</v>
      </c>
      <c r="J85" s="459"/>
      <c r="K85" s="10" t="s">
        <v>3550</v>
      </c>
      <c r="L85" s="10">
        <v>90</v>
      </c>
      <c r="M85" s="371">
        <v>90</v>
      </c>
      <c r="N85" s="10"/>
      <c r="O85" s="49">
        <v>0</v>
      </c>
      <c r="P85" s="140">
        <v>12</v>
      </c>
      <c r="Q85" s="151" t="s">
        <v>3551</v>
      </c>
      <c r="R85" s="481" t="s">
        <v>3477</v>
      </c>
      <c r="S85" s="16"/>
      <c r="V85" s="9"/>
      <c r="W85" s="8"/>
      <c r="X85" s="8"/>
      <c r="Y85" s="8"/>
      <c r="Z85" s="8"/>
      <c r="AA85" s="8"/>
      <c r="AB85" s="8"/>
      <c r="AC85" s="8"/>
      <c r="AD85" s="8"/>
      <c r="AE85" s="8"/>
      <c r="AF85" s="8"/>
      <c r="AG85" s="8"/>
      <c r="AH85" s="8"/>
      <c r="AI85" s="8"/>
      <c r="AL85" s="9"/>
      <c r="AP85" s="9"/>
      <c r="AT85" s="9"/>
      <c r="AX85" s="9"/>
      <c r="BB85" s="9"/>
      <c r="BF85" s="9"/>
      <c r="BJ85" s="9"/>
      <c r="BN85" s="9"/>
      <c r="BR85" s="9"/>
      <c r="BV85" s="9"/>
      <c r="BZ85" s="9"/>
      <c r="CD85" s="9"/>
      <c r="CH85" s="9"/>
      <c r="CL85" s="9"/>
      <c r="CP85" s="9"/>
      <c r="CT85" s="9"/>
    </row>
    <row r="86" spans="1:98" ht="47.25" customHeight="1" x14ac:dyDescent="0.25">
      <c r="A86" s="10"/>
      <c r="B86" s="10"/>
      <c r="C86" s="10"/>
      <c r="D86" s="10"/>
      <c r="E86" s="10"/>
      <c r="F86" s="50"/>
      <c r="G86" s="10"/>
      <c r="H86" s="10"/>
      <c r="I86" s="177">
        <v>0</v>
      </c>
      <c r="J86" s="459"/>
      <c r="K86" s="10" t="s">
        <v>3552</v>
      </c>
      <c r="L86" s="10">
        <v>300</v>
      </c>
      <c r="M86" s="371">
        <v>3000</v>
      </c>
      <c r="N86" s="10"/>
      <c r="O86" s="49">
        <v>2749</v>
      </c>
      <c r="P86" s="10">
        <v>5503</v>
      </c>
      <c r="Q86" s="10" t="s">
        <v>3553</v>
      </c>
      <c r="R86" s="249"/>
      <c r="S86" s="16"/>
      <c r="V86" s="9"/>
      <c r="W86" s="8"/>
      <c r="X86" s="8"/>
      <c r="Y86" s="8"/>
      <c r="Z86" s="8"/>
      <c r="AA86" s="8"/>
      <c r="AB86" s="8"/>
      <c r="AC86" s="8"/>
      <c r="AD86" s="8"/>
      <c r="AE86" s="8"/>
      <c r="AF86" s="8"/>
      <c r="AG86" s="8"/>
      <c r="AH86" s="8"/>
      <c r="AI86" s="8"/>
      <c r="AL86" s="9"/>
      <c r="AP86" s="9"/>
      <c r="AT86" s="9"/>
      <c r="AX86" s="9"/>
      <c r="BB86" s="9"/>
      <c r="BF86" s="9"/>
      <c r="BJ86" s="9"/>
      <c r="BN86" s="9"/>
      <c r="BR86" s="9"/>
      <c r="BV86" s="9"/>
      <c r="BZ86" s="9"/>
      <c r="CD86" s="9"/>
      <c r="CH86" s="9"/>
      <c r="CL86" s="9"/>
      <c r="CP86" s="9"/>
      <c r="CT86" s="9"/>
    </row>
    <row r="87" spans="1:98" ht="73.5" customHeight="1" x14ac:dyDescent="0.25">
      <c r="A87" s="10"/>
      <c r="B87" s="10"/>
      <c r="C87" s="10"/>
      <c r="D87" s="10"/>
      <c r="E87" s="10"/>
      <c r="F87" s="50"/>
      <c r="G87" s="10"/>
      <c r="H87" s="10"/>
      <c r="I87" s="177">
        <v>0</v>
      </c>
      <c r="J87" s="459"/>
      <c r="K87" s="10" t="s">
        <v>3554</v>
      </c>
      <c r="L87" s="10">
        <v>600</v>
      </c>
      <c r="M87" s="371">
        <v>600</v>
      </c>
      <c r="N87" s="10"/>
      <c r="O87" s="49">
        <v>359</v>
      </c>
      <c r="P87" s="10">
        <v>431</v>
      </c>
      <c r="Q87" s="10" t="s">
        <v>3555</v>
      </c>
      <c r="R87" s="249"/>
      <c r="S87" s="16"/>
      <c r="V87" s="9"/>
      <c r="W87" s="8"/>
      <c r="X87" s="8"/>
      <c r="Y87" s="8"/>
      <c r="Z87" s="8"/>
      <c r="AA87" s="8"/>
      <c r="AB87" s="8"/>
      <c r="AC87" s="8"/>
      <c r="AD87" s="8"/>
      <c r="AE87" s="8"/>
      <c r="AF87" s="8"/>
      <c r="AG87" s="8"/>
      <c r="AH87" s="8"/>
      <c r="AI87" s="8"/>
      <c r="AL87" s="9"/>
      <c r="AP87" s="9"/>
      <c r="AT87" s="9"/>
      <c r="AX87" s="9"/>
      <c r="BB87" s="9"/>
      <c r="BF87" s="9"/>
      <c r="BJ87" s="9"/>
      <c r="BN87" s="9"/>
      <c r="BR87" s="9"/>
      <c r="BV87" s="9"/>
      <c r="BZ87" s="9"/>
      <c r="CD87" s="9"/>
      <c r="CH87" s="9"/>
      <c r="CL87" s="9"/>
      <c r="CP87" s="9"/>
      <c r="CT87" s="9"/>
    </row>
    <row r="88" spans="1:98" ht="114.75" x14ac:dyDescent="0.25">
      <c r="A88" s="10"/>
      <c r="B88" s="10"/>
      <c r="C88" s="10"/>
      <c r="D88" s="10"/>
      <c r="E88" s="10"/>
      <c r="F88" s="50"/>
      <c r="G88" s="10"/>
      <c r="H88" s="10"/>
      <c r="I88" s="177">
        <v>0</v>
      </c>
      <c r="J88" s="459"/>
      <c r="K88" s="10" t="s">
        <v>3556</v>
      </c>
      <c r="L88" s="10">
        <v>300</v>
      </c>
      <c r="M88" s="371">
        <v>300</v>
      </c>
      <c r="N88" s="10"/>
      <c r="O88" s="49">
        <v>233</v>
      </c>
      <c r="P88" s="140">
        <v>4025</v>
      </c>
      <c r="Q88" s="151" t="s">
        <v>3557</v>
      </c>
      <c r="R88" s="249"/>
      <c r="S88" s="16"/>
      <c r="V88" s="9"/>
      <c r="W88" s="8"/>
      <c r="X88" s="8"/>
      <c r="Y88" s="8"/>
      <c r="Z88" s="8"/>
      <c r="AA88" s="8"/>
      <c r="AB88" s="8"/>
      <c r="AC88" s="8"/>
      <c r="AD88" s="8"/>
      <c r="AE88" s="8"/>
      <c r="AF88" s="8"/>
      <c r="AG88" s="8"/>
      <c r="AH88" s="8"/>
      <c r="AI88" s="8"/>
      <c r="AL88" s="9"/>
      <c r="AP88" s="9"/>
      <c r="AT88" s="9"/>
      <c r="AX88" s="9"/>
      <c r="BB88" s="9"/>
      <c r="BF88" s="9"/>
      <c r="BJ88" s="9"/>
      <c r="BN88" s="9"/>
      <c r="BR88" s="9"/>
      <c r="BV88" s="9"/>
      <c r="BZ88" s="9"/>
      <c r="CD88" s="9"/>
      <c r="CH88" s="9"/>
      <c r="CL88" s="9"/>
      <c r="CP88" s="9"/>
      <c r="CT88" s="9"/>
    </row>
    <row r="89" spans="1:98" ht="174.75" customHeight="1" x14ac:dyDescent="0.25">
      <c r="A89" s="10"/>
      <c r="B89" s="10"/>
      <c r="C89" s="10"/>
      <c r="D89" s="10"/>
      <c r="E89" s="10"/>
      <c r="F89" s="50"/>
      <c r="G89" s="10"/>
      <c r="H89" s="10"/>
      <c r="I89" s="177">
        <v>0</v>
      </c>
      <c r="J89" s="459"/>
      <c r="K89" s="10" t="s">
        <v>3558</v>
      </c>
      <c r="L89" s="10">
        <v>5000</v>
      </c>
      <c r="M89" s="371">
        <v>5000</v>
      </c>
      <c r="N89" s="10"/>
      <c r="O89" s="10">
        <v>9893</v>
      </c>
      <c r="P89" s="10">
        <v>2000</v>
      </c>
      <c r="Q89" s="18" t="s">
        <v>3559</v>
      </c>
      <c r="R89" s="249" t="s">
        <v>3477</v>
      </c>
      <c r="S89" s="16"/>
      <c r="V89" s="9"/>
      <c r="W89" s="8"/>
      <c r="X89" s="8"/>
      <c r="Y89" s="8"/>
      <c r="Z89" s="8"/>
      <c r="AA89" s="8"/>
      <c r="AB89" s="8"/>
      <c r="AC89" s="8"/>
      <c r="AD89" s="8"/>
      <c r="AE89" s="8"/>
      <c r="AF89" s="8"/>
      <c r="AG89" s="8"/>
      <c r="AH89" s="8"/>
      <c r="AI89" s="8"/>
      <c r="AL89" s="9"/>
      <c r="AP89" s="9"/>
      <c r="AT89" s="9"/>
      <c r="AX89" s="9"/>
      <c r="BB89" s="9"/>
      <c r="BF89" s="9"/>
      <c r="BJ89" s="9"/>
      <c r="BN89" s="9"/>
      <c r="BR89" s="9"/>
      <c r="BV89" s="9"/>
      <c r="BZ89" s="9"/>
      <c r="CD89" s="9"/>
      <c r="CH89" s="9"/>
      <c r="CL89" s="9"/>
      <c r="CP89" s="9"/>
      <c r="CT89" s="9"/>
    </row>
    <row r="90" spans="1:98" ht="95.25" customHeight="1" x14ac:dyDescent="0.25">
      <c r="A90" s="10" t="s">
        <v>156</v>
      </c>
      <c r="B90" s="10" t="s">
        <v>3299</v>
      </c>
      <c r="C90" s="10" t="s">
        <v>3300</v>
      </c>
      <c r="D90" s="10">
        <v>221130008</v>
      </c>
      <c r="E90" s="10" t="s">
        <v>3423</v>
      </c>
      <c r="F90" s="50" t="s">
        <v>3560</v>
      </c>
      <c r="G90" s="10">
        <v>22282001</v>
      </c>
      <c r="H90" s="18" t="s">
        <v>3561</v>
      </c>
      <c r="I90" s="471">
        <v>0</v>
      </c>
      <c r="J90" s="459">
        <v>0</v>
      </c>
      <c r="K90" s="18" t="s">
        <v>3426</v>
      </c>
      <c r="L90" s="18">
        <v>61000</v>
      </c>
      <c r="M90" s="371">
        <v>63561</v>
      </c>
      <c r="N90" s="10"/>
      <c r="O90" s="10">
        <v>63561</v>
      </c>
      <c r="P90" s="10">
        <v>63561</v>
      </c>
      <c r="Q90" s="10" t="s">
        <v>3427</v>
      </c>
      <c r="R90" s="249" t="s">
        <v>3562</v>
      </c>
      <c r="S90" s="16"/>
      <c r="V90" s="9"/>
      <c r="W90" s="8"/>
      <c r="X90" s="8"/>
      <c r="Y90" s="8"/>
      <c r="Z90" s="8"/>
      <c r="AA90" s="8"/>
      <c r="AB90" s="8"/>
      <c r="AC90" s="8"/>
      <c r="AD90" s="8"/>
      <c r="AE90" s="8"/>
      <c r="AF90" s="8"/>
      <c r="AG90" s="8"/>
      <c r="AH90" s="8"/>
      <c r="AI90" s="8"/>
      <c r="AL90" s="9"/>
      <c r="AP90" s="9"/>
      <c r="AT90" s="9"/>
      <c r="AX90" s="9"/>
      <c r="BB90" s="9"/>
      <c r="BF90" s="9"/>
      <c r="BJ90" s="9"/>
      <c r="BN90" s="9"/>
      <c r="BR90" s="9"/>
      <c r="BV90" s="9"/>
      <c r="BZ90" s="9"/>
      <c r="CD90" s="9"/>
      <c r="CH90" s="9"/>
      <c r="CL90" s="9"/>
      <c r="CP90" s="9"/>
      <c r="CT90" s="9"/>
    </row>
    <row r="91" spans="1:98" ht="121.5" customHeight="1" x14ac:dyDescent="0.25">
      <c r="A91" s="10" t="s">
        <v>55</v>
      </c>
      <c r="B91" s="10" t="s">
        <v>332</v>
      </c>
      <c r="C91" s="10" t="s">
        <v>3019</v>
      </c>
      <c r="D91" s="10">
        <v>243220000</v>
      </c>
      <c r="E91" s="10" t="s">
        <v>3563</v>
      </c>
      <c r="F91" s="50" t="s">
        <v>3564</v>
      </c>
      <c r="G91" s="10">
        <v>22203001</v>
      </c>
      <c r="H91" s="10" t="s">
        <v>3565</v>
      </c>
      <c r="I91" s="177">
        <v>0</v>
      </c>
      <c r="J91" s="459">
        <v>0</v>
      </c>
      <c r="K91" s="10" t="s">
        <v>3566</v>
      </c>
      <c r="L91" s="10">
        <v>120</v>
      </c>
      <c r="M91" s="371">
        <v>120</v>
      </c>
      <c r="N91" s="10"/>
      <c r="O91" s="10">
        <v>0</v>
      </c>
      <c r="P91" s="10">
        <v>5100</v>
      </c>
      <c r="Q91" s="10" t="s">
        <v>3567</v>
      </c>
      <c r="R91" s="249"/>
      <c r="S91" s="16"/>
      <c r="V91" s="9"/>
      <c r="W91" s="8"/>
      <c r="X91" s="8"/>
      <c r="Y91" s="8"/>
      <c r="Z91" s="8"/>
      <c r="AA91" s="8"/>
      <c r="AB91" s="8"/>
      <c r="AC91" s="8"/>
      <c r="AD91" s="8"/>
      <c r="AE91" s="8"/>
      <c r="AF91" s="8"/>
      <c r="AG91" s="8"/>
      <c r="AH91" s="8"/>
      <c r="AI91" s="8"/>
      <c r="AL91" s="9"/>
      <c r="AP91" s="9"/>
      <c r="AT91" s="9"/>
      <c r="AX91" s="9"/>
      <c r="BB91" s="9"/>
      <c r="BF91" s="9"/>
      <c r="BJ91" s="9"/>
      <c r="BN91" s="9"/>
      <c r="BR91" s="9"/>
      <c r="BV91" s="9"/>
      <c r="BZ91" s="9"/>
      <c r="CD91" s="9"/>
      <c r="CH91" s="9"/>
      <c r="CL91" s="9"/>
      <c r="CP91" s="9"/>
      <c r="CT91" s="9"/>
    </row>
    <row r="92" spans="1:98" ht="120" x14ac:dyDescent="0.25">
      <c r="A92" s="10"/>
      <c r="B92" s="10"/>
      <c r="C92" s="10"/>
      <c r="D92" s="10"/>
      <c r="E92" s="10"/>
      <c r="F92" s="50"/>
      <c r="G92" s="10"/>
      <c r="H92" s="10"/>
      <c r="I92" s="177">
        <v>0</v>
      </c>
      <c r="J92" s="459"/>
      <c r="K92" s="10" t="s">
        <v>3568</v>
      </c>
      <c r="L92" s="10">
        <v>200</v>
      </c>
      <c r="M92" s="371">
        <v>200</v>
      </c>
      <c r="N92" s="10"/>
      <c r="O92" s="10">
        <v>0</v>
      </c>
      <c r="P92" s="10">
        <v>0</v>
      </c>
      <c r="Q92" s="10" t="s">
        <v>3569</v>
      </c>
      <c r="R92" s="249"/>
      <c r="S92" s="16"/>
      <c r="V92" s="9"/>
      <c r="W92" s="8"/>
      <c r="X92" s="8"/>
      <c r="Y92" s="8"/>
      <c r="Z92" s="8"/>
      <c r="AA92" s="8"/>
      <c r="AB92" s="8"/>
      <c r="AC92" s="8"/>
      <c r="AD92" s="8"/>
      <c r="AE92" s="8"/>
      <c r="AF92" s="8"/>
      <c r="AG92" s="8"/>
      <c r="AH92" s="8"/>
      <c r="AI92" s="8"/>
      <c r="AL92" s="9"/>
      <c r="AP92" s="9"/>
      <c r="AT92" s="9"/>
      <c r="AX92" s="9"/>
      <c r="BB92" s="9"/>
      <c r="BF92" s="9"/>
      <c r="BJ92" s="9"/>
      <c r="BN92" s="9"/>
      <c r="BR92" s="9"/>
      <c r="BV92" s="9"/>
      <c r="BZ92" s="9"/>
      <c r="CD92" s="9"/>
      <c r="CH92" s="9"/>
      <c r="CL92" s="9"/>
      <c r="CP92" s="9"/>
      <c r="CT92" s="9"/>
    </row>
    <row r="93" spans="1:98" ht="214.5" customHeight="1" x14ac:dyDescent="0.25">
      <c r="A93" s="10" t="s">
        <v>156</v>
      </c>
      <c r="B93" s="10" t="s">
        <v>3299</v>
      </c>
      <c r="C93" s="10" t="s">
        <v>3355</v>
      </c>
      <c r="D93" s="10" t="s">
        <v>3570</v>
      </c>
      <c r="E93" s="10" t="s">
        <v>3356</v>
      </c>
      <c r="F93" s="50" t="s">
        <v>3571</v>
      </c>
      <c r="G93" s="10">
        <v>22122001</v>
      </c>
      <c r="H93" s="10" t="s">
        <v>3572</v>
      </c>
      <c r="I93" s="255">
        <v>28400000000</v>
      </c>
      <c r="J93" s="459">
        <v>37662303791</v>
      </c>
      <c r="K93" s="10" t="s">
        <v>3573</v>
      </c>
      <c r="L93" s="10">
        <v>14</v>
      </c>
      <c r="M93" s="371">
        <v>0</v>
      </c>
      <c r="N93" s="10"/>
      <c r="O93" s="10">
        <v>0</v>
      </c>
      <c r="P93" s="10">
        <v>0</v>
      </c>
      <c r="Q93" s="10" t="s">
        <v>3574</v>
      </c>
      <c r="R93" s="240"/>
      <c r="S93" s="16"/>
      <c r="V93" s="9"/>
      <c r="W93" s="8"/>
      <c r="X93" s="8"/>
      <c r="Y93" s="8"/>
      <c r="Z93" s="8"/>
      <c r="AA93" s="8"/>
      <c r="AB93" s="8"/>
      <c r="AC93" s="8"/>
      <c r="AD93" s="8"/>
      <c r="AE93" s="8"/>
      <c r="AF93" s="8"/>
      <c r="AG93" s="8"/>
      <c r="AH93" s="8"/>
      <c r="AI93" s="8"/>
      <c r="AL93" s="9"/>
      <c r="AP93" s="9"/>
      <c r="AT93" s="9"/>
      <c r="AX93" s="9"/>
      <c r="BB93" s="9"/>
      <c r="BF93" s="9"/>
      <c r="BJ93" s="9"/>
      <c r="BN93" s="9"/>
      <c r="BR93" s="9"/>
      <c r="BV93" s="9"/>
      <c r="BZ93" s="9"/>
      <c r="CD93" s="9"/>
      <c r="CH93" s="9"/>
      <c r="CL93" s="9"/>
      <c r="CP93" s="9"/>
      <c r="CT93" s="9"/>
    </row>
    <row r="99" spans="1:28" x14ac:dyDescent="0.25">
      <c r="A99" s="493" t="s">
        <v>3575</v>
      </c>
      <c r="B99" s="493"/>
      <c r="C99" s="493"/>
      <c r="D99" s="493"/>
      <c r="E99" s="493"/>
    </row>
    <row r="106" spans="1:28" s="504" customFormat="1" ht="72" x14ac:dyDescent="0.2">
      <c r="A106" s="494">
        <v>1115</v>
      </c>
      <c r="B106" s="495" t="s">
        <v>156</v>
      </c>
      <c r="C106" s="495" t="s">
        <v>982</v>
      </c>
      <c r="D106" s="495" t="s">
        <v>1801</v>
      </c>
      <c r="E106" s="496" t="s">
        <v>1802</v>
      </c>
      <c r="F106" s="497" t="s">
        <v>1804</v>
      </c>
      <c r="G106" s="498">
        <v>22057001</v>
      </c>
      <c r="H106" s="499" t="s">
        <v>1805</v>
      </c>
      <c r="I106" s="500">
        <v>1000000000</v>
      </c>
      <c r="J106" s="496"/>
      <c r="K106" s="501">
        <v>1000000000</v>
      </c>
      <c r="L106" s="502"/>
      <c r="M106" s="503"/>
      <c r="N106" s="313"/>
      <c r="O106" s="313"/>
      <c r="P106" s="313"/>
      <c r="Q106" s="313"/>
      <c r="R106" s="313"/>
      <c r="S106" s="313"/>
      <c r="T106" s="313"/>
      <c r="U106" s="313"/>
      <c r="V106" s="313"/>
      <c r="W106" s="313"/>
      <c r="X106" s="313"/>
      <c r="Y106" s="313"/>
      <c r="Z106" s="313"/>
      <c r="AA106" s="313"/>
      <c r="AB106" s="313"/>
    </row>
    <row r="107" spans="1:28" s="504" customFormat="1" ht="72" x14ac:dyDescent="0.2">
      <c r="A107" s="494"/>
      <c r="B107" s="495"/>
      <c r="C107" s="495"/>
      <c r="D107" s="495"/>
      <c r="E107" s="496"/>
      <c r="F107" s="497"/>
      <c r="G107" s="498"/>
      <c r="H107" s="505"/>
      <c r="I107" s="500"/>
      <c r="J107" s="496"/>
      <c r="K107" s="501"/>
      <c r="L107" s="506" t="s">
        <v>1899</v>
      </c>
      <c r="M107" s="503" t="s">
        <v>1900</v>
      </c>
      <c r="N107" s="507">
        <v>98</v>
      </c>
      <c r="O107" s="508">
        <f>9*30</f>
        <v>270</v>
      </c>
      <c r="P107" s="507"/>
      <c r="Q107" s="507"/>
      <c r="R107" s="507"/>
      <c r="S107" s="509"/>
      <c r="T107" s="509"/>
      <c r="U107" s="509"/>
      <c r="V107" s="509"/>
      <c r="W107" s="509"/>
      <c r="X107" s="509"/>
      <c r="Y107" s="509" t="s">
        <v>102</v>
      </c>
      <c r="Z107" s="509" t="s">
        <v>102</v>
      </c>
      <c r="AA107" s="507"/>
      <c r="AB107" s="313"/>
    </row>
    <row r="108" spans="1:28" s="504" customFormat="1" ht="48" x14ac:dyDescent="0.2">
      <c r="A108" s="494"/>
      <c r="B108" s="495"/>
      <c r="C108" s="495"/>
      <c r="D108" s="495"/>
      <c r="E108" s="496"/>
      <c r="F108" s="497"/>
      <c r="G108" s="498"/>
      <c r="H108" s="505"/>
      <c r="I108" s="500"/>
      <c r="J108" s="496"/>
      <c r="K108" s="501"/>
      <c r="L108" s="506" t="s">
        <v>1901</v>
      </c>
      <c r="M108" s="503" t="s">
        <v>1902</v>
      </c>
      <c r="N108" s="507">
        <v>1</v>
      </c>
      <c r="O108" s="507">
        <v>30</v>
      </c>
      <c r="P108" s="507"/>
      <c r="Q108" s="507"/>
      <c r="R108" s="507"/>
      <c r="S108" s="507"/>
      <c r="T108" s="507"/>
      <c r="U108" s="507"/>
      <c r="V108" s="507"/>
      <c r="W108" s="507"/>
      <c r="X108" s="507"/>
      <c r="Y108" s="507"/>
      <c r="Z108" s="507"/>
      <c r="AA108" s="509" t="s">
        <v>102</v>
      </c>
      <c r="AB108" s="313"/>
    </row>
    <row r="109" spans="1:28" s="504" customFormat="1" ht="84" x14ac:dyDescent="0.2">
      <c r="A109" s="494"/>
      <c r="B109" s="495"/>
      <c r="C109" s="495"/>
      <c r="D109" s="495"/>
      <c r="E109" s="496"/>
      <c r="F109" s="497"/>
      <c r="G109" s="498"/>
      <c r="H109" s="505"/>
      <c r="I109" s="500"/>
      <c r="J109" s="496"/>
      <c r="K109" s="501"/>
      <c r="L109" s="506" t="s">
        <v>1903</v>
      </c>
      <c r="M109" s="503" t="s">
        <v>1904</v>
      </c>
      <c r="N109" s="507">
        <v>3</v>
      </c>
      <c r="O109" s="507">
        <v>30</v>
      </c>
      <c r="P109" s="507"/>
      <c r="Q109" s="507"/>
      <c r="R109" s="507"/>
      <c r="S109" s="507"/>
      <c r="T109" s="507"/>
      <c r="U109" s="507"/>
      <c r="V109" s="507"/>
      <c r="W109" s="507"/>
      <c r="X109" s="507"/>
      <c r="Y109" s="507"/>
      <c r="Z109" s="509" t="s">
        <v>102</v>
      </c>
      <c r="AA109" s="507"/>
      <c r="AB109" s="313"/>
    </row>
    <row r="110" spans="1:28" s="504" customFormat="1" ht="84" x14ac:dyDescent="0.2">
      <c r="A110" s="494"/>
      <c r="B110" s="495"/>
      <c r="C110" s="495"/>
      <c r="D110" s="495"/>
      <c r="E110" s="496"/>
      <c r="F110" s="497"/>
      <c r="G110" s="498"/>
      <c r="H110" s="505"/>
      <c r="I110" s="500"/>
      <c r="J110" s="496"/>
      <c r="K110" s="501"/>
      <c r="L110" s="506" t="s">
        <v>1905</v>
      </c>
      <c r="M110" s="503" t="s">
        <v>1904</v>
      </c>
      <c r="N110" s="507">
        <v>1</v>
      </c>
      <c r="O110" s="507">
        <v>30</v>
      </c>
      <c r="P110" s="507"/>
      <c r="Q110" s="507"/>
      <c r="R110" s="507"/>
      <c r="S110" s="507"/>
      <c r="T110" s="507"/>
      <c r="U110" s="507"/>
      <c r="V110" s="507"/>
      <c r="W110" s="507"/>
      <c r="X110" s="507"/>
      <c r="Y110" s="507"/>
      <c r="Z110" s="507"/>
      <c r="AA110" s="509" t="s">
        <v>102</v>
      </c>
      <c r="AB110" s="313"/>
    </row>
    <row r="111" spans="1:28" s="504" customFormat="1" ht="48" x14ac:dyDescent="0.2">
      <c r="A111" s="494"/>
      <c r="B111" s="495"/>
      <c r="C111" s="495"/>
      <c r="D111" s="495"/>
      <c r="E111" s="496"/>
      <c r="F111" s="497"/>
      <c r="G111" s="498"/>
      <c r="H111" s="505"/>
      <c r="I111" s="500"/>
      <c r="J111" s="496"/>
      <c r="K111" s="501"/>
      <c r="L111" s="506" t="s">
        <v>1906</v>
      </c>
      <c r="M111" s="503" t="s">
        <v>1907</v>
      </c>
      <c r="N111" s="507">
        <v>3</v>
      </c>
      <c r="O111" s="507">
        <v>30</v>
      </c>
      <c r="P111" s="507"/>
      <c r="Q111" s="507"/>
      <c r="R111" s="507"/>
      <c r="S111" s="507"/>
      <c r="T111" s="507"/>
      <c r="U111" s="507"/>
      <c r="V111" s="507"/>
      <c r="W111" s="507"/>
      <c r="X111" s="509"/>
      <c r="Y111" s="507"/>
      <c r="Z111" s="507"/>
      <c r="AA111" s="507"/>
      <c r="AB111" s="313"/>
    </row>
    <row r="112" spans="1:28" s="504" customFormat="1" ht="108" x14ac:dyDescent="0.2">
      <c r="A112" s="494"/>
      <c r="B112" s="495"/>
      <c r="C112" s="495"/>
      <c r="D112" s="495"/>
      <c r="E112" s="496"/>
      <c r="F112" s="497"/>
      <c r="G112" s="498"/>
      <c r="H112" s="505"/>
      <c r="I112" s="500"/>
      <c r="J112" s="496"/>
      <c r="K112" s="501"/>
      <c r="L112" s="506" t="s">
        <v>1908</v>
      </c>
      <c r="M112" s="503" t="s">
        <v>1116</v>
      </c>
      <c r="N112" s="507">
        <v>26</v>
      </c>
      <c r="O112" s="507">
        <v>60</v>
      </c>
      <c r="P112" s="507"/>
      <c r="Q112" s="507"/>
      <c r="R112" s="507"/>
      <c r="S112" s="507"/>
      <c r="T112" s="507"/>
      <c r="U112" s="509"/>
      <c r="V112" s="509"/>
      <c r="W112" s="507"/>
      <c r="X112" s="507"/>
      <c r="Y112" s="507"/>
      <c r="Z112" s="509" t="s">
        <v>102</v>
      </c>
      <c r="AA112" s="507"/>
      <c r="AB112" s="313"/>
    </row>
  </sheetData>
  <sheetProtection algorithmName="SHA-512" hashValue="qdd11ZgPzMHyPNpIpnqYx8ZTP4JRgs2J7jiUE1qe6vq7CK4R/aE15fWQpo99AZ2lkQbKn891yEgDplyITBQKSA==" saltValue="WGFzbSwmnm9jddmtyq5KMw=="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dataValidations count="1">
    <dataValidation type="list" allowBlank="1" showInputMessage="1" showErrorMessage="1" promptTitle="Área Funcional" prompt="Seleccione el número de área funcional." sqref="E106:E112">
      <formula1>$X$18:$X$321</formula1>
    </dataValidation>
  </dataValidations>
  <pageMargins left="0.7" right="0.7" top="0.75" bottom="0.75" header="0.3" footer="0.3"/>
  <pageSetup orientation="portrait" horizontalDpi="4294967295" verticalDpi="4294967295"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24"/>
  <sheetViews>
    <sheetView showZeros="0" topLeftCell="O4" zoomScaleNormal="100" workbookViewId="0">
      <pane ySplit="5" topLeftCell="A9" activePane="bottomLeft" state="frozen"/>
      <selection activeCell="A4" sqref="A4"/>
      <selection pane="bottomLeft" activeCell="W12" sqref="W12"/>
    </sheetView>
  </sheetViews>
  <sheetFormatPr baseColWidth="10" defaultRowHeight="15" x14ac:dyDescent="0.25"/>
  <cols>
    <col min="1" max="1" width="13.140625" style="1" customWidth="1"/>
    <col min="2" max="2" width="16.85546875" style="1" customWidth="1"/>
    <col min="3" max="3" width="15" style="1" customWidth="1"/>
    <col min="4" max="4" width="13" style="1" customWidth="1"/>
    <col min="5" max="5" width="12" style="1" customWidth="1"/>
    <col min="6" max="6" width="9.28515625" style="1" bestFit="1" customWidth="1"/>
    <col min="7" max="7" width="11.85546875" style="1" customWidth="1"/>
    <col min="8" max="8" width="14.140625" style="1" customWidth="1"/>
    <col min="9" max="9" width="14" style="1" customWidth="1"/>
    <col min="10" max="10" width="13.7109375" style="475" customWidth="1"/>
    <col min="11" max="11" width="12.85546875" style="1" customWidth="1"/>
    <col min="12" max="12" width="12.7109375" style="1" customWidth="1"/>
    <col min="13" max="13" width="12.140625" style="475" customWidth="1"/>
    <col min="14" max="14" width="13" style="1" customWidth="1"/>
    <col min="15" max="15" width="14.5703125" style="1" customWidth="1"/>
    <col min="16" max="16" width="13.7109375" style="1" customWidth="1"/>
    <col min="17" max="17" width="13.7109375" style="475" customWidth="1"/>
    <col min="18" max="18" width="10.5703125" style="475" customWidth="1"/>
    <col min="19" max="19" width="12.5703125" style="1" customWidth="1"/>
    <col min="20" max="20" width="17" style="1" customWidth="1"/>
    <col min="21" max="21" width="9.85546875" style="1" customWidth="1"/>
    <col min="22" max="22" width="11.42578125" style="1"/>
    <col min="23" max="23" width="14.140625" style="1" customWidth="1"/>
    <col min="24" max="24" width="15.28515625" style="1" customWidth="1"/>
    <col min="25" max="25" width="11.7109375" style="1" customWidth="1"/>
    <col min="26" max="26" width="11.42578125" style="475"/>
    <col min="27" max="27" width="13.85546875" style="1" customWidth="1"/>
    <col min="28" max="28" width="11.42578125" style="1"/>
    <col min="29" max="29" width="11.42578125" style="475"/>
    <col min="30" max="30" width="15.7109375" style="475"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c r="Q4" s="27"/>
      <c r="R4" s="27"/>
      <c r="Z4" s="27"/>
      <c r="AA4" s="27"/>
      <c r="AB4" s="27"/>
      <c r="AC4" s="27"/>
      <c r="AD4" s="27"/>
    </row>
    <row r="5" spans="1:42" x14ac:dyDescent="0.25">
      <c r="A5" s="606" t="s">
        <v>4</v>
      </c>
      <c r="B5" s="606"/>
      <c r="C5" s="24" t="s">
        <v>3137</v>
      </c>
      <c r="D5" s="24"/>
      <c r="E5" s="24"/>
      <c r="F5" s="24"/>
      <c r="G5" s="24"/>
      <c r="H5" s="24"/>
      <c r="I5" s="25"/>
      <c r="J5" s="25"/>
      <c r="K5" s="242"/>
      <c r="L5" s="25"/>
      <c r="M5" s="25"/>
      <c r="N5" s="25"/>
      <c r="O5" s="25"/>
      <c r="P5" s="25"/>
      <c r="Q5" s="27"/>
      <c r="R5" s="27"/>
      <c r="S5" s="27"/>
      <c r="T5" s="27"/>
      <c r="U5" s="27"/>
      <c r="V5" s="27"/>
      <c r="W5" s="27"/>
      <c r="X5" s="27"/>
      <c r="Y5" s="27"/>
      <c r="Z5" s="27"/>
      <c r="AA5" s="27"/>
      <c r="AB5" s="27"/>
      <c r="AC5" s="27"/>
      <c r="AD5" s="27"/>
    </row>
    <row r="6" spans="1:42" x14ac:dyDescent="0.25">
      <c r="J6" s="27"/>
      <c r="K6" s="27"/>
      <c r="L6" s="27"/>
      <c r="M6" s="27"/>
      <c r="Q6" s="27"/>
      <c r="R6" s="27"/>
      <c r="Z6" s="27"/>
      <c r="AA6" s="27"/>
      <c r="AB6" s="27"/>
      <c r="AC6" s="27"/>
      <c r="AD6" s="27"/>
    </row>
    <row r="7" spans="1:42" s="29" customFormat="1" ht="24" customHeight="1"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7" t="s">
        <v>71</v>
      </c>
      <c r="R7" s="607"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55.5" customHeight="1" x14ac:dyDescent="0.25">
      <c r="A8" s="604"/>
      <c r="B8" s="604"/>
      <c r="C8" s="604"/>
      <c r="D8" s="604"/>
      <c r="E8" s="604"/>
      <c r="F8" s="604"/>
      <c r="G8" s="604"/>
      <c r="H8" s="604"/>
      <c r="I8" s="608"/>
      <c r="J8" s="608"/>
      <c r="K8" s="604"/>
      <c r="L8" s="608"/>
      <c r="M8" s="608"/>
      <c r="N8" s="604"/>
      <c r="O8" s="608"/>
      <c r="P8" s="608"/>
      <c r="Q8" s="608"/>
      <c r="R8" s="608"/>
      <c r="S8" s="609"/>
      <c r="T8" s="30" t="s">
        <v>76</v>
      </c>
      <c r="U8" s="30" t="s">
        <v>77</v>
      </c>
      <c r="V8" s="30"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63" customHeight="1" x14ac:dyDescent="0.25">
      <c r="A9" s="34" t="s">
        <v>23</v>
      </c>
      <c r="B9" s="34" t="s">
        <v>136</v>
      </c>
      <c r="C9" s="34" t="s">
        <v>137</v>
      </c>
      <c r="D9" s="34">
        <v>211110000</v>
      </c>
      <c r="E9" s="74" t="s">
        <v>3138</v>
      </c>
      <c r="F9" s="34" t="s">
        <v>3139</v>
      </c>
      <c r="G9" s="34" t="s">
        <v>3140</v>
      </c>
      <c r="H9" s="36">
        <v>750000000</v>
      </c>
      <c r="I9" s="36">
        <v>750000000</v>
      </c>
      <c r="J9" s="476"/>
      <c r="K9" s="36">
        <v>0</v>
      </c>
      <c r="L9" s="36"/>
      <c r="M9" s="36"/>
      <c r="N9" s="36">
        <f>H9+K9</f>
        <v>750000000</v>
      </c>
      <c r="O9" s="36">
        <f>I9+L9</f>
        <v>750000000</v>
      </c>
      <c r="P9" s="36">
        <f>J9+M9</f>
        <v>0</v>
      </c>
      <c r="Q9" s="476">
        <v>0</v>
      </c>
      <c r="R9" s="36"/>
      <c r="S9" s="36">
        <f>Q9+R9</f>
        <v>0</v>
      </c>
      <c r="T9" s="37">
        <v>0</v>
      </c>
      <c r="U9" s="37">
        <v>0</v>
      </c>
      <c r="V9" s="37">
        <v>0</v>
      </c>
      <c r="W9" s="34"/>
      <c r="X9" s="34"/>
      <c r="Y9" s="34"/>
      <c r="Z9" s="34"/>
      <c r="AA9" s="34">
        <v>0</v>
      </c>
      <c r="AB9" s="34"/>
      <c r="AC9" s="34"/>
      <c r="AD9" s="10" t="s">
        <v>3193</v>
      </c>
      <c r="AE9" s="10">
        <v>0</v>
      </c>
      <c r="AF9" s="10">
        <v>0</v>
      </c>
      <c r="AG9" s="10">
        <v>0</v>
      </c>
      <c r="AH9" s="10">
        <v>0</v>
      </c>
      <c r="AI9" s="10">
        <v>0</v>
      </c>
      <c r="AJ9" s="10">
        <v>0</v>
      </c>
      <c r="AK9" s="10">
        <v>0</v>
      </c>
      <c r="AL9" s="10">
        <v>0</v>
      </c>
      <c r="AM9" s="10">
        <v>0</v>
      </c>
      <c r="AN9" s="10">
        <v>0</v>
      </c>
      <c r="AO9" s="10">
        <v>0</v>
      </c>
      <c r="AP9" s="10">
        <v>0</v>
      </c>
    </row>
    <row r="10" spans="1:42" ht="58.5" customHeight="1" x14ac:dyDescent="0.25">
      <c r="A10" s="34">
        <v>0</v>
      </c>
      <c r="B10" s="34">
        <v>0</v>
      </c>
      <c r="C10" s="34">
        <v>0</v>
      </c>
      <c r="D10" s="34">
        <v>0</v>
      </c>
      <c r="E10" s="74">
        <v>0</v>
      </c>
      <c r="F10" s="34">
        <v>0</v>
      </c>
      <c r="G10" s="34"/>
      <c r="H10" s="36">
        <v>0</v>
      </c>
      <c r="I10" s="476"/>
      <c r="J10" s="476"/>
      <c r="K10" s="36">
        <v>0</v>
      </c>
      <c r="L10" s="39"/>
      <c r="M10" s="39"/>
      <c r="N10" s="36">
        <f t="shared" ref="N10:P51" si="0">H10+K10</f>
        <v>0</v>
      </c>
      <c r="O10" s="36">
        <f t="shared" si="0"/>
        <v>0</v>
      </c>
      <c r="P10" s="36">
        <f t="shared" si="0"/>
        <v>0</v>
      </c>
      <c r="Q10" s="476"/>
      <c r="R10" s="36"/>
      <c r="S10" s="36">
        <f t="shared" ref="S10:S51" si="1">Q10+R10</f>
        <v>0</v>
      </c>
      <c r="T10" s="37" t="s">
        <v>3194</v>
      </c>
      <c r="U10" s="37" t="s">
        <v>3195</v>
      </c>
      <c r="V10" s="37">
        <v>1</v>
      </c>
      <c r="W10" s="10">
        <v>1</v>
      </c>
      <c r="X10" s="10"/>
      <c r="Y10" s="477" t="s">
        <v>3196</v>
      </c>
      <c r="Z10" s="10">
        <v>1</v>
      </c>
      <c r="AA10" s="34">
        <v>60</v>
      </c>
      <c r="AB10" s="10" t="s">
        <v>3196</v>
      </c>
      <c r="AC10" s="10">
        <v>60</v>
      </c>
      <c r="AD10" s="10"/>
      <c r="AE10" s="10">
        <v>0</v>
      </c>
      <c r="AF10" s="10">
        <v>0</v>
      </c>
      <c r="AG10" s="10">
        <v>0</v>
      </c>
      <c r="AH10" s="10">
        <v>0</v>
      </c>
      <c r="AI10" s="10">
        <v>0</v>
      </c>
      <c r="AJ10" s="10">
        <v>0</v>
      </c>
      <c r="AK10" s="10" t="s">
        <v>218</v>
      </c>
      <c r="AL10" s="10" t="s">
        <v>218</v>
      </c>
      <c r="AM10" s="10" t="s">
        <v>218</v>
      </c>
      <c r="AN10" s="10" t="s">
        <v>218</v>
      </c>
      <c r="AO10" s="10" t="s">
        <v>218</v>
      </c>
      <c r="AP10" s="10">
        <v>0</v>
      </c>
    </row>
    <row r="11" spans="1:42" ht="36" x14ac:dyDescent="0.25">
      <c r="A11" s="34">
        <v>0</v>
      </c>
      <c r="B11" s="34">
        <v>0</v>
      </c>
      <c r="C11" s="34">
        <v>0</v>
      </c>
      <c r="D11" s="34">
        <v>0</v>
      </c>
      <c r="E11" s="74">
        <v>0</v>
      </c>
      <c r="F11" s="34">
        <v>0</v>
      </c>
      <c r="G11" s="34"/>
      <c r="H11" s="36">
        <v>0</v>
      </c>
      <c r="I11" s="476"/>
      <c r="J11" s="476"/>
      <c r="K11" s="36">
        <v>0</v>
      </c>
      <c r="L11" s="39"/>
      <c r="M11" s="39"/>
      <c r="N11" s="36">
        <f t="shared" si="0"/>
        <v>0</v>
      </c>
      <c r="O11" s="36">
        <f t="shared" si="0"/>
        <v>0</v>
      </c>
      <c r="P11" s="36">
        <f t="shared" si="0"/>
        <v>0</v>
      </c>
      <c r="Q11" s="476"/>
      <c r="R11" s="36"/>
      <c r="S11" s="36">
        <f t="shared" si="1"/>
        <v>0</v>
      </c>
      <c r="T11" s="37" t="s">
        <v>3197</v>
      </c>
      <c r="U11" s="37" t="s">
        <v>3195</v>
      </c>
      <c r="V11" s="37">
        <v>11</v>
      </c>
      <c r="W11" s="10">
        <v>11</v>
      </c>
      <c r="X11" s="10"/>
      <c r="Y11" s="477" t="s">
        <v>3196</v>
      </c>
      <c r="Z11" s="10">
        <v>12</v>
      </c>
      <c r="AA11" s="34">
        <v>120</v>
      </c>
      <c r="AB11" s="10">
        <v>53</v>
      </c>
      <c r="AC11" s="10">
        <v>120</v>
      </c>
      <c r="AD11" s="10"/>
      <c r="AE11" s="10">
        <v>0</v>
      </c>
      <c r="AF11" s="10">
        <v>0</v>
      </c>
      <c r="AG11" s="10" t="s">
        <v>218</v>
      </c>
      <c r="AH11" s="10" t="s">
        <v>218</v>
      </c>
      <c r="AI11" s="10" t="s">
        <v>218</v>
      </c>
      <c r="AJ11" s="10" t="s">
        <v>218</v>
      </c>
      <c r="AK11" s="10" t="s">
        <v>218</v>
      </c>
      <c r="AL11" s="10" t="s">
        <v>218</v>
      </c>
      <c r="AM11" s="10" t="s">
        <v>218</v>
      </c>
      <c r="AN11" s="10" t="s">
        <v>218</v>
      </c>
      <c r="AO11" s="10" t="s">
        <v>218</v>
      </c>
      <c r="AP11" s="10">
        <v>0</v>
      </c>
    </row>
    <row r="12" spans="1:42" ht="75" x14ac:dyDescent="0.25">
      <c r="A12" s="34" t="s">
        <v>23</v>
      </c>
      <c r="B12" s="34" t="s">
        <v>136</v>
      </c>
      <c r="C12" s="34" t="s">
        <v>137</v>
      </c>
      <c r="D12" s="34">
        <v>211130000</v>
      </c>
      <c r="E12" s="74" t="s">
        <v>3144</v>
      </c>
      <c r="F12" s="34" t="s">
        <v>3145</v>
      </c>
      <c r="G12" s="34" t="s">
        <v>3146</v>
      </c>
      <c r="H12" s="36">
        <v>210000000</v>
      </c>
      <c r="I12" s="36">
        <v>10000000</v>
      </c>
      <c r="J12" s="476">
        <v>0</v>
      </c>
      <c r="K12" s="36">
        <v>0</v>
      </c>
      <c r="L12" s="39"/>
      <c r="M12" s="39"/>
      <c r="N12" s="36">
        <f t="shared" si="0"/>
        <v>210000000</v>
      </c>
      <c r="O12" s="36">
        <f t="shared" si="0"/>
        <v>10000000</v>
      </c>
      <c r="P12" s="36">
        <f t="shared" si="0"/>
        <v>0</v>
      </c>
      <c r="Q12" s="476">
        <v>0</v>
      </c>
      <c r="R12" s="36"/>
      <c r="S12" s="36">
        <f t="shared" si="1"/>
        <v>0</v>
      </c>
      <c r="T12" s="37">
        <v>0</v>
      </c>
      <c r="U12" s="37">
        <v>0</v>
      </c>
      <c r="V12" s="37">
        <v>0</v>
      </c>
      <c r="W12" s="10"/>
      <c r="X12" s="10"/>
      <c r="Y12" s="10"/>
      <c r="Z12" s="10"/>
      <c r="AA12" s="34">
        <v>0</v>
      </c>
      <c r="AB12" s="10"/>
      <c r="AC12" s="10"/>
      <c r="AD12" s="10" t="s">
        <v>3198</v>
      </c>
      <c r="AE12" s="10">
        <v>0</v>
      </c>
      <c r="AF12" s="10">
        <v>0</v>
      </c>
      <c r="AG12" s="10">
        <v>0</v>
      </c>
      <c r="AH12" s="10">
        <v>0</v>
      </c>
      <c r="AI12" s="10">
        <v>0</v>
      </c>
      <c r="AJ12" s="10">
        <v>0</v>
      </c>
      <c r="AK12" s="10">
        <v>0</v>
      </c>
      <c r="AL12" s="10">
        <v>0</v>
      </c>
      <c r="AM12" s="10">
        <v>0</v>
      </c>
      <c r="AN12" s="10">
        <v>0</v>
      </c>
      <c r="AO12" s="10">
        <v>0</v>
      </c>
      <c r="AP12" s="10">
        <v>0</v>
      </c>
    </row>
    <row r="13" spans="1:42" ht="36" x14ac:dyDescent="0.25">
      <c r="A13" s="34">
        <v>0</v>
      </c>
      <c r="B13" s="34">
        <v>0</v>
      </c>
      <c r="C13" s="34">
        <v>0</v>
      </c>
      <c r="D13" s="34">
        <v>0</v>
      </c>
      <c r="E13" s="74">
        <v>0</v>
      </c>
      <c r="F13" s="34">
        <v>0</v>
      </c>
      <c r="G13" s="34"/>
      <c r="H13" s="36">
        <v>0</v>
      </c>
      <c r="I13" s="476"/>
      <c r="J13" s="476"/>
      <c r="K13" s="36">
        <v>0</v>
      </c>
      <c r="L13" s="39"/>
      <c r="M13" s="39"/>
      <c r="N13" s="36">
        <f t="shared" si="0"/>
        <v>0</v>
      </c>
      <c r="O13" s="36">
        <f t="shared" si="0"/>
        <v>0</v>
      </c>
      <c r="P13" s="36">
        <f t="shared" si="0"/>
        <v>0</v>
      </c>
      <c r="Q13" s="476"/>
      <c r="R13" s="36"/>
      <c r="S13" s="36">
        <f t="shared" si="1"/>
        <v>0</v>
      </c>
      <c r="T13" s="37" t="s">
        <v>3199</v>
      </c>
      <c r="U13" s="37" t="s">
        <v>3200</v>
      </c>
      <c r="V13" s="37">
        <v>1</v>
      </c>
      <c r="W13" s="10">
        <v>1</v>
      </c>
      <c r="X13" s="10"/>
      <c r="Y13" s="10">
        <v>1</v>
      </c>
      <c r="Z13" s="10">
        <v>1</v>
      </c>
      <c r="AA13" s="34">
        <v>60</v>
      </c>
      <c r="AB13" s="10">
        <v>60</v>
      </c>
      <c r="AC13" s="10">
        <v>60</v>
      </c>
      <c r="AD13" s="10"/>
      <c r="AE13" s="10">
        <v>0</v>
      </c>
      <c r="AF13" s="10" t="s">
        <v>218</v>
      </c>
      <c r="AG13" s="10" t="s">
        <v>218</v>
      </c>
      <c r="AH13" s="10" t="s">
        <v>218</v>
      </c>
      <c r="AI13" s="10" t="s">
        <v>218</v>
      </c>
      <c r="AJ13" s="10">
        <v>0</v>
      </c>
      <c r="AK13" s="10">
        <v>0</v>
      </c>
      <c r="AL13" s="10">
        <v>0</v>
      </c>
      <c r="AM13" s="10">
        <v>0</v>
      </c>
      <c r="AN13" s="10">
        <v>0</v>
      </c>
      <c r="AO13" s="10">
        <v>0</v>
      </c>
      <c r="AP13" s="10">
        <v>0</v>
      </c>
    </row>
    <row r="14" spans="1:42" ht="36" x14ac:dyDescent="0.25">
      <c r="A14" s="34">
        <v>0</v>
      </c>
      <c r="B14" s="34">
        <v>0</v>
      </c>
      <c r="C14" s="34">
        <v>0</v>
      </c>
      <c r="D14" s="34">
        <v>0</v>
      </c>
      <c r="E14" s="74">
        <v>0</v>
      </c>
      <c r="F14" s="34">
        <v>0</v>
      </c>
      <c r="G14" s="34"/>
      <c r="H14" s="36">
        <v>0</v>
      </c>
      <c r="I14" s="476"/>
      <c r="J14" s="476"/>
      <c r="K14" s="36">
        <v>0</v>
      </c>
      <c r="L14" s="39"/>
      <c r="M14" s="39"/>
      <c r="N14" s="36">
        <f t="shared" si="0"/>
        <v>0</v>
      </c>
      <c r="O14" s="36">
        <f t="shared" si="0"/>
        <v>0</v>
      </c>
      <c r="P14" s="36">
        <f t="shared" si="0"/>
        <v>0</v>
      </c>
      <c r="Q14" s="476"/>
      <c r="R14" s="36"/>
      <c r="S14" s="36">
        <f t="shared" si="1"/>
        <v>0</v>
      </c>
      <c r="T14" s="37" t="s">
        <v>3201</v>
      </c>
      <c r="U14" s="37" t="s">
        <v>3202</v>
      </c>
      <c r="V14" s="37">
        <v>1</v>
      </c>
      <c r="W14" s="10">
        <v>1</v>
      </c>
      <c r="X14" s="10"/>
      <c r="Y14" s="10" t="s">
        <v>3196</v>
      </c>
      <c r="Z14" s="10">
        <v>1</v>
      </c>
      <c r="AA14" s="34">
        <v>90</v>
      </c>
      <c r="AB14" s="10" t="s">
        <v>3196</v>
      </c>
      <c r="AC14" s="10">
        <v>90</v>
      </c>
      <c r="AD14" s="10"/>
      <c r="AE14" s="10">
        <v>0</v>
      </c>
      <c r="AF14" s="10">
        <v>0</v>
      </c>
      <c r="AG14" s="10">
        <v>0</v>
      </c>
      <c r="AH14" s="10" t="s">
        <v>218</v>
      </c>
      <c r="AI14" s="10" t="s">
        <v>218</v>
      </c>
      <c r="AJ14" s="10" t="s">
        <v>218</v>
      </c>
      <c r="AK14" s="10">
        <v>0</v>
      </c>
      <c r="AL14" s="10">
        <v>0</v>
      </c>
      <c r="AM14" s="10">
        <v>0</v>
      </c>
      <c r="AN14" s="10">
        <v>0</v>
      </c>
      <c r="AO14" s="10">
        <v>0</v>
      </c>
      <c r="AP14" s="10">
        <v>0</v>
      </c>
    </row>
    <row r="15" spans="1:42" ht="36" x14ac:dyDescent="0.25">
      <c r="A15" s="34">
        <v>0</v>
      </c>
      <c r="B15" s="34">
        <v>0</v>
      </c>
      <c r="C15" s="34">
        <v>0</v>
      </c>
      <c r="D15" s="34">
        <v>0</v>
      </c>
      <c r="E15" s="74">
        <v>0</v>
      </c>
      <c r="F15" s="34">
        <v>0</v>
      </c>
      <c r="G15" s="34"/>
      <c r="H15" s="36">
        <v>0</v>
      </c>
      <c r="I15" s="476"/>
      <c r="J15" s="476"/>
      <c r="K15" s="36">
        <v>0</v>
      </c>
      <c r="L15" s="39"/>
      <c r="M15" s="39"/>
      <c r="N15" s="36">
        <f t="shared" si="0"/>
        <v>0</v>
      </c>
      <c r="O15" s="36">
        <f t="shared" si="0"/>
        <v>0</v>
      </c>
      <c r="P15" s="36">
        <f t="shared" si="0"/>
        <v>0</v>
      </c>
      <c r="Q15" s="476"/>
      <c r="R15" s="36"/>
      <c r="S15" s="36">
        <f t="shared" si="1"/>
        <v>0</v>
      </c>
      <c r="T15" s="37" t="s">
        <v>3203</v>
      </c>
      <c r="U15" s="37" t="s">
        <v>3204</v>
      </c>
      <c r="V15" s="37">
        <v>2</v>
      </c>
      <c r="W15" s="10">
        <v>2</v>
      </c>
      <c r="X15" s="10"/>
      <c r="Y15" s="10">
        <v>1</v>
      </c>
      <c r="Z15" s="10">
        <v>2</v>
      </c>
      <c r="AA15" s="34">
        <v>60</v>
      </c>
      <c r="AB15" s="10">
        <v>30</v>
      </c>
      <c r="AC15" s="10">
        <v>60</v>
      </c>
      <c r="AD15" s="10"/>
      <c r="AE15" s="10">
        <v>0</v>
      </c>
      <c r="AF15" s="10">
        <v>0</v>
      </c>
      <c r="AG15" s="10" t="s">
        <v>218</v>
      </c>
      <c r="AH15" s="10">
        <v>0</v>
      </c>
      <c r="AI15" s="10">
        <v>0</v>
      </c>
      <c r="AJ15" s="10">
        <v>0</v>
      </c>
      <c r="AK15" s="10">
        <v>0</v>
      </c>
      <c r="AL15" s="10">
        <v>0</v>
      </c>
      <c r="AM15" s="10" t="s">
        <v>218</v>
      </c>
      <c r="AN15" s="10">
        <v>0</v>
      </c>
      <c r="AO15" s="10">
        <v>0</v>
      </c>
      <c r="AP15" s="10">
        <v>0</v>
      </c>
    </row>
    <row r="16" spans="1:42" ht="36" x14ac:dyDescent="0.25">
      <c r="A16" s="34">
        <v>0</v>
      </c>
      <c r="B16" s="34">
        <v>0</v>
      </c>
      <c r="C16" s="34">
        <v>0</v>
      </c>
      <c r="D16" s="34">
        <v>0</v>
      </c>
      <c r="E16" s="74">
        <v>0</v>
      </c>
      <c r="F16" s="34">
        <v>0</v>
      </c>
      <c r="G16" s="34"/>
      <c r="H16" s="36">
        <v>0</v>
      </c>
      <c r="I16" s="476"/>
      <c r="J16" s="476"/>
      <c r="K16" s="36">
        <v>0</v>
      </c>
      <c r="L16" s="39"/>
      <c r="M16" s="39"/>
      <c r="N16" s="36">
        <f t="shared" si="0"/>
        <v>0</v>
      </c>
      <c r="O16" s="36">
        <f t="shared" si="0"/>
        <v>0</v>
      </c>
      <c r="P16" s="36">
        <f t="shared" si="0"/>
        <v>0</v>
      </c>
      <c r="Q16" s="476"/>
      <c r="R16" s="36"/>
      <c r="S16" s="36">
        <f t="shared" si="1"/>
        <v>0</v>
      </c>
      <c r="T16" s="37" t="s">
        <v>3205</v>
      </c>
      <c r="U16" s="37" t="s">
        <v>3206</v>
      </c>
      <c r="V16" s="37">
        <v>1</v>
      </c>
      <c r="W16" s="10">
        <v>1</v>
      </c>
      <c r="X16" s="10"/>
      <c r="Y16" s="10" t="s">
        <v>3196</v>
      </c>
      <c r="Z16" s="10">
        <v>1</v>
      </c>
      <c r="AA16" s="34">
        <v>60</v>
      </c>
      <c r="AB16" s="10">
        <v>20</v>
      </c>
      <c r="AC16" s="10">
        <v>60</v>
      </c>
      <c r="AD16" s="10" t="s">
        <v>3207</v>
      </c>
      <c r="AE16" s="10">
        <v>0</v>
      </c>
      <c r="AF16" s="10" t="s">
        <v>218</v>
      </c>
      <c r="AG16" s="10" t="s">
        <v>218</v>
      </c>
      <c r="AH16" s="10" t="s">
        <v>218</v>
      </c>
      <c r="AI16" s="10" t="s">
        <v>218</v>
      </c>
      <c r="AJ16" s="10" t="s">
        <v>218</v>
      </c>
      <c r="AK16" s="10" t="s">
        <v>218</v>
      </c>
      <c r="AL16" s="10">
        <v>0</v>
      </c>
      <c r="AM16" s="10">
        <v>0</v>
      </c>
      <c r="AN16" s="10">
        <v>0</v>
      </c>
      <c r="AO16" s="10">
        <v>0</v>
      </c>
      <c r="AP16" s="10">
        <v>0</v>
      </c>
    </row>
    <row r="17" spans="1:42" ht="48" x14ac:dyDescent="0.25">
      <c r="A17" s="34" t="s">
        <v>23</v>
      </c>
      <c r="B17" s="34" t="s">
        <v>136</v>
      </c>
      <c r="C17" s="34" t="s">
        <v>137</v>
      </c>
      <c r="D17" s="34">
        <v>211180000</v>
      </c>
      <c r="E17" s="74" t="s">
        <v>3149</v>
      </c>
      <c r="F17" s="34" t="s">
        <v>3150</v>
      </c>
      <c r="G17" s="34" t="s">
        <v>3151</v>
      </c>
      <c r="H17" s="36">
        <v>609000000</v>
      </c>
      <c r="I17" s="476">
        <v>0</v>
      </c>
      <c r="J17" s="476">
        <v>0</v>
      </c>
      <c r="K17" s="36">
        <v>0</v>
      </c>
      <c r="L17" s="39"/>
      <c r="M17" s="39"/>
      <c r="N17" s="36">
        <f t="shared" si="0"/>
        <v>609000000</v>
      </c>
      <c r="O17" s="36">
        <f t="shared" si="0"/>
        <v>0</v>
      </c>
      <c r="P17" s="36">
        <f t="shared" si="0"/>
        <v>0</v>
      </c>
      <c r="Q17" s="476">
        <v>0</v>
      </c>
      <c r="R17" s="36"/>
      <c r="S17" s="36">
        <f t="shared" si="1"/>
        <v>0</v>
      </c>
      <c r="T17" s="37">
        <v>0</v>
      </c>
      <c r="U17" s="37">
        <v>0</v>
      </c>
      <c r="V17" s="37">
        <v>0</v>
      </c>
      <c r="W17" s="10"/>
      <c r="X17" s="10"/>
      <c r="Y17" s="10"/>
      <c r="Z17" s="10"/>
      <c r="AA17" s="34">
        <v>0</v>
      </c>
      <c r="AB17" s="10"/>
      <c r="AC17" s="10"/>
      <c r="AD17" s="10" t="s">
        <v>3208</v>
      </c>
      <c r="AE17" s="10">
        <v>0</v>
      </c>
      <c r="AF17" s="10">
        <v>0</v>
      </c>
      <c r="AG17" s="10">
        <v>0</v>
      </c>
      <c r="AH17" s="10">
        <v>0</v>
      </c>
      <c r="AI17" s="10">
        <v>0</v>
      </c>
      <c r="AJ17" s="10">
        <v>0</v>
      </c>
      <c r="AK17" s="10">
        <v>0</v>
      </c>
      <c r="AL17" s="10">
        <v>0</v>
      </c>
      <c r="AM17" s="10">
        <v>0</v>
      </c>
      <c r="AN17" s="10">
        <v>0</v>
      </c>
      <c r="AO17" s="10">
        <v>0</v>
      </c>
      <c r="AP17" s="10">
        <v>0</v>
      </c>
    </row>
    <row r="18" spans="1:42" ht="36" x14ac:dyDescent="0.25">
      <c r="A18" s="34">
        <v>0</v>
      </c>
      <c r="B18" s="34">
        <v>0</v>
      </c>
      <c r="C18" s="34">
        <v>0</v>
      </c>
      <c r="D18" s="34">
        <v>0</v>
      </c>
      <c r="E18" s="74">
        <v>0</v>
      </c>
      <c r="F18" s="34">
        <v>0</v>
      </c>
      <c r="G18" s="34"/>
      <c r="H18" s="36">
        <v>0</v>
      </c>
      <c r="I18" s="476"/>
      <c r="J18" s="476"/>
      <c r="K18" s="36">
        <v>0</v>
      </c>
      <c r="L18" s="39"/>
      <c r="M18" s="39"/>
      <c r="N18" s="36">
        <f t="shared" si="0"/>
        <v>0</v>
      </c>
      <c r="O18" s="36">
        <f t="shared" si="0"/>
        <v>0</v>
      </c>
      <c r="P18" s="36">
        <f t="shared" si="0"/>
        <v>0</v>
      </c>
      <c r="Q18" s="476"/>
      <c r="R18" s="36"/>
      <c r="S18" s="36">
        <f t="shared" si="1"/>
        <v>0</v>
      </c>
      <c r="T18" s="37" t="s">
        <v>3209</v>
      </c>
      <c r="U18" s="37" t="s">
        <v>2254</v>
      </c>
      <c r="V18" s="37">
        <v>1</v>
      </c>
      <c r="W18" s="10">
        <v>1</v>
      </c>
      <c r="X18" s="10"/>
      <c r="Y18" s="10">
        <v>1</v>
      </c>
      <c r="Z18" s="10">
        <v>1</v>
      </c>
      <c r="AA18" s="34">
        <v>90</v>
      </c>
      <c r="AB18" s="10">
        <v>90</v>
      </c>
      <c r="AC18" s="10">
        <v>90</v>
      </c>
      <c r="AD18" s="10" t="s">
        <v>3210</v>
      </c>
      <c r="AE18" s="10">
        <v>0</v>
      </c>
      <c r="AF18" s="10" t="s">
        <v>218</v>
      </c>
      <c r="AG18" s="10" t="s">
        <v>218</v>
      </c>
      <c r="AH18" s="10" t="s">
        <v>218</v>
      </c>
      <c r="AI18" s="10" t="s">
        <v>218</v>
      </c>
      <c r="AJ18" s="10" t="s">
        <v>218</v>
      </c>
      <c r="AK18" s="10" t="s">
        <v>218</v>
      </c>
      <c r="AL18" s="10" t="s">
        <v>218</v>
      </c>
      <c r="AM18" s="10" t="s">
        <v>218</v>
      </c>
      <c r="AN18" s="10" t="s">
        <v>218</v>
      </c>
      <c r="AO18" s="10" t="s">
        <v>218</v>
      </c>
      <c r="AP18" s="10">
        <v>0</v>
      </c>
    </row>
    <row r="19" spans="1:42" ht="48" x14ac:dyDescent="0.25">
      <c r="A19" s="34">
        <v>0</v>
      </c>
      <c r="B19" s="34">
        <v>0</v>
      </c>
      <c r="C19" s="34">
        <v>0</v>
      </c>
      <c r="D19" s="34">
        <v>0</v>
      </c>
      <c r="E19" s="74">
        <v>0</v>
      </c>
      <c r="F19" s="34">
        <v>0</v>
      </c>
      <c r="G19" s="34"/>
      <c r="H19" s="36">
        <v>0</v>
      </c>
      <c r="I19" s="476"/>
      <c r="J19" s="476"/>
      <c r="K19" s="36">
        <v>0</v>
      </c>
      <c r="L19" s="39"/>
      <c r="M19" s="39"/>
      <c r="N19" s="36">
        <f t="shared" si="0"/>
        <v>0</v>
      </c>
      <c r="O19" s="36">
        <f t="shared" si="0"/>
        <v>0</v>
      </c>
      <c r="P19" s="36">
        <f t="shared" si="0"/>
        <v>0</v>
      </c>
      <c r="Q19" s="476"/>
      <c r="R19" s="36"/>
      <c r="S19" s="36">
        <f t="shared" si="1"/>
        <v>0</v>
      </c>
      <c r="T19" s="37" t="s">
        <v>3211</v>
      </c>
      <c r="U19" s="37" t="s">
        <v>3212</v>
      </c>
      <c r="V19" s="37">
        <v>1</v>
      </c>
      <c r="W19" s="10">
        <v>1</v>
      </c>
      <c r="X19" s="10"/>
      <c r="Y19" s="10" t="s">
        <v>3196</v>
      </c>
      <c r="Z19" s="10">
        <v>1</v>
      </c>
      <c r="AA19" s="34">
        <v>150</v>
      </c>
      <c r="AB19" s="10">
        <v>50</v>
      </c>
      <c r="AC19" s="10">
        <v>150</v>
      </c>
      <c r="AD19" s="10" t="s">
        <v>3213</v>
      </c>
      <c r="AE19" s="10">
        <v>0</v>
      </c>
      <c r="AF19" s="10" t="s">
        <v>218</v>
      </c>
      <c r="AG19" s="10" t="s">
        <v>218</v>
      </c>
      <c r="AH19" s="10" t="s">
        <v>218</v>
      </c>
      <c r="AI19" s="10" t="s">
        <v>218</v>
      </c>
      <c r="AJ19" s="10" t="s">
        <v>218</v>
      </c>
      <c r="AK19" s="10" t="s">
        <v>218</v>
      </c>
      <c r="AL19" s="10" t="s">
        <v>218</v>
      </c>
      <c r="AM19" s="10" t="s">
        <v>218</v>
      </c>
      <c r="AN19" s="10" t="s">
        <v>218</v>
      </c>
      <c r="AO19" s="10" t="s">
        <v>218</v>
      </c>
      <c r="AP19" s="10">
        <v>0</v>
      </c>
    </row>
    <row r="20" spans="1:42" ht="48" x14ac:dyDescent="0.25">
      <c r="A20" s="34">
        <v>0</v>
      </c>
      <c r="B20" s="34">
        <v>0</v>
      </c>
      <c r="C20" s="34">
        <v>0</v>
      </c>
      <c r="D20" s="34">
        <v>0</v>
      </c>
      <c r="E20" s="74">
        <v>0</v>
      </c>
      <c r="F20" s="34">
        <v>0</v>
      </c>
      <c r="G20" s="34"/>
      <c r="H20" s="36">
        <v>0</v>
      </c>
      <c r="I20" s="476"/>
      <c r="J20" s="476"/>
      <c r="K20" s="36">
        <v>0</v>
      </c>
      <c r="L20" s="39"/>
      <c r="M20" s="39"/>
      <c r="N20" s="36">
        <f t="shared" si="0"/>
        <v>0</v>
      </c>
      <c r="O20" s="36">
        <f t="shared" si="0"/>
        <v>0</v>
      </c>
      <c r="P20" s="36">
        <f t="shared" si="0"/>
        <v>0</v>
      </c>
      <c r="Q20" s="476"/>
      <c r="R20" s="36"/>
      <c r="S20" s="36">
        <f t="shared" si="1"/>
        <v>0</v>
      </c>
      <c r="T20" s="37" t="s">
        <v>3214</v>
      </c>
      <c r="U20" s="37" t="s">
        <v>3212</v>
      </c>
      <c r="V20" s="37">
        <v>1</v>
      </c>
      <c r="W20" s="10">
        <v>1</v>
      </c>
      <c r="X20" s="10"/>
      <c r="Y20" s="10" t="s">
        <v>3196</v>
      </c>
      <c r="Z20" s="10">
        <v>1</v>
      </c>
      <c r="AA20" s="34">
        <v>60</v>
      </c>
      <c r="AB20" s="10" t="s">
        <v>3196</v>
      </c>
      <c r="AC20" s="10">
        <v>60</v>
      </c>
      <c r="AD20" s="10"/>
      <c r="AE20" s="10">
        <v>0</v>
      </c>
      <c r="AF20" s="10">
        <v>0</v>
      </c>
      <c r="AG20" s="10">
        <v>0</v>
      </c>
      <c r="AH20" s="10">
        <v>0</v>
      </c>
      <c r="AI20" s="10">
        <v>0</v>
      </c>
      <c r="AJ20" s="10">
        <v>0</v>
      </c>
      <c r="AK20" s="10">
        <v>0</v>
      </c>
      <c r="AL20" s="10">
        <v>0</v>
      </c>
      <c r="AM20" s="10" t="s">
        <v>218</v>
      </c>
      <c r="AN20" s="10" t="s">
        <v>218</v>
      </c>
      <c r="AO20" s="10" t="s">
        <v>218</v>
      </c>
      <c r="AP20" s="10" t="s">
        <v>218</v>
      </c>
    </row>
    <row r="21" spans="1:42" ht="150" x14ac:dyDescent="0.25">
      <c r="A21" s="34" t="s">
        <v>23</v>
      </c>
      <c r="B21" s="34" t="s">
        <v>142</v>
      </c>
      <c r="C21" s="34" t="s">
        <v>1274</v>
      </c>
      <c r="D21" s="34">
        <v>212110000</v>
      </c>
      <c r="E21" s="74" t="s">
        <v>3153</v>
      </c>
      <c r="F21" s="34" t="s">
        <v>3154</v>
      </c>
      <c r="G21" s="34" t="s">
        <v>3155</v>
      </c>
      <c r="H21" s="36">
        <v>290525000</v>
      </c>
      <c r="I21" s="36">
        <v>290525000</v>
      </c>
      <c r="J21" s="476">
        <v>0</v>
      </c>
      <c r="K21" s="36">
        <v>0</v>
      </c>
      <c r="L21" s="39"/>
      <c r="M21" s="39"/>
      <c r="N21" s="36">
        <f t="shared" si="0"/>
        <v>290525000</v>
      </c>
      <c r="O21" s="36">
        <f t="shared" si="0"/>
        <v>290525000</v>
      </c>
      <c r="P21" s="36">
        <f t="shared" si="0"/>
        <v>0</v>
      </c>
      <c r="Q21" s="476">
        <v>0</v>
      </c>
      <c r="R21" s="36"/>
      <c r="S21" s="36">
        <f t="shared" si="1"/>
        <v>0</v>
      </c>
      <c r="T21" s="37">
        <v>0</v>
      </c>
      <c r="U21" s="37">
        <v>0</v>
      </c>
      <c r="V21" s="37">
        <v>0</v>
      </c>
      <c r="W21" s="10"/>
      <c r="X21" s="10"/>
      <c r="Y21" s="10"/>
      <c r="Z21" s="10"/>
      <c r="AA21" s="34">
        <v>0</v>
      </c>
      <c r="AB21" s="10"/>
      <c r="AC21" s="10"/>
      <c r="AD21" s="10" t="s">
        <v>3215</v>
      </c>
      <c r="AE21" s="10">
        <v>0</v>
      </c>
      <c r="AF21" s="10">
        <v>0</v>
      </c>
      <c r="AG21" s="10">
        <v>0</v>
      </c>
      <c r="AH21" s="10">
        <v>0</v>
      </c>
      <c r="AI21" s="10">
        <v>0</v>
      </c>
      <c r="AJ21" s="10">
        <v>0</v>
      </c>
      <c r="AK21" s="10">
        <v>0</v>
      </c>
      <c r="AL21" s="10">
        <v>0</v>
      </c>
      <c r="AM21" s="10">
        <v>0</v>
      </c>
      <c r="AN21" s="10">
        <v>0</v>
      </c>
      <c r="AO21" s="10">
        <v>0</v>
      </c>
      <c r="AP21" s="10">
        <v>0</v>
      </c>
    </row>
    <row r="22" spans="1:42" ht="45" x14ac:dyDescent="0.25">
      <c r="A22" s="34">
        <v>0</v>
      </c>
      <c r="B22" s="34">
        <v>0</v>
      </c>
      <c r="C22" s="34">
        <v>0</v>
      </c>
      <c r="D22" s="34">
        <v>0</v>
      </c>
      <c r="E22" s="74">
        <v>0</v>
      </c>
      <c r="F22" s="34">
        <v>0</v>
      </c>
      <c r="G22" s="34"/>
      <c r="H22" s="36">
        <v>0</v>
      </c>
      <c r="I22" s="476"/>
      <c r="J22" s="476"/>
      <c r="K22" s="36">
        <v>0</v>
      </c>
      <c r="L22" s="39"/>
      <c r="M22" s="39"/>
      <c r="N22" s="36">
        <f t="shared" si="0"/>
        <v>0</v>
      </c>
      <c r="O22" s="36">
        <f t="shared" si="0"/>
        <v>0</v>
      </c>
      <c r="P22" s="36">
        <f t="shared" si="0"/>
        <v>0</v>
      </c>
      <c r="Q22" s="476"/>
      <c r="R22" s="36"/>
      <c r="S22" s="36">
        <f t="shared" si="1"/>
        <v>0</v>
      </c>
      <c r="T22" s="37" t="s">
        <v>3216</v>
      </c>
      <c r="U22" s="37" t="s">
        <v>3217</v>
      </c>
      <c r="V22" s="37">
        <v>9958</v>
      </c>
      <c r="W22" s="10">
        <v>9958</v>
      </c>
      <c r="X22" s="10"/>
      <c r="Y22" s="10" t="s">
        <v>3218</v>
      </c>
      <c r="Z22" s="10">
        <v>18000</v>
      </c>
      <c r="AA22" s="34">
        <v>270</v>
      </c>
      <c r="AB22" s="10" t="s">
        <v>3218</v>
      </c>
      <c r="AC22" s="10">
        <v>270</v>
      </c>
      <c r="AD22" s="10" t="s">
        <v>3219</v>
      </c>
      <c r="AE22" s="10">
        <v>0</v>
      </c>
      <c r="AF22" s="10">
        <v>0</v>
      </c>
      <c r="AG22" s="10" t="s">
        <v>218</v>
      </c>
      <c r="AH22" s="10" t="s">
        <v>218</v>
      </c>
      <c r="AI22" s="10" t="s">
        <v>218</v>
      </c>
      <c r="AJ22" s="10" t="s">
        <v>218</v>
      </c>
      <c r="AK22" s="10" t="s">
        <v>218</v>
      </c>
      <c r="AL22" s="10" t="s">
        <v>218</v>
      </c>
      <c r="AM22" s="10" t="s">
        <v>218</v>
      </c>
      <c r="AN22" s="10" t="s">
        <v>218</v>
      </c>
      <c r="AO22" s="10" t="s">
        <v>218</v>
      </c>
      <c r="AP22" s="10">
        <v>0</v>
      </c>
    </row>
    <row r="23" spans="1:42" ht="45" x14ac:dyDescent="0.25">
      <c r="A23" s="34">
        <v>0</v>
      </c>
      <c r="B23" s="34">
        <v>0</v>
      </c>
      <c r="C23" s="34">
        <v>0</v>
      </c>
      <c r="D23" s="34">
        <v>0</v>
      </c>
      <c r="E23" s="74">
        <v>0</v>
      </c>
      <c r="F23" s="34">
        <v>0</v>
      </c>
      <c r="G23" s="34"/>
      <c r="H23" s="36">
        <v>0</v>
      </c>
      <c r="I23" s="476"/>
      <c r="J23" s="476"/>
      <c r="K23" s="36">
        <v>0</v>
      </c>
      <c r="L23" s="39"/>
      <c r="M23" s="39"/>
      <c r="N23" s="36">
        <f t="shared" si="0"/>
        <v>0</v>
      </c>
      <c r="O23" s="36">
        <f t="shared" si="0"/>
        <v>0</v>
      </c>
      <c r="P23" s="36">
        <f t="shared" si="0"/>
        <v>0</v>
      </c>
      <c r="Q23" s="476"/>
      <c r="R23" s="36"/>
      <c r="S23" s="36">
        <f t="shared" si="1"/>
        <v>0</v>
      </c>
      <c r="T23" s="37" t="s">
        <v>3220</v>
      </c>
      <c r="U23" s="37" t="s">
        <v>3217</v>
      </c>
      <c r="V23" s="37">
        <v>9958</v>
      </c>
      <c r="W23" s="10">
        <v>9958</v>
      </c>
      <c r="X23" s="10"/>
      <c r="Y23" s="10" t="s">
        <v>3218</v>
      </c>
      <c r="Z23" s="10">
        <v>18000</v>
      </c>
      <c r="AA23" s="34">
        <v>270</v>
      </c>
      <c r="AB23" s="10" t="s">
        <v>3218</v>
      </c>
      <c r="AC23" s="10">
        <v>270</v>
      </c>
      <c r="AD23" s="10" t="s">
        <v>3219</v>
      </c>
      <c r="AE23" s="10">
        <v>0</v>
      </c>
      <c r="AF23" s="10">
        <v>0</v>
      </c>
      <c r="AG23" s="10" t="s">
        <v>218</v>
      </c>
      <c r="AH23" s="10" t="s">
        <v>218</v>
      </c>
      <c r="AI23" s="10" t="s">
        <v>218</v>
      </c>
      <c r="AJ23" s="10" t="s">
        <v>218</v>
      </c>
      <c r="AK23" s="10" t="s">
        <v>218</v>
      </c>
      <c r="AL23" s="10" t="s">
        <v>218</v>
      </c>
      <c r="AM23" s="10" t="s">
        <v>218</v>
      </c>
      <c r="AN23" s="10" t="s">
        <v>218</v>
      </c>
      <c r="AO23" s="10" t="s">
        <v>218</v>
      </c>
      <c r="AP23" s="10">
        <v>0</v>
      </c>
    </row>
    <row r="24" spans="1:42" ht="45" x14ac:dyDescent="0.25">
      <c r="A24" s="34">
        <v>0</v>
      </c>
      <c r="B24" s="34">
        <v>0</v>
      </c>
      <c r="C24" s="34">
        <v>0</v>
      </c>
      <c r="D24" s="34">
        <v>0</v>
      </c>
      <c r="E24" s="74">
        <v>0</v>
      </c>
      <c r="F24" s="34">
        <v>0</v>
      </c>
      <c r="G24" s="34"/>
      <c r="H24" s="36">
        <v>0</v>
      </c>
      <c r="I24" s="476"/>
      <c r="J24" s="476"/>
      <c r="K24" s="36">
        <v>0</v>
      </c>
      <c r="L24" s="39"/>
      <c r="M24" s="39"/>
      <c r="N24" s="36">
        <f t="shared" si="0"/>
        <v>0</v>
      </c>
      <c r="O24" s="36">
        <f t="shared" si="0"/>
        <v>0</v>
      </c>
      <c r="P24" s="36">
        <f t="shared" si="0"/>
        <v>0</v>
      </c>
      <c r="Q24" s="476"/>
      <c r="R24" s="36"/>
      <c r="S24" s="36">
        <f t="shared" si="1"/>
        <v>0</v>
      </c>
      <c r="T24" s="37" t="s">
        <v>3221</v>
      </c>
      <c r="U24" s="37" t="s">
        <v>3222</v>
      </c>
      <c r="V24" s="37">
        <v>9958</v>
      </c>
      <c r="W24" s="10">
        <v>9958</v>
      </c>
      <c r="X24" s="10"/>
      <c r="Y24" s="10" t="s">
        <v>3218</v>
      </c>
      <c r="Z24" s="10">
        <v>0</v>
      </c>
      <c r="AA24" s="34">
        <v>270</v>
      </c>
      <c r="AB24" s="10" t="s">
        <v>3218</v>
      </c>
      <c r="AC24" s="10">
        <v>0</v>
      </c>
      <c r="AD24" s="10" t="s">
        <v>3219</v>
      </c>
      <c r="AE24" s="10">
        <v>0</v>
      </c>
      <c r="AF24" s="10">
        <v>0</v>
      </c>
      <c r="AG24" s="10" t="s">
        <v>218</v>
      </c>
      <c r="AH24" s="10" t="s">
        <v>218</v>
      </c>
      <c r="AI24" s="10" t="s">
        <v>218</v>
      </c>
      <c r="AJ24" s="10" t="s">
        <v>218</v>
      </c>
      <c r="AK24" s="10" t="s">
        <v>218</v>
      </c>
      <c r="AL24" s="10" t="s">
        <v>218</v>
      </c>
      <c r="AM24" s="10" t="s">
        <v>218</v>
      </c>
      <c r="AN24" s="10" t="s">
        <v>218</v>
      </c>
      <c r="AO24" s="10" t="s">
        <v>218</v>
      </c>
      <c r="AP24" s="10">
        <v>0</v>
      </c>
    </row>
    <row r="25" spans="1:42" ht="45" x14ac:dyDescent="0.25">
      <c r="A25" s="34">
        <v>0</v>
      </c>
      <c r="B25" s="34">
        <v>0</v>
      </c>
      <c r="C25" s="34">
        <v>0</v>
      </c>
      <c r="D25" s="34">
        <v>0</v>
      </c>
      <c r="E25" s="74">
        <v>0</v>
      </c>
      <c r="F25" s="34">
        <v>0</v>
      </c>
      <c r="G25" s="34"/>
      <c r="H25" s="36">
        <v>0</v>
      </c>
      <c r="I25" s="476"/>
      <c r="J25" s="476"/>
      <c r="K25" s="36">
        <v>0</v>
      </c>
      <c r="L25" s="39"/>
      <c r="M25" s="39"/>
      <c r="N25" s="36">
        <f t="shared" si="0"/>
        <v>0</v>
      </c>
      <c r="O25" s="36">
        <f t="shared" si="0"/>
        <v>0</v>
      </c>
      <c r="P25" s="36">
        <f t="shared" si="0"/>
        <v>0</v>
      </c>
      <c r="Q25" s="476"/>
      <c r="R25" s="36"/>
      <c r="S25" s="36">
        <f t="shared" si="1"/>
        <v>0</v>
      </c>
      <c r="T25" s="37" t="s">
        <v>3223</v>
      </c>
      <c r="U25" s="37" t="s">
        <v>3222</v>
      </c>
      <c r="V25" s="37">
        <v>9958</v>
      </c>
      <c r="W25" s="10">
        <v>9958</v>
      </c>
      <c r="X25" s="10"/>
      <c r="Y25" s="10" t="s">
        <v>3218</v>
      </c>
      <c r="Z25" s="10">
        <v>18000</v>
      </c>
      <c r="AA25" s="34">
        <v>270</v>
      </c>
      <c r="AB25" s="10" t="s">
        <v>3218</v>
      </c>
      <c r="AC25" s="10">
        <v>270</v>
      </c>
      <c r="AD25" s="10" t="s">
        <v>3219</v>
      </c>
      <c r="AE25" s="10">
        <v>0</v>
      </c>
      <c r="AF25" s="10">
        <v>0</v>
      </c>
      <c r="AG25" s="10" t="s">
        <v>218</v>
      </c>
      <c r="AH25" s="10" t="s">
        <v>218</v>
      </c>
      <c r="AI25" s="10" t="s">
        <v>218</v>
      </c>
      <c r="AJ25" s="10" t="s">
        <v>218</v>
      </c>
      <c r="AK25" s="10" t="s">
        <v>218</v>
      </c>
      <c r="AL25" s="10" t="s">
        <v>218</v>
      </c>
      <c r="AM25" s="10" t="s">
        <v>218</v>
      </c>
      <c r="AN25" s="10" t="s">
        <v>218</v>
      </c>
      <c r="AO25" s="10" t="s">
        <v>218</v>
      </c>
      <c r="AP25" s="10">
        <v>0</v>
      </c>
    </row>
    <row r="26" spans="1:42" ht="150" x14ac:dyDescent="0.25">
      <c r="A26" s="18" t="s">
        <v>23</v>
      </c>
      <c r="B26" s="18" t="s">
        <v>142</v>
      </c>
      <c r="C26" s="18" t="s">
        <v>1274</v>
      </c>
      <c r="D26" s="18">
        <v>212110000</v>
      </c>
      <c r="E26" s="74" t="s">
        <v>3158</v>
      </c>
      <c r="F26" s="34" t="s">
        <v>3159</v>
      </c>
      <c r="G26" s="34" t="s">
        <v>3160</v>
      </c>
      <c r="H26" s="36">
        <v>300000000</v>
      </c>
      <c r="I26" s="36">
        <v>2290935985</v>
      </c>
      <c r="J26" s="36">
        <v>3741350147</v>
      </c>
      <c r="K26" s="36">
        <v>0</v>
      </c>
      <c r="L26" s="39"/>
      <c r="M26" s="39"/>
      <c r="N26" s="36">
        <f t="shared" si="0"/>
        <v>300000000</v>
      </c>
      <c r="O26" s="36">
        <f t="shared" si="0"/>
        <v>2290935985</v>
      </c>
      <c r="P26" s="36">
        <f t="shared" si="0"/>
        <v>3741350147</v>
      </c>
      <c r="Q26" s="36">
        <v>3730981929</v>
      </c>
      <c r="R26" s="36"/>
      <c r="S26" s="36">
        <f t="shared" si="1"/>
        <v>3730981929</v>
      </c>
      <c r="T26" s="37">
        <v>0</v>
      </c>
      <c r="U26" s="37">
        <v>0</v>
      </c>
      <c r="V26" s="37">
        <v>0</v>
      </c>
      <c r="W26" s="10"/>
      <c r="X26" s="10"/>
      <c r="Y26" s="10"/>
      <c r="Z26" s="10"/>
      <c r="AA26" s="34">
        <v>0</v>
      </c>
      <c r="AB26" s="10"/>
      <c r="AC26" s="10"/>
      <c r="AD26" s="10"/>
      <c r="AE26" s="10">
        <v>0</v>
      </c>
      <c r="AF26" s="10">
        <v>0</v>
      </c>
      <c r="AG26" s="10">
        <v>0</v>
      </c>
      <c r="AH26" s="10">
        <v>0</v>
      </c>
      <c r="AI26" s="10">
        <v>0</v>
      </c>
      <c r="AJ26" s="10">
        <v>0</v>
      </c>
      <c r="AK26" s="10">
        <v>0</v>
      </c>
      <c r="AL26" s="10">
        <v>0</v>
      </c>
      <c r="AM26" s="10">
        <v>0</v>
      </c>
      <c r="AN26" s="10">
        <v>0</v>
      </c>
      <c r="AO26" s="10">
        <v>0</v>
      </c>
      <c r="AP26" s="10">
        <v>0</v>
      </c>
    </row>
    <row r="27" spans="1:42" ht="24" x14ac:dyDescent="0.25">
      <c r="A27" s="34">
        <v>0</v>
      </c>
      <c r="B27" s="34">
        <v>0</v>
      </c>
      <c r="C27" s="34">
        <v>0</v>
      </c>
      <c r="D27" s="34">
        <v>0</v>
      </c>
      <c r="E27" s="74">
        <v>0</v>
      </c>
      <c r="F27" s="34">
        <v>0</v>
      </c>
      <c r="G27" s="34"/>
      <c r="H27" s="36">
        <v>0</v>
      </c>
      <c r="I27" s="476"/>
      <c r="J27" s="476"/>
      <c r="K27" s="36">
        <v>0</v>
      </c>
      <c r="L27" s="39"/>
      <c r="M27" s="39"/>
      <c r="N27" s="36">
        <f t="shared" si="0"/>
        <v>0</v>
      </c>
      <c r="O27" s="36">
        <f t="shared" si="0"/>
        <v>0</v>
      </c>
      <c r="P27" s="36">
        <f t="shared" si="0"/>
        <v>0</v>
      </c>
      <c r="Q27" s="476"/>
      <c r="R27" s="36"/>
      <c r="S27" s="36">
        <f t="shared" si="1"/>
        <v>0</v>
      </c>
      <c r="T27" s="37" t="s">
        <v>3224</v>
      </c>
      <c r="U27" s="37" t="s">
        <v>3066</v>
      </c>
      <c r="V27" s="37">
        <v>1</v>
      </c>
      <c r="W27" s="10">
        <v>1</v>
      </c>
      <c r="X27" s="10"/>
      <c r="Y27" s="10">
        <v>1</v>
      </c>
      <c r="Z27" s="10">
        <v>1</v>
      </c>
      <c r="AA27" s="34">
        <v>90</v>
      </c>
      <c r="AB27" s="10">
        <v>90</v>
      </c>
      <c r="AC27" s="10">
        <v>90</v>
      </c>
      <c r="AD27" s="10"/>
      <c r="AE27" s="10">
        <v>0</v>
      </c>
      <c r="AF27" s="10">
        <v>0</v>
      </c>
      <c r="AG27" s="10" t="s">
        <v>218</v>
      </c>
      <c r="AH27" s="10" t="s">
        <v>218</v>
      </c>
      <c r="AI27" s="10" t="s">
        <v>218</v>
      </c>
      <c r="AJ27" s="10" t="s">
        <v>218</v>
      </c>
      <c r="AK27" s="10">
        <v>0</v>
      </c>
      <c r="AL27" s="10">
        <v>0</v>
      </c>
      <c r="AM27" s="10">
        <v>0</v>
      </c>
      <c r="AN27" s="10">
        <v>0</v>
      </c>
      <c r="AO27" s="10">
        <v>0</v>
      </c>
      <c r="AP27" s="10">
        <v>0</v>
      </c>
    </row>
    <row r="28" spans="1:42" ht="24" x14ac:dyDescent="0.25">
      <c r="A28" s="34">
        <v>0</v>
      </c>
      <c r="B28" s="34">
        <v>0</v>
      </c>
      <c r="C28" s="34">
        <v>0</v>
      </c>
      <c r="D28" s="34">
        <v>0</v>
      </c>
      <c r="E28" s="74">
        <v>0</v>
      </c>
      <c r="F28" s="34">
        <v>0</v>
      </c>
      <c r="G28" s="34"/>
      <c r="H28" s="36">
        <v>0</v>
      </c>
      <c r="I28" s="476"/>
      <c r="J28" s="476"/>
      <c r="K28" s="36">
        <v>0</v>
      </c>
      <c r="L28" s="39"/>
      <c r="M28" s="39"/>
      <c r="N28" s="36">
        <f t="shared" si="0"/>
        <v>0</v>
      </c>
      <c r="O28" s="36">
        <f t="shared" si="0"/>
        <v>0</v>
      </c>
      <c r="P28" s="36">
        <f t="shared" si="0"/>
        <v>0</v>
      </c>
      <c r="Q28" s="476"/>
      <c r="R28" s="36"/>
      <c r="S28" s="36">
        <f t="shared" si="1"/>
        <v>0</v>
      </c>
      <c r="T28" s="37" t="s">
        <v>3225</v>
      </c>
      <c r="U28" s="37" t="s">
        <v>3066</v>
      </c>
      <c r="V28" s="37">
        <v>1</v>
      </c>
      <c r="W28" s="10">
        <v>1</v>
      </c>
      <c r="X28" s="10"/>
      <c r="Y28" s="10" t="s">
        <v>3196</v>
      </c>
      <c r="Z28" s="10">
        <v>1</v>
      </c>
      <c r="AA28" s="34">
        <v>90</v>
      </c>
      <c r="AB28" s="10">
        <v>90</v>
      </c>
      <c r="AC28" s="10">
        <v>90</v>
      </c>
      <c r="AD28" s="10"/>
      <c r="AE28" s="10">
        <v>0</v>
      </c>
      <c r="AF28" s="10">
        <v>0</v>
      </c>
      <c r="AG28" s="10" t="s">
        <v>218</v>
      </c>
      <c r="AH28" s="10" t="s">
        <v>218</v>
      </c>
      <c r="AI28" s="10" t="s">
        <v>218</v>
      </c>
      <c r="AJ28" s="10" t="s">
        <v>218</v>
      </c>
      <c r="AK28" s="10">
        <v>0</v>
      </c>
      <c r="AL28" s="10">
        <v>0</v>
      </c>
      <c r="AM28" s="10">
        <v>0</v>
      </c>
      <c r="AN28" s="10">
        <v>0</v>
      </c>
      <c r="AO28" s="10">
        <v>0</v>
      </c>
      <c r="AP28" s="10">
        <v>0</v>
      </c>
    </row>
    <row r="29" spans="1:42" ht="24" x14ac:dyDescent="0.25">
      <c r="A29" s="34">
        <v>0</v>
      </c>
      <c r="B29" s="34">
        <v>0</v>
      </c>
      <c r="C29" s="34">
        <v>0</v>
      </c>
      <c r="D29" s="34">
        <v>0</v>
      </c>
      <c r="E29" s="74">
        <v>0</v>
      </c>
      <c r="F29" s="34">
        <v>0</v>
      </c>
      <c r="G29" s="34"/>
      <c r="H29" s="36">
        <v>0</v>
      </c>
      <c r="I29" s="476"/>
      <c r="J29" s="476"/>
      <c r="K29" s="36">
        <v>0</v>
      </c>
      <c r="L29" s="39"/>
      <c r="M29" s="39"/>
      <c r="N29" s="36">
        <f t="shared" si="0"/>
        <v>0</v>
      </c>
      <c r="O29" s="36">
        <f t="shared" si="0"/>
        <v>0</v>
      </c>
      <c r="P29" s="36">
        <f t="shared" si="0"/>
        <v>0</v>
      </c>
      <c r="Q29" s="476"/>
      <c r="R29" s="36"/>
      <c r="S29" s="36">
        <f t="shared" si="1"/>
        <v>0</v>
      </c>
      <c r="T29" s="37" t="s">
        <v>3226</v>
      </c>
      <c r="U29" s="37" t="s">
        <v>3066</v>
      </c>
      <c r="V29" s="37">
        <v>1</v>
      </c>
      <c r="W29" s="10">
        <v>1</v>
      </c>
      <c r="X29" s="10"/>
      <c r="Y29" s="10">
        <v>1</v>
      </c>
      <c r="Z29" s="10">
        <v>1</v>
      </c>
      <c r="AA29" s="34">
        <v>90</v>
      </c>
      <c r="AB29" s="10">
        <v>90</v>
      </c>
      <c r="AC29" s="10">
        <v>90</v>
      </c>
      <c r="AD29" s="10"/>
      <c r="AE29" s="10">
        <v>0</v>
      </c>
      <c r="AF29" s="10">
        <v>0</v>
      </c>
      <c r="AG29" s="10" t="s">
        <v>218</v>
      </c>
      <c r="AH29" s="10" t="s">
        <v>218</v>
      </c>
      <c r="AI29" s="10" t="s">
        <v>218</v>
      </c>
      <c r="AJ29" s="10" t="s">
        <v>218</v>
      </c>
      <c r="AK29" s="10">
        <v>0</v>
      </c>
      <c r="AL29" s="10">
        <v>0</v>
      </c>
      <c r="AM29" s="10">
        <v>0</v>
      </c>
      <c r="AN29" s="10">
        <v>0</v>
      </c>
      <c r="AO29" s="10">
        <v>0</v>
      </c>
      <c r="AP29" s="10">
        <v>0</v>
      </c>
    </row>
    <row r="30" spans="1:42" ht="96" x14ac:dyDescent="0.25">
      <c r="A30" s="34" t="s">
        <v>23</v>
      </c>
      <c r="B30" s="34" t="s">
        <v>142</v>
      </c>
      <c r="C30" s="34" t="s">
        <v>150</v>
      </c>
      <c r="D30" s="34">
        <v>212330000</v>
      </c>
      <c r="E30" s="74" t="s">
        <v>3162</v>
      </c>
      <c r="F30" s="34" t="s">
        <v>3163</v>
      </c>
      <c r="G30" s="34" t="s">
        <v>3164</v>
      </c>
      <c r="H30" s="36">
        <v>1906500000</v>
      </c>
      <c r="I30" s="36">
        <v>1906500000</v>
      </c>
      <c r="J30" s="36">
        <v>2085921250</v>
      </c>
      <c r="K30" s="36">
        <v>0</v>
      </c>
      <c r="L30" s="39"/>
      <c r="M30" s="39"/>
      <c r="N30" s="36">
        <f t="shared" si="0"/>
        <v>1906500000</v>
      </c>
      <c r="O30" s="36">
        <f t="shared" si="0"/>
        <v>1906500000</v>
      </c>
      <c r="P30" s="36">
        <f t="shared" si="0"/>
        <v>2085921250</v>
      </c>
      <c r="Q30" s="36">
        <v>1184570384</v>
      </c>
      <c r="R30" s="36"/>
      <c r="S30" s="36">
        <f t="shared" si="1"/>
        <v>1184570384</v>
      </c>
      <c r="T30" s="37">
        <v>0</v>
      </c>
      <c r="U30" s="37">
        <v>0</v>
      </c>
      <c r="V30" s="37">
        <v>0</v>
      </c>
      <c r="W30" s="10"/>
      <c r="X30" s="10"/>
      <c r="Y30" s="10"/>
      <c r="Z30" s="10"/>
      <c r="AA30" s="34">
        <v>0</v>
      </c>
      <c r="AB30" s="10"/>
      <c r="AC30" s="10"/>
      <c r="AD30" s="10"/>
      <c r="AE30" s="10">
        <v>0</v>
      </c>
      <c r="AF30" s="10">
        <v>0</v>
      </c>
      <c r="AG30" s="10">
        <v>0</v>
      </c>
      <c r="AH30" s="10">
        <v>0</v>
      </c>
      <c r="AI30" s="10">
        <v>0</v>
      </c>
      <c r="AJ30" s="10">
        <v>0</v>
      </c>
      <c r="AK30" s="10">
        <v>0</v>
      </c>
      <c r="AL30" s="10">
        <v>0</v>
      </c>
      <c r="AM30" s="10">
        <v>0</v>
      </c>
      <c r="AN30" s="10">
        <v>0</v>
      </c>
      <c r="AO30" s="10">
        <v>0</v>
      </c>
      <c r="AP30" s="10">
        <v>0</v>
      </c>
    </row>
    <row r="31" spans="1:42" ht="36" x14ac:dyDescent="0.25">
      <c r="A31" s="34">
        <v>0</v>
      </c>
      <c r="B31" s="34">
        <v>0</v>
      </c>
      <c r="C31" s="34">
        <v>0</v>
      </c>
      <c r="D31" s="34">
        <v>0</v>
      </c>
      <c r="E31" s="74">
        <v>0</v>
      </c>
      <c r="F31" s="34">
        <v>0</v>
      </c>
      <c r="G31" s="34"/>
      <c r="H31" s="36">
        <v>0</v>
      </c>
      <c r="I31" s="476"/>
      <c r="J31" s="476"/>
      <c r="K31" s="36">
        <v>0</v>
      </c>
      <c r="L31" s="39"/>
      <c r="M31" s="39"/>
      <c r="N31" s="36">
        <f t="shared" si="0"/>
        <v>0</v>
      </c>
      <c r="O31" s="36">
        <f t="shared" si="0"/>
        <v>0</v>
      </c>
      <c r="P31" s="36">
        <f t="shared" si="0"/>
        <v>0</v>
      </c>
      <c r="Q31" s="476"/>
      <c r="R31" s="36"/>
      <c r="S31" s="36">
        <f t="shared" si="1"/>
        <v>0</v>
      </c>
      <c r="T31" s="37" t="s">
        <v>3227</v>
      </c>
      <c r="U31" s="37" t="s">
        <v>3212</v>
      </c>
      <c r="V31" s="37">
        <v>1</v>
      </c>
      <c r="W31" s="10">
        <v>1</v>
      </c>
      <c r="X31" s="10"/>
      <c r="Y31" s="10" t="s">
        <v>3196</v>
      </c>
      <c r="Z31" s="10">
        <v>1</v>
      </c>
      <c r="AA31" s="34">
        <v>120</v>
      </c>
      <c r="AB31" s="10" t="s">
        <v>3196</v>
      </c>
      <c r="AC31" s="10">
        <v>120</v>
      </c>
      <c r="AD31" s="10"/>
      <c r="AE31" s="10">
        <v>0</v>
      </c>
      <c r="AF31" s="10">
        <v>0</v>
      </c>
      <c r="AG31" s="10">
        <v>0</v>
      </c>
      <c r="AH31" s="10">
        <v>0</v>
      </c>
      <c r="AI31" s="10">
        <v>0</v>
      </c>
      <c r="AJ31" s="10" t="s">
        <v>218</v>
      </c>
      <c r="AK31" s="10" t="s">
        <v>218</v>
      </c>
      <c r="AL31" s="10" t="s">
        <v>218</v>
      </c>
      <c r="AM31" s="10" t="s">
        <v>218</v>
      </c>
      <c r="AN31" s="10" t="s">
        <v>218</v>
      </c>
      <c r="AO31" s="10">
        <v>0</v>
      </c>
      <c r="AP31" s="10">
        <v>0</v>
      </c>
    </row>
    <row r="32" spans="1:42" ht="36" x14ac:dyDescent="0.25">
      <c r="A32" s="34">
        <v>0</v>
      </c>
      <c r="B32" s="34">
        <v>0</v>
      </c>
      <c r="C32" s="34">
        <v>0</v>
      </c>
      <c r="D32" s="34">
        <v>0</v>
      </c>
      <c r="E32" s="74">
        <v>0</v>
      </c>
      <c r="F32" s="34">
        <v>0</v>
      </c>
      <c r="G32" s="34"/>
      <c r="H32" s="36">
        <v>0</v>
      </c>
      <c r="I32" s="476"/>
      <c r="J32" s="476"/>
      <c r="K32" s="36">
        <v>0</v>
      </c>
      <c r="L32" s="39"/>
      <c r="M32" s="39"/>
      <c r="N32" s="36">
        <f t="shared" si="0"/>
        <v>0</v>
      </c>
      <c r="O32" s="36">
        <f t="shared" si="0"/>
        <v>0</v>
      </c>
      <c r="P32" s="36">
        <f t="shared" si="0"/>
        <v>0</v>
      </c>
      <c r="Q32" s="476"/>
      <c r="R32" s="36"/>
      <c r="S32" s="36">
        <f t="shared" si="1"/>
        <v>0</v>
      </c>
      <c r="T32" s="37" t="s">
        <v>3228</v>
      </c>
      <c r="U32" s="37" t="s">
        <v>3212</v>
      </c>
      <c r="V32" s="37">
        <v>1</v>
      </c>
      <c r="W32" s="10">
        <v>1</v>
      </c>
      <c r="X32" s="10"/>
      <c r="Y32" s="10" t="s">
        <v>3196</v>
      </c>
      <c r="Z32" s="10">
        <v>1</v>
      </c>
      <c r="AA32" s="34">
        <v>180</v>
      </c>
      <c r="AB32" s="10">
        <v>90</v>
      </c>
      <c r="AC32" s="10">
        <v>180</v>
      </c>
      <c r="AD32" s="10"/>
      <c r="AE32" s="10">
        <v>0</v>
      </c>
      <c r="AF32" s="10">
        <v>0</v>
      </c>
      <c r="AG32" s="10" t="s">
        <v>218</v>
      </c>
      <c r="AH32" s="10" t="s">
        <v>218</v>
      </c>
      <c r="AI32" s="10" t="s">
        <v>218</v>
      </c>
      <c r="AJ32" s="10" t="s">
        <v>218</v>
      </c>
      <c r="AK32" s="10" t="s">
        <v>218</v>
      </c>
      <c r="AL32" s="10" t="s">
        <v>218</v>
      </c>
      <c r="AM32" s="10">
        <v>0</v>
      </c>
      <c r="AN32" s="10">
        <v>0</v>
      </c>
      <c r="AO32" s="10">
        <v>0</v>
      </c>
      <c r="AP32" s="10">
        <v>0</v>
      </c>
    </row>
    <row r="33" spans="1:42" ht="24" x14ac:dyDescent="0.25">
      <c r="A33" s="34">
        <v>0</v>
      </c>
      <c r="B33" s="34">
        <v>0</v>
      </c>
      <c r="C33" s="34">
        <v>0</v>
      </c>
      <c r="D33" s="34">
        <v>0</v>
      </c>
      <c r="E33" s="74">
        <v>0</v>
      </c>
      <c r="F33" s="34">
        <v>0</v>
      </c>
      <c r="G33" s="34"/>
      <c r="H33" s="36">
        <v>0</v>
      </c>
      <c r="I33" s="476"/>
      <c r="J33" s="476"/>
      <c r="K33" s="36">
        <v>0</v>
      </c>
      <c r="L33" s="39"/>
      <c r="M33" s="39"/>
      <c r="N33" s="36">
        <f t="shared" si="0"/>
        <v>0</v>
      </c>
      <c r="O33" s="36">
        <f t="shared" si="0"/>
        <v>0</v>
      </c>
      <c r="P33" s="36">
        <f t="shared" si="0"/>
        <v>0</v>
      </c>
      <c r="Q33" s="476"/>
      <c r="R33" s="36"/>
      <c r="S33" s="36">
        <f t="shared" si="1"/>
        <v>0</v>
      </c>
      <c r="T33" s="37" t="s">
        <v>3229</v>
      </c>
      <c r="U33" s="37" t="s">
        <v>3230</v>
      </c>
      <c r="V33" s="37">
        <v>1</v>
      </c>
      <c r="W33" s="10">
        <v>1</v>
      </c>
      <c r="X33" s="10"/>
      <c r="Y33" s="10" t="s">
        <v>3196</v>
      </c>
      <c r="Z33" s="10">
        <v>1</v>
      </c>
      <c r="AA33" s="34">
        <v>180</v>
      </c>
      <c r="AB33" s="10">
        <v>30</v>
      </c>
      <c r="AC33" s="10">
        <v>40</v>
      </c>
      <c r="AD33" s="10"/>
      <c r="AE33" s="10">
        <v>0</v>
      </c>
      <c r="AF33" s="10">
        <v>0</v>
      </c>
      <c r="AG33" s="10">
        <v>0</v>
      </c>
      <c r="AH33" s="10" t="s">
        <v>218</v>
      </c>
      <c r="AI33" s="10" t="s">
        <v>218</v>
      </c>
      <c r="AJ33" s="10" t="s">
        <v>218</v>
      </c>
      <c r="AK33" s="10" t="s">
        <v>218</v>
      </c>
      <c r="AL33" s="10" t="s">
        <v>218</v>
      </c>
      <c r="AM33" s="10" t="s">
        <v>218</v>
      </c>
      <c r="AN33" s="10" t="s">
        <v>218</v>
      </c>
      <c r="AO33" s="10">
        <v>0</v>
      </c>
      <c r="AP33" s="10">
        <v>0</v>
      </c>
    </row>
    <row r="34" spans="1:42" ht="24" x14ac:dyDescent="0.25">
      <c r="A34" s="34">
        <v>0</v>
      </c>
      <c r="B34" s="34">
        <v>0</v>
      </c>
      <c r="C34" s="34">
        <v>0</v>
      </c>
      <c r="D34" s="34">
        <v>0</v>
      </c>
      <c r="E34" s="74">
        <v>0</v>
      </c>
      <c r="F34" s="34">
        <v>0</v>
      </c>
      <c r="G34" s="34"/>
      <c r="H34" s="36">
        <v>0</v>
      </c>
      <c r="I34" s="476"/>
      <c r="J34" s="476"/>
      <c r="K34" s="36">
        <v>0</v>
      </c>
      <c r="L34" s="39"/>
      <c r="M34" s="39"/>
      <c r="N34" s="36">
        <f t="shared" si="0"/>
        <v>0</v>
      </c>
      <c r="O34" s="36">
        <f t="shared" si="0"/>
        <v>0</v>
      </c>
      <c r="P34" s="36">
        <f t="shared" si="0"/>
        <v>0</v>
      </c>
      <c r="Q34" s="476"/>
      <c r="R34" s="36"/>
      <c r="S34" s="36">
        <f t="shared" si="1"/>
        <v>0</v>
      </c>
      <c r="T34" s="37" t="s">
        <v>3231</v>
      </c>
      <c r="U34" s="37" t="s">
        <v>3232</v>
      </c>
      <c r="V34" s="37">
        <v>21</v>
      </c>
      <c r="W34" s="10">
        <v>21</v>
      </c>
      <c r="X34" s="10"/>
      <c r="Y34" s="10" t="s">
        <v>3196</v>
      </c>
      <c r="Z34" s="10">
        <v>23</v>
      </c>
      <c r="AA34" s="34">
        <v>180</v>
      </c>
      <c r="AB34" s="10">
        <v>30</v>
      </c>
      <c r="AC34" s="10">
        <v>180</v>
      </c>
      <c r="AD34" s="10"/>
      <c r="AE34" s="10">
        <v>0</v>
      </c>
      <c r="AF34" s="10">
        <v>0</v>
      </c>
      <c r="AG34" s="10" t="s">
        <v>218</v>
      </c>
      <c r="AH34" s="10" t="s">
        <v>218</v>
      </c>
      <c r="AI34" s="10" t="s">
        <v>218</v>
      </c>
      <c r="AJ34" s="10" t="s">
        <v>218</v>
      </c>
      <c r="AK34" s="10" t="s">
        <v>218</v>
      </c>
      <c r="AL34" s="10" t="s">
        <v>218</v>
      </c>
      <c r="AM34" s="10" t="s">
        <v>218</v>
      </c>
      <c r="AN34" s="10">
        <v>0</v>
      </c>
      <c r="AO34" s="10">
        <v>0</v>
      </c>
      <c r="AP34" s="10">
        <v>0</v>
      </c>
    </row>
    <row r="35" spans="1:42" ht="105" x14ac:dyDescent="0.25">
      <c r="A35" s="18" t="s">
        <v>55</v>
      </c>
      <c r="B35" s="18" t="s">
        <v>3165</v>
      </c>
      <c r="C35" s="18" t="s">
        <v>3166</v>
      </c>
      <c r="D35" s="18">
        <v>242130000</v>
      </c>
      <c r="E35" s="74" t="s">
        <v>3168</v>
      </c>
      <c r="F35" s="34" t="s">
        <v>3169</v>
      </c>
      <c r="G35" s="34" t="s">
        <v>3170</v>
      </c>
      <c r="H35" s="36">
        <v>60000000</v>
      </c>
      <c r="I35" s="476">
        <v>0</v>
      </c>
      <c r="J35" s="476">
        <v>0</v>
      </c>
      <c r="K35" s="36">
        <v>0</v>
      </c>
      <c r="L35" s="39"/>
      <c r="M35" s="39"/>
      <c r="N35" s="36">
        <f t="shared" si="0"/>
        <v>60000000</v>
      </c>
      <c r="O35" s="36">
        <f t="shared" si="0"/>
        <v>0</v>
      </c>
      <c r="P35" s="36">
        <f t="shared" si="0"/>
        <v>0</v>
      </c>
      <c r="Q35" s="476">
        <v>0</v>
      </c>
      <c r="R35" s="36"/>
      <c r="S35" s="36">
        <f t="shared" si="1"/>
        <v>0</v>
      </c>
      <c r="T35" s="37">
        <v>0</v>
      </c>
      <c r="U35" s="37">
        <v>0</v>
      </c>
      <c r="V35" s="37">
        <v>0</v>
      </c>
      <c r="W35" s="10"/>
      <c r="X35" s="10"/>
      <c r="Y35" s="10"/>
      <c r="Z35" s="10"/>
      <c r="AA35" s="34">
        <v>0</v>
      </c>
      <c r="AB35" s="10"/>
      <c r="AC35" s="10"/>
      <c r="AD35" s="10"/>
      <c r="AE35" s="10">
        <v>0</v>
      </c>
      <c r="AF35" s="10">
        <v>0</v>
      </c>
      <c r="AG35" s="10">
        <v>0</v>
      </c>
      <c r="AH35" s="10">
        <v>0</v>
      </c>
      <c r="AI35" s="10">
        <v>0</v>
      </c>
      <c r="AJ35" s="10">
        <v>0</v>
      </c>
      <c r="AK35" s="10">
        <v>0</v>
      </c>
      <c r="AL35" s="10">
        <v>0</v>
      </c>
      <c r="AM35" s="10">
        <v>0</v>
      </c>
      <c r="AN35" s="10">
        <v>0</v>
      </c>
      <c r="AO35" s="10">
        <v>0</v>
      </c>
      <c r="AP35" s="10">
        <v>0</v>
      </c>
    </row>
    <row r="36" spans="1:42" ht="36" x14ac:dyDescent="0.25">
      <c r="A36" s="34">
        <v>0</v>
      </c>
      <c r="B36" s="34">
        <v>0</v>
      </c>
      <c r="C36" s="34">
        <v>0</v>
      </c>
      <c r="D36" s="34">
        <v>0</v>
      </c>
      <c r="E36" s="74">
        <v>0</v>
      </c>
      <c r="F36" s="34">
        <v>0</v>
      </c>
      <c r="G36" s="34"/>
      <c r="H36" s="36">
        <v>0</v>
      </c>
      <c r="I36" s="476"/>
      <c r="J36" s="476"/>
      <c r="K36" s="36">
        <v>0</v>
      </c>
      <c r="L36" s="39"/>
      <c r="M36" s="39"/>
      <c r="N36" s="36">
        <f t="shared" si="0"/>
        <v>0</v>
      </c>
      <c r="O36" s="36">
        <f t="shared" si="0"/>
        <v>0</v>
      </c>
      <c r="P36" s="36">
        <f t="shared" si="0"/>
        <v>0</v>
      </c>
      <c r="Q36" s="476"/>
      <c r="R36" s="36"/>
      <c r="S36" s="36">
        <f t="shared" si="1"/>
        <v>0</v>
      </c>
      <c r="T36" s="37" t="s">
        <v>3233</v>
      </c>
      <c r="U36" s="37" t="s">
        <v>3234</v>
      </c>
      <c r="V36" s="37">
        <v>800</v>
      </c>
      <c r="W36" s="10">
        <v>800</v>
      </c>
      <c r="X36" s="10"/>
      <c r="Y36" s="10" t="s">
        <v>3196</v>
      </c>
      <c r="Z36" s="10">
        <v>924</v>
      </c>
      <c r="AA36" s="34">
        <v>120</v>
      </c>
      <c r="AB36" s="10" t="s">
        <v>3196</v>
      </c>
      <c r="AC36" s="10">
        <v>120</v>
      </c>
      <c r="AD36" s="10"/>
      <c r="AE36" s="10">
        <v>0</v>
      </c>
      <c r="AF36" s="10" t="s">
        <v>218</v>
      </c>
      <c r="AG36" s="10" t="s">
        <v>218</v>
      </c>
      <c r="AH36" s="10" t="s">
        <v>218</v>
      </c>
      <c r="AI36" s="10" t="s">
        <v>218</v>
      </c>
      <c r="AJ36" s="10" t="s">
        <v>218</v>
      </c>
      <c r="AK36" s="10" t="s">
        <v>218</v>
      </c>
      <c r="AL36" s="10" t="s">
        <v>218</v>
      </c>
      <c r="AM36" s="10" t="s">
        <v>218</v>
      </c>
      <c r="AN36" s="10" t="s">
        <v>218</v>
      </c>
      <c r="AO36" s="10" t="s">
        <v>218</v>
      </c>
      <c r="AP36" s="10" t="s">
        <v>218</v>
      </c>
    </row>
    <row r="37" spans="1:42" x14ac:dyDescent="0.25">
      <c r="A37" s="34">
        <v>0</v>
      </c>
      <c r="B37" s="34">
        <v>0</v>
      </c>
      <c r="C37" s="34">
        <v>0</v>
      </c>
      <c r="D37" s="34">
        <v>0</v>
      </c>
      <c r="E37" s="74">
        <v>0</v>
      </c>
      <c r="F37" s="34">
        <v>0</v>
      </c>
      <c r="G37" s="34"/>
      <c r="H37" s="36">
        <v>0</v>
      </c>
      <c r="I37" s="476"/>
      <c r="J37" s="476"/>
      <c r="K37" s="36">
        <v>0</v>
      </c>
      <c r="L37" s="39"/>
      <c r="M37" s="39"/>
      <c r="N37" s="36">
        <f t="shared" si="0"/>
        <v>0</v>
      </c>
      <c r="O37" s="36">
        <f t="shared" si="0"/>
        <v>0</v>
      </c>
      <c r="P37" s="36">
        <f t="shared" si="0"/>
        <v>0</v>
      </c>
      <c r="Q37" s="476"/>
      <c r="R37" s="36"/>
      <c r="S37" s="36">
        <f t="shared" si="1"/>
        <v>0</v>
      </c>
      <c r="T37" s="37" t="s">
        <v>3235</v>
      </c>
      <c r="U37" s="37" t="s">
        <v>3234</v>
      </c>
      <c r="V37" s="37">
        <v>800</v>
      </c>
      <c r="W37" s="10">
        <v>800</v>
      </c>
      <c r="X37" s="10"/>
      <c r="Y37" s="10" t="s">
        <v>3196</v>
      </c>
      <c r="Z37" s="10">
        <v>924</v>
      </c>
      <c r="AA37" s="34">
        <v>120</v>
      </c>
      <c r="AB37" s="10" t="s">
        <v>3196</v>
      </c>
      <c r="AC37" s="10">
        <v>120</v>
      </c>
      <c r="AD37" s="10"/>
      <c r="AE37" s="10">
        <v>0</v>
      </c>
      <c r="AF37" s="10" t="s">
        <v>218</v>
      </c>
      <c r="AG37" s="10" t="s">
        <v>218</v>
      </c>
      <c r="AH37" s="10" t="s">
        <v>218</v>
      </c>
      <c r="AI37" s="10" t="s">
        <v>218</v>
      </c>
      <c r="AJ37" s="10" t="s">
        <v>218</v>
      </c>
      <c r="AK37" s="10" t="s">
        <v>218</v>
      </c>
      <c r="AL37" s="10" t="s">
        <v>218</v>
      </c>
      <c r="AM37" s="10" t="s">
        <v>218</v>
      </c>
      <c r="AN37" s="10" t="s">
        <v>218</v>
      </c>
      <c r="AO37" s="10" t="s">
        <v>218</v>
      </c>
      <c r="AP37" s="10" t="s">
        <v>218</v>
      </c>
    </row>
    <row r="38" spans="1:42" ht="60" x14ac:dyDescent="0.25">
      <c r="A38" s="34" t="s">
        <v>23</v>
      </c>
      <c r="B38" s="34" t="s">
        <v>142</v>
      </c>
      <c r="C38" s="34" t="s">
        <v>150</v>
      </c>
      <c r="D38" s="34">
        <v>212340000</v>
      </c>
      <c r="E38" s="74" t="s">
        <v>3174</v>
      </c>
      <c r="F38" s="34" t="s">
        <v>3175</v>
      </c>
      <c r="G38" s="34" t="s">
        <v>3173</v>
      </c>
      <c r="H38" s="36">
        <v>500000000</v>
      </c>
      <c r="I38" s="36">
        <v>500000000</v>
      </c>
      <c r="J38" s="36">
        <v>995000000</v>
      </c>
      <c r="K38" s="36">
        <v>0</v>
      </c>
      <c r="L38" s="39"/>
      <c r="M38" s="39"/>
      <c r="N38" s="36">
        <f t="shared" si="0"/>
        <v>500000000</v>
      </c>
      <c r="O38" s="36">
        <f t="shared" si="0"/>
        <v>500000000</v>
      </c>
      <c r="P38" s="36">
        <f t="shared" si="0"/>
        <v>995000000</v>
      </c>
      <c r="Q38" s="36">
        <v>990459170</v>
      </c>
      <c r="R38" s="36"/>
      <c r="S38" s="36">
        <f t="shared" si="1"/>
        <v>990459170</v>
      </c>
      <c r="T38" s="37">
        <v>0</v>
      </c>
      <c r="U38" s="37">
        <v>0</v>
      </c>
      <c r="V38" s="37">
        <v>0</v>
      </c>
      <c r="W38" s="10"/>
      <c r="X38" s="10"/>
      <c r="Y38" s="10"/>
      <c r="Z38" s="10"/>
      <c r="AA38" s="34">
        <v>0</v>
      </c>
      <c r="AB38" s="10"/>
      <c r="AC38" s="10"/>
      <c r="AD38" s="10"/>
      <c r="AE38" s="10">
        <v>0</v>
      </c>
      <c r="AF38" s="10">
        <v>0</v>
      </c>
      <c r="AG38" s="10">
        <v>0</v>
      </c>
      <c r="AH38" s="10">
        <v>0</v>
      </c>
      <c r="AI38" s="10">
        <v>0</v>
      </c>
      <c r="AJ38" s="10">
        <v>0</v>
      </c>
      <c r="AK38" s="10">
        <v>0</v>
      </c>
      <c r="AL38" s="10">
        <v>0</v>
      </c>
      <c r="AM38" s="10">
        <v>0</v>
      </c>
      <c r="AN38" s="10">
        <v>0</v>
      </c>
      <c r="AO38" s="10">
        <v>0</v>
      </c>
      <c r="AP38" s="10">
        <v>0</v>
      </c>
    </row>
    <row r="39" spans="1:42" ht="48" x14ac:dyDescent="0.25">
      <c r="A39" s="34">
        <v>0</v>
      </c>
      <c r="B39" s="34">
        <v>0</v>
      </c>
      <c r="C39" s="34">
        <v>0</v>
      </c>
      <c r="D39" s="34">
        <v>0</v>
      </c>
      <c r="E39" s="74">
        <v>0</v>
      </c>
      <c r="F39" s="34">
        <v>0</v>
      </c>
      <c r="G39" s="34"/>
      <c r="H39" s="36">
        <v>0</v>
      </c>
      <c r="I39" s="476"/>
      <c r="J39" s="476"/>
      <c r="K39" s="36">
        <v>0</v>
      </c>
      <c r="L39" s="39"/>
      <c r="M39" s="39"/>
      <c r="N39" s="36">
        <f t="shared" si="0"/>
        <v>0</v>
      </c>
      <c r="O39" s="36">
        <f t="shared" si="0"/>
        <v>0</v>
      </c>
      <c r="P39" s="36">
        <f t="shared" si="0"/>
        <v>0</v>
      </c>
      <c r="Q39" s="476"/>
      <c r="R39" s="36"/>
      <c r="S39" s="36">
        <f t="shared" si="1"/>
        <v>0</v>
      </c>
      <c r="T39" s="37" t="s">
        <v>3236</v>
      </c>
      <c r="U39" s="37" t="s">
        <v>3237</v>
      </c>
      <c r="V39" s="37">
        <v>6</v>
      </c>
      <c r="W39" s="10">
        <v>6</v>
      </c>
      <c r="X39" s="10"/>
      <c r="Y39" s="10">
        <v>6</v>
      </c>
      <c r="Z39" s="10">
        <v>6</v>
      </c>
      <c r="AA39" s="34">
        <v>60</v>
      </c>
      <c r="AB39" s="10">
        <v>60</v>
      </c>
      <c r="AC39" s="10">
        <v>60</v>
      </c>
      <c r="AD39" s="10"/>
      <c r="AE39" s="10">
        <v>0</v>
      </c>
      <c r="AF39" s="10">
        <v>0</v>
      </c>
      <c r="AG39" s="10" t="s">
        <v>218</v>
      </c>
      <c r="AH39" s="10" t="s">
        <v>218</v>
      </c>
      <c r="AI39" s="10">
        <v>0</v>
      </c>
      <c r="AJ39" s="10">
        <v>0</v>
      </c>
      <c r="AK39" s="10">
        <v>0</v>
      </c>
      <c r="AL39" s="10">
        <v>0</v>
      </c>
      <c r="AM39" s="10">
        <v>0</v>
      </c>
      <c r="AN39" s="10">
        <v>0</v>
      </c>
      <c r="AO39" s="10">
        <v>0</v>
      </c>
      <c r="AP39" s="10">
        <v>0</v>
      </c>
    </row>
    <row r="40" spans="1:42" ht="36" x14ac:dyDescent="0.25">
      <c r="A40" s="34">
        <v>0</v>
      </c>
      <c r="B40" s="34">
        <v>0</v>
      </c>
      <c r="C40" s="34">
        <v>0</v>
      </c>
      <c r="D40" s="34">
        <v>0</v>
      </c>
      <c r="E40" s="74">
        <v>0</v>
      </c>
      <c r="F40" s="34">
        <v>0</v>
      </c>
      <c r="G40" s="34"/>
      <c r="H40" s="36">
        <v>0</v>
      </c>
      <c r="I40" s="476"/>
      <c r="J40" s="476"/>
      <c r="K40" s="36">
        <v>0</v>
      </c>
      <c r="L40" s="39"/>
      <c r="M40" s="39"/>
      <c r="N40" s="36">
        <f t="shared" si="0"/>
        <v>0</v>
      </c>
      <c r="O40" s="36">
        <f t="shared" si="0"/>
        <v>0</v>
      </c>
      <c r="P40" s="36">
        <f t="shared" si="0"/>
        <v>0</v>
      </c>
      <c r="Q40" s="476"/>
      <c r="R40" s="36"/>
      <c r="S40" s="36">
        <f t="shared" si="1"/>
        <v>0</v>
      </c>
      <c r="T40" s="37" t="s">
        <v>3238</v>
      </c>
      <c r="U40" s="37" t="s">
        <v>3239</v>
      </c>
      <c r="V40" s="37">
        <v>1</v>
      </c>
      <c r="W40" s="10" t="s">
        <v>3196</v>
      </c>
      <c r="X40" s="10"/>
      <c r="Y40" s="10" t="s">
        <v>3196</v>
      </c>
      <c r="Z40" s="10">
        <v>1</v>
      </c>
      <c r="AA40" s="34">
        <v>180</v>
      </c>
      <c r="AB40" s="10" t="s">
        <v>3196</v>
      </c>
      <c r="AC40" s="10">
        <v>180</v>
      </c>
      <c r="AD40" s="10"/>
      <c r="AE40" s="10">
        <v>0</v>
      </c>
      <c r="AF40" s="10" t="s">
        <v>218</v>
      </c>
      <c r="AG40" s="10" t="s">
        <v>218</v>
      </c>
      <c r="AH40" s="10" t="s">
        <v>218</v>
      </c>
      <c r="AI40" s="10" t="s">
        <v>218</v>
      </c>
      <c r="AJ40" s="10" t="s">
        <v>218</v>
      </c>
      <c r="AK40" s="10" t="s">
        <v>218</v>
      </c>
      <c r="AL40" s="10">
        <v>0</v>
      </c>
      <c r="AM40" s="10">
        <v>0</v>
      </c>
      <c r="AN40" s="10">
        <v>0</v>
      </c>
      <c r="AO40" s="10">
        <v>0</v>
      </c>
      <c r="AP40" s="10">
        <v>0</v>
      </c>
    </row>
    <row r="41" spans="1:42" ht="36" x14ac:dyDescent="0.25">
      <c r="A41" s="34">
        <v>0</v>
      </c>
      <c r="B41" s="34">
        <v>0</v>
      </c>
      <c r="C41" s="34">
        <v>0</v>
      </c>
      <c r="D41" s="34">
        <v>0</v>
      </c>
      <c r="E41" s="74">
        <v>0</v>
      </c>
      <c r="F41" s="34">
        <v>0</v>
      </c>
      <c r="G41" s="34"/>
      <c r="H41" s="36">
        <v>0</v>
      </c>
      <c r="I41" s="476"/>
      <c r="J41" s="476"/>
      <c r="K41" s="36">
        <v>0</v>
      </c>
      <c r="L41" s="39"/>
      <c r="M41" s="39"/>
      <c r="N41" s="36">
        <f t="shared" si="0"/>
        <v>0</v>
      </c>
      <c r="O41" s="36">
        <f t="shared" si="0"/>
        <v>0</v>
      </c>
      <c r="P41" s="36">
        <f t="shared" si="0"/>
        <v>0</v>
      </c>
      <c r="Q41" s="476"/>
      <c r="R41" s="36"/>
      <c r="S41" s="36">
        <f t="shared" si="1"/>
        <v>0</v>
      </c>
      <c r="T41" s="37" t="s">
        <v>3240</v>
      </c>
      <c r="U41" s="37" t="s">
        <v>3241</v>
      </c>
      <c r="V41" s="37">
        <v>1</v>
      </c>
      <c r="W41" s="10">
        <v>1</v>
      </c>
      <c r="X41" s="10"/>
      <c r="Y41" s="10" t="s">
        <v>3196</v>
      </c>
      <c r="Z41" s="10">
        <v>1</v>
      </c>
      <c r="AA41" s="34">
        <v>180</v>
      </c>
      <c r="AB41" s="10">
        <v>90</v>
      </c>
      <c r="AC41" s="10">
        <v>180</v>
      </c>
      <c r="AD41" s="10"/>
      <c r="AE41" s="10">
        <v>0</v>
      </c>
      <c r="AF41" s="10" t="s">
        <v>218</v>
      </c>
      <c r="AG41" s="10" t="s">
        <v>218</v>
      </c>
      <c r="AH41" s="10" t="s">
        <v>218</v>
      </c>
      <c r="AI41" s="10" t="s">
        <v>218</v>
      </c>
      <c r="AJ41" s="10" t="s">
        <v>218</v>
      </c>
      <c r="AK41" s="10" t="s">
        <v>218</v>
      </c>
      <c r="AL41" s="10">
        <v>0</v>
      </c>
      <c r="AM41" s="10">
        <v>0</v>
      </c>
      <c r="AN41" s="10">
        <v>0</v>
      </c>
      <c r="AO41" s="10">
        <v>0</v>
      </c>
      <c r="AP41" s="10">
        <v>0</v>
      </c>
    </row>
    <row r="42" spans="1:42" ht="48" x14ac:dyDescent="0.25">
      <c r="A42" s="34">
        <v>0</v>
      </c>
      <c r="B42" s="34">
        <v>0</v>
      </c>
      <c r="C42" s="34">
        <v>0</v>
      </c>
      <c r="D42" s="34">
        <v>0</v>
      </c>
      <c r="E42" s="74">
        <v>0</v>
      </c>
      <c r="F42" s="34">
        <v>0</v>
      </c>
      <c r="G42" s="34"/>
      <c r="H42" s="36">
        <v>0</v>
      </c>
      <c r="I42" s="476"/>
      <c r="J42" s="476"/>
      <c r="K42" s="36">
        <v>0</v>
      </c>
      <c r="L42" s="39"/>
      <c r="M42" s="39"/>
      <c r="N42" s="36">
        <f t="shared" si="0"/>
        <v>0</v>
      </c>
      <c r="O42" s="36">
        <f t="shared" si="0"/>
        <v>0</v>
      </c>
      <c r="P42" s="36">
        <f t="shared" si="0"/>
        <v>0</v>
      </c>
      <c r="Q42" s="476"/>
      <c r="R42" s="36"/>
      <c r="S42" s="36">
        <f t="shared" si="1"/>
        <v>0</v>
      </c>
      <c r="T42" s="37" t="s">
        <v>3242</v>
      </c>
      <c r="U42" s="37" t="s">
        <v>3243</v>
      </c>
      <c r="V42" s="37">
        <v>3</v>
      </c>
      <c r="W42" s="10">
        <v>3</v>
      </c>
      <c r="X42" s="10"/>
      <c r="Y42" s="10" t="s">
        <v>3196</v>
      </c>
      <c r="Z42" s="10">
        <v>3</v>
      </c>
      <c r="AA42" s="34">
        <v>30</v>
      </c>
      <c r="AB42" s="10" t="s">
        <v>3196</v>
      </c>
      <c r="AC42" s="10">
        <v>30</v>
      </c>
      <c r="AD42" s="10"/>
      <c r="AE42" s="10">
        <v>0</v>
      </c>
      <c r="AF42" s="10">
        <v>0</v>
      </c>
      <c r="AG42" s="10" t="s">
        <v>218</v>
      </c>
      <c r="AH42" s="10" t="s">
        <v>218</v>
      </c>
      <c r="AI42" s="10" t="s">
        <v>218</v>
      </c>
      <c r="AJ42" s="10">
        <v>0</v>
      </c>
      <c r="AK42" s="10">
        <v>0</v>
      </c>
      <c r="AL42" s="10">
        <v>0</v>
      </c>
      <c r="AM42" s="10">
        <v>0</v>
      </c>
      <c r="AN42" s="10">
        <v>0</v>
      </c>
      <c r="AO42" s="10">
        <v>0</v>
      </c>
      <c r="AP42" s="10">
        <v>0</v>
      </c>
    </row>
    <row r="43" spans="1:42" ht="150" x14ac:dyDescent="0.25">
      <c r="A43" s="18" t="s">
        <v>23</v>
      </c>
      <c r="B43" s="18" t="s">
        <v>142</v>
      </c>
      <c r="C43" s="18" t="s">
        <v>1274</v>
      </c>
      <c r="D43" s="18">
        <v>212110000</v>
      </c>
      <c r="E43" s="74" t="s">
        <v>3181</v>
      </c>
      <c r="F43" s="34" t="s">
        <v>3182</v>
      </c>
      <c r="G43" s="34" t="s">
        <v>3183</v>
      </c>
      <c r="H43" s="36">
        <v>873975000</v>
      </c>
      <c r="I43" s="36">
        <v>873975000</v>
      </c>
      <c r="J43" s="476">
        <v>0</v>
      </c>
      <c r="K43" s="36">
        <v>0</v>
      </c>
      <c r="L43" s="39"/>
      <c r="M43" s="39"/>
      <c r="N43" s="36">
        <f t="shared" si="0"/>
        <v>873975000</v>
      </c>
      <c r="O43" s="36">
        <f t="shared" si="0"/>
        <v>873975000</v>
      </c>
      <c r="P43" s="36">
        <f t="shared" si="0"/>
        <v>0</v>
      </c>
      <c r="Q43" s="476">
        <v>0</v>
      </c>
      <c r="R43" s="36"/>
      <c r="S43" s="36">
        <f t="shared" si="1"/>
        <v>0</v>
      </c>
      <c r="T43" s="37">
        <v>0</v>
      </c>
      <c r="U43" s="37">
        <v>0</v>
      </c>
      <c r="V43" s="37">
        <v>0</v>
      </c>
      <c r="W43" s="10"/>
      <c r="X43" s="10"/>
      <c r="Y43" s="10"/>
      <c r="Z43" s="10"/>
      <c r="AA43" s="34">
        <v>0</v>
      </c>
      <c r="AB43" s="10"/>
      <c r="AC43" s="10"/>
      <c r="AD43" s="10" t="s">
        <v>3215</v>
      </c>
      <c r="AE43" s="10">
        <v>0</v>
      </c>
      <c r="AF43" s="10">
        <v>0</v>
      </c>
      <c r="AG43" s="10">
        <v>0</v>
      </c>
      <c r="AH43" s="10">
        <v>0</v>
      </c>
      <c r="AI43" s="10">
        <v>0</v>
      </c>
      <c r="AJ43" s="10">
        <v>0</v>
      </c>
      <c r="AK43" s="10">
        <v>0</v>
      </c>
      <c r="AL43" s="10">
        <v>0</v>
      </c>
      <c r="AM43" s="10">
        <v>0</v>
      </c>
      <c r="AN43" s="10">
        <v>0</v>
      </c>
      <c r="AO43" s="10">
        <v>0</v>
      </c>
      <c r="AP43" s="10">
        <v>0</v>
      </c>
    </row>
    <row r="44" spans="1:42" ht="45" x14ac:dyDescent="0.25">
      <c r="A44" s="34">
        <v>0</v>
      </c>
      <c r="B44" s="34">
        <v>0</v>
      </c>
      <c r="C44" s="34">
        <v>0</v>
      </c>
      <c r="D44" s="34">
        <v>0</v>
      </c>
      <c r="E44" s="74">
        <v>0</v>
      </c>
      <c r="F44" s="34">
        <v>0</v>
      </c>
      <c r="G44" s="34"/>
      <c r="H44" s="36">
        <v>0</v>
      </c>
      <c r="I44" s="476"/>
      <c r="J44" s="476"/>
      <c r="K44" s="36">
        <v>0</v>
      </c>
      <c r="L44" s="39"/>
      <c r="M44" s="39"/>
      <c r="N44" s="36">
        <f t="shared" si="0"/>
        <v>0</v>
      </c>
      <c r="O44" s="36">
        <f t="shared" si="0"/>
        <v>0</v>
      </c>
      <c r="P44" s="36">
        <f t="shared" si="0"/>
        <v>0</v>
      </c>
      <c r="Q44" s="476"/>
      <c r="R44" s="36"/>
      <c r="S44" s="36">
        <f t="shared" si="1"/>
        <v>0</v>
      </c>
      <c r="T44" s="37" t="s">
        <v>3216</v>
      </c>
      <c r="U44" s="37" t="s">
        <v>3244</v>
      </c>
      <c r="V44" s="37">
        <v>350</v>
      </c>
      <c r="W44" s="10">
        <v>350</v>
      </c>
      <c r="X44" s="10"/>
      <c r="Y44" s="10" t="s">
        <v>3218</v>
      </c>
      <c r="Z44" s="10">
        <v>560</v>
      </c>
      <c r="AA44" s="34">
        <v>270</v>
      </c>
      <c r="AB44" s="10">
        <v>15</v>
      </c>
      <c r="AC44" s="10">
        <v>270</v>
      </c>
      <c r="AD44" s="10" t="s">
        <v>3245</v>
      </c>
      <c r="AE44" s="10">
        <v>0</v>
      </c>
      <c r="AF44" s="10">
        <v>0</v>
      </c>
      <c r="AG44" s="10" t="s">
        <v>218</v>
      </c>
      <c r="AH44" s="10" t="s">
        <v>218</v>
      </c>
      <c r="AI44" s="10" t="s">
        <v>218</v>
      </c>
      <c r="AJ44" s="10" t="s">
        <v>218</v>
      </c>
      <c r="AK44" s="10" t="s">
        <v>218</v>
      </c>
      <c r="AL44" s="10" t="s">
        <v>218</v>
      </c>
      <c r="AM44" s="10" t="s">
        <v>218</v>
      </c>
      <c r="AN44" s="10" t="s">
        <v>218</v>
      </c>
      <c r="AO44" s="10" t="s">
        <v>218</v>
      </c>
      <c r="AP44" s="10">
        <v>0</v>
      </c>
    </row>
    <row r="45" spans="1:42" ht="45" x14ac:dyDescent="0.25">
      <c r="A45" s="34">
        <v>0</v>
      </c>
      <c r="B45" s="34">
        <v>0</v>
      </c>
      <c r="C45" s="34">
        <v>0</v>
      </c>
      <c r="D45" s="34">
        <v>0</v>
      </c>
      <c r="E45" s="74">
        <v>0</v>
      </c>
      <c r="F45" s="34">
        <v>0</v>
      </c>
      <c r="G45" s="34"/>
      <c r="H45" s="36">
        <v>0</v>
      </c>
      <c r="I45" s="476"/>
      <c r="J45" s="476"/>
      <c r="K45" s="36">
        <v>0</v>
      </c>
      <c r="L45" s="39"/>
      <c r="M45" s="39"/>
      <c r="N45" s="36">
        <f t="shared" si="0"/>
        <v>0</v>
      </c>
      <c r="O45" s="36">
        <f t="shared" si="0"/>
        <v>0</v>
      </c>
      <c r="P45" s="36">
        <f t="shared" si="0"/>
        <v>0</v>
      </c>
      <c r="Q45" s="476"/>
      <c r="R45" s="36"/>
      <c r="S45" s="36">
        <f t="shared" si="1"/>
        <v>0</v>
      </c>
      <c r="T45" s="37" t="s">
        <v>3220</v>
      </c>
      <c r="U45" s="37" t="s">
        <v>3244</v>
      </c>
      <c r="V45" s="37">
        <v>350</v>
      </c>
      <c r="W45" s="10">
        <v>350</v>
      </c>
      <c r="X45" s="10"/>
      <c r="Y45" s="10" t="s">
        <v>3218</v>
      </c>
      <c r="Z45" s="10">
        <v>10</v>
      </c>
      <c r="AA45" s="34">
        <v>270</v>
      </c>
      <c r="AB45" s="10">
        <v>15</v>
      </c>
      <c r="AC45" s="10">
        <v>15</v>
      </c>
      <c r="AD45" s="10" t="s">
        <v>3245</v>
      </c>
      <c r="AE45" s="10">
        <v>0</v>
      </c>
      <c r="AF45" s="10">
        <v>0</v>
      </c>
      <c r="AG45" s="10" t="s">
        <v>218</v>
      </c>
      <c r="AH45" s="10" t="s">
        <v>218</v>
      </c>
      <c r="AI45" s="10" t="s">
        <v>218</v>
      </c>
      <c r="AJ45" s="10" t="s">
        <v>218</v>
      </c>
      <c r="AK45" s="10" t="s">
        <v>218</v>
      </c>
      <c r="AL45" s="10" t="s">
        <v>218</v>
      </c>
      <c r="AM45" s="10" t="s">
        <v>218</v>
      </c>
      <c r="AN45" s="10" t="s">
        <v>218</v>
      </c>
      <c r="AO45" s="10" t="s">
        <v>218</v>
      </c>
      <c r="AP45" s="10">
        <v>0</v>
      </c>
    </row>
    <row r="46" spans="1:42" ht="45" x14ac:dyDescent="0.25">
      <c r="A46" s="34">
        <v>0</v>
      </c>
      <c r="B46" s="34">
        <v>0</v>
      </c>
      <c r="C46" s="34">
        <v>0</v>
      </c>
      <c r="D46" s="34">
        <v>0</v>
      </c>
      <c r="E46" s="74">
        <v>0</v>
      </c>
      <c r="F46" s="34">
        <v>0</v>
      </c>
      <c r="G46" s="34"/>
      <c r="H46" s="36">
        <v>0</v>
      </c>
      <c r="I46" s="476"/>
      <c r="J46" s="476"/>
      <c r="K46" s="36">
        <v>0</v>
      </c>
      <c r="L46" s="39"/>
      <c r="M46" s="39"/>
      <c r="N46" s="36">
        <f t="shared" si="0"/>
        <v>0</v>
      </c>
      <c r="O46" s="36">
        <f t="shared" si="0"/>
        <v>0</v>
      </c>
      <c r="P46" s="36">
        <f t="shared" si="0"/>
        <v>0</v>
      </c>
      <c r="Q46" s="476"/>
      <c r="R46" s="36"/>
      <c r="S46" s="36">
        <f t="shared" si="1"/>
        <v>0</v>
      </c>
      <c r="T46" s="37" t="s">
        <v>3221</v>
      </c>
      <c r="U46" s="37" t="s">
        <v>3244</v>
      </c>
      <c r="V46" s="37">
        <v>350</v>
      </c>
      <c r="W46" s="10">
        <v>350</v>
      </c>
      <c r="X46" s="10"/>
      <c r="Y46" s="10" t="s">
        <v>3218</v>
      </c>
      <c r="Z46" s="10">
        <v>560</v>
      </c>
      <c r="AA46" s="34">
        <v>270</v>
      </c>
      <c r="AB46" s="10">
        <v>15</v>
      </c>
      <c r="AC46" s="10">
        <v>270</v>
      </c>
      <c r="AD46" s="10" t="s">
        <v>3245</v>
      </c>
      <c r="AE46" s="10">
        <v>0</v>
      </c>
      <c r="AF46" s="10">
        <v>0</v>
      </c>
      <c r="AG46" s="10" t="s">
        <v>218</v>
      </c>
      <c r="AH46" s="10" t="s">
        <v>218</v>
      </c>
      <c r="AI46" s="10" t="s">
        <v>218</v>
      </c>
      <c r="AJ46" s="10" t="s">
        <v>218</v>
      </c>
      <c r="AK46" s="10" t="s">
        <v>218</v>
      </c>
      <c r="AL46" s="10" t="s">
        <v>218</v>
      </c>
      <c r="AM46" s="10" t="s">
        <v>218</v>
      </c>
      <c r="AN46" s="10" t="s">
        <v>218</v>
      </c>
      <c r="AO46" s="10" t="s">
        <v>218</v>
      </c>
      <c r="AP46" s="10">
        <v>0</v>
      </c>
    </row>
    <row r="47" spans="1:42" ht="45" x14ac:dyDescent="0.25">
      <c r="A47" s="34">
        <v>0</v>
      </c>
      <c r="B47" s="34">
        <v>0</v>
      </c>
      <c r="C47" s="34">
        <v>0</v>
      </c>
      <c r="D47" s="34">
        <v>0</v>
      </c>
      <c r="E47" s="74">
        <v>0</v>
      </c>
      <c r="F47" s="34">
        <v>0</v>
      </c>
      <c r="G47" s="34"/>
      <c r="H47" s="36">
        <v>0</v>
      </c>
      <c r="I47" s="476"/>
      <c r="J47" s="476"/>
      <c r="K47" s="36">
        <v>0</v>
      </c>
      <c r="L47" s="39"/>
      <c r="M47" s="39"/>
      <c r="N47" s="36">
        <f t="shared" si="0"/>
        <v>0</v>
      </c>
      <c r="O47" s="36">
        <f t="shared" si="0"/>
        <v>0</v>
      </c>
      <c r="P47" s="36">
        <f t="shared" si="0"/>
        <v>0</v>
      </c>
      <c r="Q47" s="476"/>
      <c r="R47" s="36"/>
      <c r="S47" s="36">
        <f t="shared" si="1"/>
        <v>0</v>
      </c>
      <c r="T47" s="37" t="s">
        <v>3223</v>
      </c>
      <c r="U47" s="37" t="s">
        <v>3244</v>
      </c>
      <c r="V47" s="37">
        <v>350</v>
      </c>
      <c r="W47" s="10">
        <v>350</v>
      </c>
      <c r="X47" s="10"/>
      <c r="Y47" s="10" t="s">
        <v>3218</v>
      </c>
      <c r="Z47" s="10">
        <v>560</v>
      </c>
      <c r="AA47" s="34">
        <v>270</v>
      </c>
      <c r="AB47" s="10">
        <v>15</v>
      </c>
      <c r="AC47" s="10">
        <v>270</v>
      </c>
      <c r="AD47" s="10" t="s">
        <v>3245</v>
      </c>
      <c r="AE47" s="10">
        <v>0</v>
      </c>
      <c r="AF47" s="10">
        <v>0</v>
      </c>
      <c r="AG47" s="10" t="s">
        <v>218</v>
      </c>
      <c r="AH47" s="10" t="s">
        <v>218</v>
      </c>
      <c r="AI47" s="10" t="s">
        <v>218</v>
      </c>
      <c r="AJ47" s="10" t="s">
        <v>218</v>
      </c>
      <c r="AK47" s="10" t="s">
        <v>218</v>
      </c>
      <c r="AL47" s="10" t="s">
        <v>218</v>
      </c>
      <c r="AM47" s="10" t="s">
        <v>218</v>
      </c>
      <c r="AN47" s="10" t="s">
        <v>218</v>
      </c>
      <c r="AO47" s="10" t="s">
        <v>218</v>
      </c>
      <c r="AP47" s="10">
        <v>0</v>
      </c>
    </row>
    <row r="48" spans="1:42" ht="150" x14ac:dyDescent="0.25">
      <c r="A48" s="18" t="s">
        <v>23</v>
      </c>
      <c r="B48" s="18" t="s">
        <v>142</v>
      </c>
      <c r="C48" s="18" t="s">
        <v>1274</v>
      </c>
      <c r="D48" s="18">
        <v>212110000</v>
      </c>
      <c r="E48" s="74" t="s">
        <v>3185</v>
      </c>
      <c r="F48" s="34" t="s">
        <v>3186</v>
      </c>
      <c r="G48" s="34" t="s">
        <v>3187</v>
      </c>
      <c r="H48" s="36">
        <v>1300000000</v>
      </c>
      <c r="I48" s="36">
        <v>4745000000</v>
      </c>
      <c r="J48" s="36">
        <v>3845000000</v>
      </c>
      <c r="K48" s="36">
        <v>0</v>
      </c>
      <c r="L48" s="39"/>
      <c r="M48" s="39"/>
      <c r="N48" s="36">
        <f t="shared" si="0"/>
        <v>1300000000</v>
      </c>
      <c r="O48" s="36">
        <f t="shared" si="0"/>
        <v>4745000000</v>
      </c>
      <c r="P48" s="36">
        <f t="shared" si="0"/>
        <v>3845000000</v>
      </c>
      <c r="Q48" s="36">
        <v>3798664217</v>
      </c>
      <c r="R48" s="36"/>
      <c r="S48" s="36">
        <f t="shared" si="1"/>
        <v>3798664217</v>
      </c>
      <c r="T48" s="37">
        <v>0</v>
      </c>
      <c r="U48" s="37">
        <v>0</v>
      </c>
      <c r="V48" s="37">
        <v>0</v>
      </c>
      <c r="W48" s="10"/>
      <c r="X48" s="10"/>
      <c r="Y48" s="10"/>
      <c r="Z48" s="10"/>
      <c r="AA48" s="34">
        <v>0</v>
      </c>
      <c r="AB48" s="10"/>
      <c r="AC48" s="10"/>
      <c r="AD48" s="10"/>
      <c r="AE48" s="10">
        <v>0</v>
      </c>
      <c r="AF48" s="10">
        <v>0</v>
      </c>
      <c r="AG48" s="10">
        <v>0</v>
      </c>
      <c r="AH48" s="10">
        <v>0</v>
      </c>
      <c r="AI48" s="10">
        <v>0</v>
      </c>
      <c r="AJ48" s="10">
        <v>0</v>
      </c>
      <c r="AK48" s="10">
        <v>0</v>
      </c>
      <c r="AL48" s="10">
        <v>0</v>
      </c>
      <c r="AM48" s="10">
        <v>0</v>
      </c>
      <c r="AN48" s="10">
        <v>0</v>
      </c>
      <c r="AO48" s="10">
        <v>0</v>
      </c>
      <c r="AP48" s="10">
        <v>0</v>
      </c>
    </row>
    <row r="49" spans="1:42" ht="24" x14ac:dyDescent="0.25">
      <c r="A49" s="34">
        <v>0</v>
      </c>
      <c r="B49" s="34">
        <v>0</v>
      </c>
      <c r="C49" s="34">
        <v>0</v>
      </c>
      <c r="D49" s="34">
        <v>0</v>
      </c>
      <c r="E49" s="34">
        <v>0</v>
      </c>
      <c r="F49" s="34">
        <v>0</v>
      </c>
      <c r="G49" s="34"/>
      <c r="H49" s="36">
        <v>0</v>
      </c>
      <c r="I49" s="39"/>
      <c r="J49" s="39"/>
      <c r="K49" s="36">
        <v>0</v>
      </c>
      <c r="L49" s="39"/>
      <c r="M49" s="39"/>
      <c r="N49" s="36">
        <f t="shared" si="0"/>
        <v>0</v>
      </c>
      <c r="O49" s="36">
        <f t="shared" si="0"/>
        <v>0</v>
      </c>
      <c r="P49" s="36">
        <f t="shared" si="0"/>
        <v>0</v>
      </c>
      <c r="Q49" s="36"/>
      <c r="R49" s="36"/>
      <c r="S49" s="36">
        <f t="shared" si="1"/>
        <v>0</v>
      </c>
      <c r="T49" s="37" t="s">
        <v>3246</v>
      </c>
      <c r="U49" s="37" t="s">
        <v>3247</v>
      </c>
      <c r="V49" s="37">
        <v>1</v>
      </c>
      <c r="W49" s="10">
        <v>1</v>
      </c>
      <c r="X49" s="10"/>
      <c r="Y49" s="10" t="s">
        <v>3196</v>
      </c>
      <c r="Z49" s="10">
        <v>1</v>
      </c>
      <c r="AA49" s="34">
        <v>130</v>
      </c>
      <c r="AB49" s="10">
        <v>60</v>
      </c>
      <c r="AC49" s="10">
        <v>130</v>
      </c>
      <c r="AD49" s="10"/>
      <c r="AE49" s="10">
        <v>0</v>
      </c>
      <c r="AF49" s="10">
        <v>0</v>
      </c>
      <c r="AG49" s="10">
        <v>0</v>
      </c>
      <c r="AH49" s="10" t="s">
        <v>218</v>
      </c>
      <c r="AI49" s="10" t="s">
        <v>218</v>
      </c>
      <c r="AJ49" s="10" t="s">
        <v>218</v>
      </c>
      <c r="AK49" s="10" t="s">
        <v>218</v>
      </c>
      <c r="AL49" s="10" t="s">
        <v>218</v>
      </c>
      <c r="AM49" s="10">
        <v>0</v>
      </c>
      <c r="AN49" s="10">
        <v>0</v>
      </c>
      <c r="AO49" s="10">
        <v>0</v>
      </c>
      <c r="AP49" s="10">
        <v>0</v>
      </c>
    </row>
    <row r="50" spans="1:42" ht="135" x14ac:dyDescent="0.25">
      <c r="A50" s="34">
        <v>0</v>
      </c>
      <c r="B50" s="34">
        <v>0</v>
      </c>
      <c r="C50" s="34">
        <v>0</v>
      </c>
      <c r="D50" s="34">
        <v>0</v>
      </c>
      <c r="E50" s="34">
        <v>0</v>
      </c>
      <c r="F50" s="34">
        <v>0</v>
      </c>
      <c r="G50" s="34"/>
      <c r="H50" s="36">
        <v>0</v>
      </c>
      <c r="I50" s="39"/>
      <c r="J50" s="39"/>
      <c r="K50" s="36">
        <v>0</v>
      </c>
      <c r="L50" s="39"/>
      <c r="M50" s="39"/>
      <c r="N50" s="36">
        <f t="shared" si="0"/>
        <v>0</v>
      </c>
      <c r="O50" s="36">
        <f t="shared" si="0"/>
        <v>0</v>
      </c>
      <c r="P50" s="36">
        <f t="shared" si="0"/>
        <v>0</v>
      </c>
      <c r="Q50" s="36"/>
      <c r="R50" s="36"/>
      <c r="S50" s="36">
        <f t="shared" si="1"/>
        <v>0</v>
      </c>
      <c r="T50" s="37" t="s">
        <v>3248</v>
      </c>
      <c r="U50" s="37" t="s">
        <v>3249</v>
      </c>
      <c r="V50" s="37">
        <v>1</v>
      </c>
      <c r="W50" s="10">
        <v>1</v>
      </c>
      <c r="X50" s="10"/>
      <c r="Y50" s="10" t="s">
        <v>3196</v>
      </c>
      <c r="Z50" s="10">
        <v>0.6</v>
      </c>
      <c r="AA50" s="34">
        <v>200</v>
      </c>
      <c r="AB50" s="10">
        <v>30</v>
      </c>
      <c r="AC50" s="10">
        <v>200</v>
      </c>
      <c r="AD50" s="10" t="s">
        <v>3250</v>
      </c>
      <c r="AE50" s="10">
        <v>0</v>
      </c>
      <c r="AF50" s="10">
        <v>0</v>
      </c>
      <c r="AG50" s="10" t="s">
        <v>218</v>
      </c>
      <c r="AH50" s="10" t="s">
        <v>218</v>
      </c>
      <c r="AI50" s="10" t="s">
        <v>218</v>
      </c>
      <c r="AJ50" s="10" t="s">
        <v>218</v>
      </c>
      <c r="AK50" s="10" t="s">
        <v>218</v>
      </c>
      <c r="AL50" s="10" t="s">
        <v>218</v>
      </c>
      <c r="AM50" s="10" t="s">
        <v>218</v>
      </c>
      <c r="AN50" s="10" t="s">
        <v>218</v>
      </c>
      <c r="AO50" s="10" t="s">
        <v>218</v>
      </c>
      <c r="AP50" s="10">
        <v>0</v>
      </c>
    </row>
    <row r="51" spans="1:42" ht="36" x14ac:dyDescent="0.25">
      <c r="A51" s="34">
        <v>0</v>
      </c>
      <c r="B51" s="34">
        <v>0</v>
      </c>
      <c r="C51" s="34">
        <v>0</v>
      </c>
      <c r="D51" s="34">
        <v>0</v>
      </c>
      <c r="E51" s="34">
        <v>0</v>
      </c>
      <c r="F51" s="34">
        <v>0</v>
      </c>
      <c r="G51" s="34"/>
      <c r="H51" s="36">
        <v>0</v>
      </c>
      <c r="I51" s="39"/>
      <c r="J51" s="39"/>
      <c r="K51" s="36">
        <v>0</v>
      </c>
      <c r="L51" s="39"/>
      <c r="M51" s="39"/>
      <c r="N51" s="36">
        <f t="shared" si="0"/>
        <v>0</v>
      </c>
      <c r="O51" s="36">
        <f t="shared" si="0"/>
        <v>0</v>
      </c>
      <c r="P51" s="36">
        <f t="shared" si="0"/>
        <v>0</v>
      </c>
      <c r="Q51" s="36"/>
      <c r="R51" s="36"/>
      <c r="S51" s="36">
        <f t="shared" si="1"/>
        <v>0</v>
      </c>
      <c r="T51" s="37" t="s">
        <v>3251</v>
      </c>
      <c r="U51" s="37" t="s">
        <v>3252</v>
      </c>
      <c r="V51" s="37">
        <v>1</v>
      </c>
      <c r="W51" s="10">
        <v>1</v>
      </c>
      <c r="X51" s="10"/>
      <c r="Y51" s="10">
        <v>1</v>
      </c>
      <c r="Z51" s="10">
        <v>1</v>
      </c>
      <c r="AA51" s="34">
        <v>60</v>
      </c>
      <c r="AB51" s="10">
        <v>60</v>
      </c>
      <c r="AC51" s="10">
        <v>60</v>
      </c>
      <c r="AD51" s="10"/>
      <c r="AE51" s="10">
        <v>0</v>
      </c>
      <c r="AF51" s="10" t="s">
        <v>218</v>
      </c>
      <c r="AG51" s="10" t="s">
        <v>218</v>
      </c>
      <c r="AH51" s="10" t="s">
        <v>218</v>
      </c>
      <c r="AI51" s="10" t="s">
        <v>218</v>
      </c>
      <c r="AJ51" s="10" t="s">
        <v>218</v>
      </c>
      <c r="AK51" s="10">
        <v>0</v>
      </c>
      <c r="AL51" s="10">
        <v>0</v>
      </c>
      <c r="AM51" s="10">
        <v>0</v>
      </c>
      <c r="AN51" s="10">
        <v>0</v>
      </c>
      <c r="AO51" s="10">
        <v>0</v>
      </c>
      <c r="AP51" s="10">
        <v>0</v>
      </c>
    </row>
    <row r="52" spans="1:42" ht="120" x14ac:dyDescent="0.25">
      <c r="A52" s="18" t="s">
        <v>3189</v>
      </c>
      <c r="B52" s="18" t="s">
        <v>142</v>
      </c>
      <c r="C52" s="18" t="s">
        <v>150</v>
      </c>
      <c r="D52" s="18">
        <v>212330000</v>
      </c>
      <c r="E52" s="34"/>
      <c r="F52" s="41" t="s">
        <v>3190</v>
      </c>
      <c r="G52" s="34"/>
      <c r="H52" s="34">
        <v>0</v>
      </c>
      <c r="I52" s="10"/>
      <c r="J52" s="36">
        <v>240000000</v>
      </c>
      <c r="K52" s="34"/>
      <c r="L52" s="10"/>
      <c r="M52" s="10"/>
      <c r="N52" s="34"/>
      <c r="O52" s="10"/>
      <c r="P52" s="10"/>
      <c r="Q52" s="36">
        <v>34390803</v>
      </c>
      <c r="R52" s="10"/>
      <c r="S52" s="10"/>
      <c r="T52" s="37" t="s">
        <v>3253</v>
      </c>
      <c r="U52" s="37" t="s">
        <v>3254</v>
      </c>
      <c r="V52" s="37">
        <v>1</v>
      </c>
      <c r="W52" s="10"/>
      <c r="X52" s="10"/>
      <c r="Y52" s="10"/>
      <c r="Z52" s="10">
        <v>0.2</v>
      </c>
      <c r="AA52" s="34">
        <v>60</v>
      </c>
      <c r="AB52" s="10"/>
      <c r="AC52" s="10">
        <v>60</v>
      </c>
      <c r="AD52" s="10" t="s">
        <v>3192</v>
      </c>
      <c r="AE52" s="10"/>
      <c r="AF52" s="10"/>
      <c r="AG52" s="10"/>
      <c r="AH52" s="10"/>
      <c r="AI52" s="10"/>
      <c r="AJ52" s="10"/>
      <c r="AK52" s="10"/>
      <c r="AL52" s="10"/>
      <c r="AM52" s="10"/>
      <c r="AN52" s="10"/>
      <c r="AO52" s="10" t="s">
        <v>218</v>
      </c>
      <c r="AP52" s="10" t="s">
        <v>218</v>
      </c>
    </row>
    <row r="53" spans="1:42" s="66" customFormat="1" x14ac:dyDescent="0.25">
      <c r="A53" s="264"/>
      <c r="B53" s="264"/>
      <c r="C53" s="264"/>
      <c r="D53" s="264"/>
      <c r="E53" s="264"/>
      <c r="F53" s="264"/>
      <c r="G53" s="264"/>
      <c r="H53" s="264"/>
      <c r="I53" s="250"/>
      <c r="J53" s="478"/>
      <c r="K53" s="266"/>
      <c r="L53" s="250"/>
      <c r="M53" s="478"/>
      <c r="N53" s="266"/>
      <c r="O53" s="250"/>
      <c r="P53" s="250"/>
      <c r="Q53" s="478"/>
      <c r="R53" s="478"/>
      <c r="S53" s="250"/>
      <c r="T53" s="267"/>
      <c r="U53" s="267"/>
      <c r="V53" s="267"/>
      <c r="W53" s="250"/>
      <c r="X53" s="250"/>
      <c r="Y53" s="250"/>
      <c r="Z53" s="250"/>
      <c r="AA53" s="266"/>
      <c r="AB53" s="250"/>
      <c r="AC53" s="250"/>
      <c r="AD53" s="250"/>
      <c r="AE53" s="249"/>
      <c r="AF53" s="249"/>
      <c r="AG53" s="249"/>
      <c r="AH53" s="249"/>
      <c r="AI53" s="249"/>
      <c r="AJ53" s="249"/>
      <c r="AK53" s="249"/>
      <c r="AL53" s="249"/>
      <c r="AM53" s="249"/>
      <c r="AN53" s="249"/>
      <c r="AO53" s="249"/>
      <c r="AP53" s="249"/>
    </row>
    <row r="54" spans="1:42" s="66" customFormat="1" x14ac:dyDescent="0.25">
      <c r="A54" s="264"/>
      <c r="B54" s="264"/>
      <c r="C54" s="264"/>
      <c r="D54" s="264"/>
      <c r="E54" s="264"/>
      <c r="G54" s="264"/>
      <c r="H54" s="264"/>
      <c r="I54" s="250"/>
      <c r="J54" s="478"/>
      <c r="K54" s="266"/>
      <c r="L54" s="250"/>
      <c r="M54" s="478"/>
      <c r="N54" s="266"/>
      <c r="O54" s="250"/>
      <c r="P54" s="250"/>
      <c r="Q54" s="478"/>
      <c r="R54" s="478"/>
      <c r="S54" s="250"/>
      <c r="T54" s="267"/>
      <c r="U54" s="267"/>
      <c r="V54" s="267"/>
      <c r="W54" s="250"/>
      <c r="X54" s="250"/>
      <c r="Y54" s="250"/>
      <c r="Z54" s="250"/>
      <c r="AA54" s="266"/>
      <c r="AB54" s="250"/>
      <c r="AC54" s="250"/>
      <c r="AD54" s="250"/>
      <c r="AE54" s="249"/>
      <c r="AF54" s="249"/>
      <c r="AG54" s="249"/>
      <c r="AH54" s="249"/>
      <c r="AI54" s="249"/>
      <c r="AJ54" s="249"/>
      <c r="AK54" s="249"/>
      <c r="AL54" s="249"/>
      <c r="AM54" s="249"/>
      <c r="AN54" s="249"/>
      <c r="AO54" s="249"/>
      <c r="AP54" s="249"/>
    </row>
    <row r="55" spans="1:42" s="66" customFormat="1" x14ac:dyDescent="0.25">
      <c r="A55" s="264"/>
      <c r="B55" s="264"/>
      <c r="C55" s="264"/>
      <c r="D55" s="264"/>
      <c r="E55" s="264"/>
      <c r="F55" s="264"/>
      <c r="G55" s="264"/>
      <c r="H55" s="264"/>
      <c r="I55" s="250"/>
      <c r="J55" s="478"/>
      <c r="K55" s="266"/>
      <c r="L55" s="250"/>
      <c r="M55" s="478"/>
      <c r="N55" s="266"/>
      <c r="O55" s="250"/>
      <c r="P55" s="250"/>
      <c r="Q55" s="478"/>
      <c r="R55" s="478"/>
      <c r="S55" s="250"/>
      <c r="T55" s="267"/>
      <c r="U55" s="267"/>
      <c r="V55" s="267"/>
      <c r="W55" s="250"/>
      <c r="X55" s="250"/>
      <c r="Y55" s="250"/>
      <c r="Z55" s="250"/>
      <c r="AA55" s="266"/>
      <c r="AB55" s="250"/>
      <c r="AC55" s="250"/>
      <c r="AD55" s="250"/>
      <c r="AE55" s="249"/>
      <c r="AF55" s="249"/>
      <c r="AG55" s="249"/>
      <c r="AH55" s="249"/>
      <c r="AI55" s="249"/>
      <c r="AJ55" s="249"/>
      <c r="AK55" s="249"/>
      <c r="AL55" s="249"/>
      <c r="AM55" s="249"/>
      <c r="AN55" s="249"/>
      <c r="AO55" s="249"/>
      <c r="AP55" s="249"/>
    </row>
    <row r="56" spans="1:42" s="66" customFormat="1" x14ac:dyDescent="0.25">
      <c r="A56" s="264"/>
      <c r="B56" s="264"/>
      <c r="C56" s="264"/>
      <c r="D56" s="264"/>
      <c r="E56" s="264"/>
      <c r="F56" s="264"/>
      <c r="G56" s="264"/>
      <c r="H56" s="264"/>
      <c r="I56" s="250"/>
      <c r="J56" s="478"/>
      <c r="K56" s="266"/>
      <c r="L56" s="250"/>
      <c r="M56" s="478"/>
      <c r="N56" s="266"/>
      <c r="O56" s="250"/>
      <c r="P56" s="250"/>
      <c r="Q56" s="478"/>
      <c r="R56" s="478"/>
      <c r="S56" s="250"/>
      <c r="T56" s="267"/>
      <c r="U56" s="267"/>
      <c r="V56" s="267"/>
      <c r="W56" s="250"/>
      <c r="X56" s="250"/>
      <c r="Y56" s="250"/>
      <c r="Z56" s="250"/>
      <c r="AA56" s="266"/>
      <c r="AB56" s="250"/>
      <c r="AC56" s="250"/>
      <c r="AD56" s="250"/>
      <c r="AE56" s="249"/>
      <c r="AF56" s="249"/>
      <c r="AG56" s="249"/>
      <c r="AH56" s="249"/>
      <c r="AI56" s="249"/>
      <c r="AJ56" s="249"/>
      <c r="AK56" s="249"/>
      <c r="AL56" s="249"/>
      <c r="AM56" s="249"/>
      <c r="AN56" s="249"/>
      <c r="AO56" s="249"/>
      <c r="AP56" s="249"/>
    </row>
    <row r="57" spans="1:42" s="66" customFormat="1" x14ac:dyDescent="0.25">
      <c r="A57" s="264"/>
      <c r="B57" s="264"/>
      <c r="C57" s="264"/>
      <c r="D57" s="264"/>
      <c r="E57" s="264"/>
      <c r="F57" s="264"/>
      <c r="G57" s="264"/>
      <c r="H57" s="264"/>
      <c r="I57" s="250"/>
      <c r="J57" s="478"/>
      <c r="K57" s="266"/>
      <c r="L57" s="250"/>
      <c r="M57" s="478"/>
      <c r="N57" s="266"/>
      <c r="O57" s="250"/>
      <c r="P57" s="250"/>
      <c r="Q57" s="478"/>
      <c r="R57" s="478"/>
      <c r="S57" s="250"/>
      <c r="T57" s="267"/>
      <c r="U57" s="267"/>
      <c r="V57" s="267"/>
      <c r="W57" s="250"/>
      <c r="X57" s="250"/>
      <c r="Y57" s="250"/>
      <c r="Z57" s="250"/>
      <c r="AA57" s="266"/>
      <c r="AB57" s="250"/>
      <c r="AC57" s="250"/>
      <c r="AD57" s="250"/>
      <c r="AE57" s="249"/>
      <c r="AF57" s="249"/>
      <c r="AG57" s="249"/>
      <c r="AH57" s="249"/>
      <c r="AI57" s="249"/>
      <c r="AJ57" s="249"/>
      <c r="AK57" s="249"/>
      <c r="AL57" s="249"/>
      <c r="AM57" s="249"/>
      <c r="AN57" s="249"/>
      <c r="AO57" s="249"/>
      <c r="AP57" s="249"/>
    </row>
    <row r="58" spans="1:42" s="66" customFormat="1" x14ac:dyDescent="0.25">
      <c r="A58" s="264"/>
      <c r="B58" s="264"/>
      <c r="C58" s="264"/>
      <c r="D58" s="264"/>
      <c r="E58" s="264"/>
      <c r="F58" s="264"/>
      <c r="G58" s="264"/>
      <c r="H58" s="264"/>
      <c r="I58" s="249"/>
      <c r="J58" s="478"/>
      <c r="K58" s="264"/>
      <c r="L58" s="249"/>
      <c r="M58" s="478"/>
      <c r="N58" s="264"/>
      <c r="O58" s="249"/>
      <c r="P58" s="249"/>
      <c r="Q58" s="478"/>
      <c r="R58" s="478"/>
      <c r="S58" s="249"/>
      <c r="T58" s="267"/>
      <c r="U58" s="267"/>
      <c r="V58" s="267"/>
      <c r="W58" s="249"/>
      <c r="X58" s="249"/>
      <c r="Y58" s="249"/>
      <c r="Z58" s="250"/>
      <c r="AA58" s="266"/>
      <c r="AB58" s="250"/>
      <c r="AC58" s="250"/>
      <c r="AD58" s="250"/>
      <c r="AE58" s="249"/>
      <c r="AF58" s="249"/>
      <c r="AG58" s="249"/>
      <c r="AH58" s="249"/>
      <c r="AI58" s="249"/>
      <c r="AJ58" s="249"/>
      <c r="AK58" s="249"/>
      <c r="AL58" s="249"/>
      <c r="AM58" s="249"/>
      <c r="AN58" s="249"/>
      <c r="AO58" s="249"/>
      <c r="AP58" s="249"/>
    </row>
    <row r="59" spans="1:42" s="66" customFormat="1" x14ac:dyDescent="0.25">
      <c r="A59" s="264"/>
      <c r="B59" s="264"/>
      <c r="C59" s="264"/>
      <c r="D59" s="264"/>
      <c r="E59" s="264"/>
      <c r="F59" s="264"/>
      <c r="G59" s="264"/>
      <c r="H59" s="264"/>
      <c r="I59" s="249"/>
      <c r="J59" s="478"/>
      <c r="K59" s="264"/>
      <c r="L59" s="249"/>
      <c r="M59" s="478"/>
      <c r="N59" s="264"/>
      <c r="O59" s="249"/>
      <c r="P59" s="249"/>
      <c r="Q59" s="478"/>
      <c r="R59" s="478"/>
      <c r="S59" s="249"/>
      <c r="T59" s="267"/>
      <c r="U59" s="267"/>
      <c r="V59" s="267"/>
      <c r="W59" s="249"/>
      <c r="X59" s="249"/>
      <c r="Y59" s="249"/>
      <c r="Z59" s="250"/>
      <c r="AA59" s="266"/>
      <c r="AB59" s="250"/>
      <c r="AC59" s="250"/>
      <c r="AD59" s="250"/>
      <c r="AE59" s="249"/>
      <c r="AF59" s="249"/>
      <c r="AG59" s="249"/>
      <c r="AH59" s="249"/>
      <c r="AI59" s="249"/>
      <c r="AJ59" s="249"/>
      <c r="AK59" s="249"/>
      <c r="AL59" s="249"/>
      <c r="AM59" s="249"/>
      <c r="AN59" s="249"/>
      <c r="AO59" s="249"/>
      <c r="AP59" s="249"/>
    </row>
    <row r="60" spans="1:42" s="66" customFormat="1" x14ac:dyDescent="0.25">
      <c r="A60" s="264"/>
      <c r="B60" s="264"/>
      <c r="C60" s="264"/>
      <c r="D60" s="264"/>
      <c r="E60" s="264"/>
      <c r="F60" s="264"/>
      <c r="G60" s="264"/>
      <c r="H60" s="264"/>
      <c r="I60" s="249"/>
      <c r="J60" s="478"/>
      <c r="K60" s="264"/>
      <c r="L60" s="249"/>
      <c r="M60" s="478"/>
      <c r="N60" s="264"/>
      <c r="O60" s="249"/>
      <c r="P60" s="249"/>
      <c r="Q60" s="478"/>
      <c r="R60" s="478"/>
      <c r="S60" s="249"/>
      <c r="T60" s="267"/>
      <c r="U60" s="267"/>
      <c r="V60" s="267"/>
      <c r="W60" s="249"/>
      <c r="X60" s="249"/>
      <c r="Y60" s="249"/>
      <c r="Z60" s="250"/>
      <c r="AA60" s="266"/>
      <c r="AB60" s="250"/>
      <c r="AC60" s="250"/>
      <c r="AD60" s="250"/>
      <c r="AE60" s="249"/>
      <c r="AF60" s="249"/>
      <c r="AG60" s="249"/>
      <c r="AH60" s="249"/>
      <c r="AI60" s="249"/>
      <c r="AJ60" s="249"/>
      <c r="AK60" s="249"/>
      <c r="AL60" s="249"/>
      <c r="AM60" s="249"/>
      <c r="AN60" s="249"/>
      <c r="AO60" s="249"/>
      <c r="AP60" s="249"/>
    </row>
    <row r="61" spans="1:42" s="66" customFormat="1" x14ac:dyDescent="0.25">
      <c r="A61" s="264"/>
      <c r="B61" s="264"/>
      <c r="C61" s="264"/>
      <c r="D61" s="264"/>
      <c r="E61" s="264"/>
      <c r="F61" s="264"/>
      <c r="G61" s="264"/>
      <c r="H61" s="264"/>
      <c r="I61" s="249"/>
      <c r="J61" s="478"/>
      <c r="K61" s="264"/>
      <c r="L61" s="249"/>
      <c r="M61" s="478"/>
      <c r="N61" s="264"/>
      <c r="O61" s="249"/>
      <c r="P61" s="249"/>
      <c r="Q61" s="478"/>
      <c r="R61" s="478"/>
      <c r="S61" s="249"/>
      <c r="T61" s="267"/>
      <c r="U61" s="267"/>
      <c r="V61" s="267"/>
      <c r="W61" s="249"/>
      <c r="X61" s="249"/>
      <c r="Y61" s="249"/>
      <c r="Z61" s="250"/>
      <c r="AA61" s="266"/>
      <c r="AB61" s="250"/>
      <c r="AC61" s="250"/>
      <c r="AD61" s="250"/>
      <c r="AE61" s="249"/>
      <c r="AF61" s="249"/>
      <c r="AG61" s="249"/>
      <c r="AH61" s="249"/>
      <c r="AI61" s="249"/>
      <c r="AJ61" s="249"/>
      <c r="AK61" s="249"/>
      <c r="AL61" s="249"/>
      <c r="AM61" s="249"/>
      <c r="AN61" s="249"/>
      <c r="AO61" s="249"/>
      <c r="AP61" s="249"/>
    </row>
    <row r="62" spans="1:42" s="66" customFormat="1" x14ac:dyDescent="0.25">
      <c r="A62" s="264"/>
      <c r="B62" s="264"/>
      <c r="C62" s="264"/>
      <c r="D62" s="264"/>
      <c r="E62" s="264"/>
      <c r="F62" s="264"/>
      <c r="G62" s="264"/>
      <c r="H62" s="264"/>
      <c r="I62" s="249"/>
      <c r="J62" s="478"/>
      <c r="K62" s="264"/>
      <c r="L62" s="249"/>
      <c r="M62" s="478"/>
      <c r="N62" s="264"/>
      <c r="O62" s="249"/>
      <c r="P62" s="249"/>
      <c r="Q62" s="478"/>
      <c r="R62" s="478"/>
      <c r="S62" s="249"/>
      <c r="T62" s="267"/>
      <c r="U62" s="267"/>
      <c r="V62" s="267"/>
      <c r="W62" s="249"/>
      <c r="X62" s="249"/>
      <c r="Y62" s="249"/>
      <c r="Z62" s="250"/>
      <c r="AA62" s="266"/>
      <c r="AB62" s="250"/>
      <c r="AC62" s="250"/>
      <c r="AD62" s="250"/>
      <c r="AE62" s="249"/>
      <c r="AF62" s="249"/>
      <c r="AG62" s="249"/>
      <c r="AH62" s="249"/>
      <c r="AI62" s="249"/>
      <c r="AJ62" s="249"/>
      <c r="AK62" s="249"/>
      <c r="AL62" s="249"/>
      <c r="AM62" s="249"/>
      <c r="AN62" s="249"/>
      <c r="AO62" s="249"/>
      <c r="AP62" s="249"/>
    </row>
    <row r="63" spans="1:42" s="66" customFormat="1" x14ac:dyDescent="0.25">
      <c r="A63" s="264"/>
      <c r="B63" s="264"/>
      <c r="C63" s="264"/>
      <c r="D63" s="264"/>
      <c r="E63" s="264"/>
      <c r="F63" s="264"/>
      <c r="G63" s="264"/>
      <c r="H63" s="264"/>
      <c r="I63" s="249"/>
      <c r="J63" s="478"/>
      <c r="K63" s="264"/>
      <c r="L63" s="249"/>
      <c r="M63" s="478"/>
      <c r="N63" s="264"/>
      <c r="O63" s="249"/>
      <c r="P63" s="249"/>
      <c r="Q63" s="478"/>
      <c r="R63" s="478"/>
      <c r="S63" s="249"/>
      <c r="T63" s="267"/>
      <c r="U63" s="267"/>
      <c r="V63" s="267"/>
      <c r="W63" s="249"/>
      <c r="X63" s="249"/>
      <c r="Y63" s="249"/>
      <c r="Z63" s="250"/>
      <c r="AA63" s="266"/>
      <c r="AB63" s="250"/>
      <c r="AC63" s="250"/>
      <c r="AD63" s="250"/>
      <c r="AE63" s="249"/>
      <c r="AF63" s="249"/>
      <c r="AG63" s="249"/>
      <c r="AH63" s="249"/>
      <c r="AI63" s="249"/>
      <c r="AJ63" s="249"/>
      <c r="AK63" s="249"/>
      <c r="AL63" s="249"/>
      <c r="AM63" s="249"/>
      <c r="AN63" s="249"/>
      <c r="AO63" s="249"/>
      <c r="AP63" s="249"/>
    </row>
    <row r="64" spans="1:42" s="66" customFormat="1" x14ac:dyDescent="0.25">
      <c r="A64" s="264"/>
      <c r="B64" s="264"/>
      <c r="C64" s="264"/>
      <c r="D64" s="264"/>
      <c r="E64" s="264"/>
      <c r="F64" s="264"/>
      <c r="G64" s="264"/>
      <c r="H64" s="264"/>
      <c r="I64" s="249"/>
      <c r="J64" s="478"/>
      <c r="K64" s="264"/>
      <c r="L64" s="249"/>
      <c r="M64" s="478"/>
      <c r="N64" s="264"/>
      <c r="O64" s="249"/>
      <c r="P64" s="249"/>
      <c r="Q64" s="478"/>
      <c r="R64" s="478"/>
      <c r="S64" s="249"/>
      <c r="T64" s="267"/>
      <c r="U64" s="267"/>
      <c r="V64" s="267"/>
      <c r="W64" s="249"/>
      <c r="X64" s="249"/>
      <c r="Y64" s="249"/>
      <c r="Z64" s="250"/>
      <c r="AA64" s="266"/>
      <c r="AB64" s="250"/>
      <c r="AC64" s="250"/>
      <c r="AD64" s="250"/>
      <c r="AE64" s="249"/>
      <c r="AF64" s="249"/>
      <c r="AG64" s="249"/>
      <c r="AH64" s="249"/>
      <c r="AI64" s="249"/>
      <c r="AJ64" s="249"/>
      <c r="AK64" s="249"/>
      <c r="AL64" s="249"/>
      <c r="AM64" s="249"/>
      <c r="AN64" s="249"/>
      <c r="AO64" s="249"/>
      <c r="AP64" s="249"/>
    </row>
    <row r="65" spans="1:42" s="66" customFormat="1" x14ac:dyDescent="0.25">
      <c r="A65" s="264"/>
      <c r="B65" s="264"/>
      <c r="C65" s="264"/>
      <c r="D65" s="264"/>
      <c r="E65" s="264"/>
      <c r="F65" s="264"/>
      <c r="G65" s="264"/>
      <c r="H65" s="264"/>
      <c r="I65" s="249"/>
      <c r="J65" s="478"/>
      <c r="K65" s="264"/>
      <c r="L65" s="249"/>
      <c r="M65" s="478"/>
      <c r="N65" s="264"/>
      <c r="O65" s="249"/>
      <c r="P65" s="249"/>
      <c r="Q65" s="478"/>
      <c r="R65" s="478"/>
      <c r="S65" s="249"/>
      <c r="T65" s="267"/>
      <c r="U65" s="267"/>
      <c r="V65" s="267"/>
      <c r="W65" s="249"/>
      <c r="X65" s="249"/>
      <c r="Y65" s="249"/>
      <c r="Z65" s="250"/>
      <c r="AA65" s="266"/>
      <c r="AB65" s="250"/>
      <c r="AC65" s="250"/>
      <c r="AD65" s="250"/>
      <c r="AE65" s="249"/>
      <c r="AF65" s="249"/>
      <c r="AG65" s="249"/>
      <c r="AH65" s="249"/>
      <c r="AI65" s="249"/>
      <c r="AJ65" s="249"/>
      <c r="AK65" s="249"/>
      <c r="AL65" s="249"/>
      <c r="AM65" s="249"/>
      <c r="AN65" s="249"/>
      <c r="AO65" s="249"/>
      <c r="AP65" s="249"/>
    </row>
    <row r="66" spans="1:42" s="66" customFormat="1" x14ac:dyDescent="0.25">
      <c r="A66" s="264"/>
      <c r="B66" s="264"/>
      <c r="C66" s="264"/>
      <c r="D66" s="264"/>
      <c r="E66" s="264"/>
      <c r="F66" s="264"/>
      <c r="G66" s="264"/>
      <c r="H66" s="264"/>
      <c r="I66" s="249"/>
      <c r="J66" s="478"/>
      <c r="K66" s="264"/>
      <c r="L66" s="249"/>
      <c r="M66" s="478"/>
      <c r="N66" s="264"/>
      <c r="O66" s="249"/>
      <c r="P66" s="249"/>
      <c r="Q66" s="478"/>
      <c r="R66" s="478"/>
      <c r="S66" s="249"/>
      <c r="T66" s="267"/>
      <c r="U66" s="267"/>
      <c r="V66" s="267"/>
      <c r="W66" s="249"/>
      <c r="X66" s="249"/>
      <c r="Y66" s="249"/>
      <c r="Z66" s="250"/>
      <c r="AA66" s="266"/>
      <c r="AB66" s="250"/>
      <c r="AC66" s="250"/>
      <c r="AD66" s="250"/>
      <c r="AE66" s="249"/>
      <c r="AF66" s="249"/>
      <c r="AG66" s="249"/>
      <c r="AH66" s="249"/>
      <c r="AI66" s="249"/>
      <c r="AJ66" s="249"/>
      <c r="AK66" s="249"/>
      <c r="AL66" s="249"/>
      <c r="AM66" s="249"/>
      <c r="AN66" s="249"/>
      <c r="AO66" s="249"/>
      <c r="AP66" s="249"/>
    </row>
    <row r="67" spans="1:42" s="66" customFormat="1" x14ac:dyDescent="0.25">
      <c r="A67" s="264"/>
      <c r="B67" s="264"/>
      <c r="C67" s="264"/>
      <c r="D67" s="264"/>
      <c r="E67" s="264"/>
      <c r="F67" s="264"/>
      <c r="G67" s="264"/>
      <c r="H67" s="264"/>
      <c r="I67" s="249"/>
      <c r="J67" s="478"/>
      <c r="K67" s="264"/>
      <c r="L67" s="249"/>
      <c r="M67" s="478"/>
      <c r="N67" s="264"/>
      <c r="O67" s="249"/>
      <c r="P67" s="249"/>
      <c r="Q67" s="478"/>
      <c r="R67" s="478"/>
      <c r="S67" s="249"/>
      <c r="T67" s="267"/>
      <c r="U67" s="267"/>
      <c r="V67" s="267"/>
      <c r="W67" s="249"/>
      <c r="X67" s="249"/>
      <c r="Y67" s="249"/>
      <c r="Z67" s="250"/>
      <c r="AA67" s="266"/>
      <c r="AB67" s="250"/>
      <c r="AC67" s="250"/>
      <c r="AD67" s="250"/>
      <c r="AE67" s="249"/>
      <c r="AF67" s="249"/>
      <c r="AG67" s="249"/>
      <c r="AH67" s="249"/>
      <c r="AI67" s="249"/>
      <c r="AJ67" s="249"/>
      <c r="AK67" s="249"/>
      <c r="AL67" s="249"/>
      <c r="AM67" s="249"/>
      <c r="AN67" s="249"/>
      <c r="AO67" s="249"/>
      <c r="AP67" s="249"/>
    </row>
    <row r="68" spans="1:42" s="66" customFormat="1" x14ac:dyDescent="0.25">
      <c r="A68" s="264"/>
      <c r="B68" s="264"/>
      <c r="C68" s="264"/>
      <c r="D68" s="264"/>
      <c r="E68" s="264"/>
      <c r="F68" s="264"/>
      <c r="G68" s="264"/>
      <c r="H68" s="264"/>
      <c r="I68" s="249"/>
      <c r="J68" s="478"/>
      <c r="K68" s="264"/>
      <c r="L68" s="249"/>
      <c r="M68" s="478"/>
      <c r="N68" s="264"/>
      <c r="O68" s="249"/>
      <c r="P68" s="249"/>
      <c r="Q68" s="478"/>
      <c r="R68" s="478"/>
      <c r="S68" s="249"/>
      <c r="T68" s="267"/>
      <c r="U68" s="267"/>
      <c r="V68" s="267"/>
      <c r="W68" s="249"/>
      <c r="X68" s="249"/>
      <c r="Y68" s="249"/>
      <c r="Z68" s="250"/>
      <c r="AA68" s="266"/>
      <c r="AB68" s="250"/>
      <c r="AC68" s="250"/>
      <c r="AD68" s="250"/>
      <c r="AE68" s="249"/>
      <c r="AF68" s="249"/>
      <c r="AG68" s="249"/>
      <c r="AH68" s="249"/>
      <c r="AI68" s="249"/>
      <c r="AJ68" s="249"/>
      <c r="AK68" s="249"/>
      <c r="AL68" s="249"/>
      <c r="AM68" s="249"/>
      <c r="AN68" s="249"/>
      <c r="AO68" s="249"/>
      <c r="AP68" s="249"/>
    </row>
    <row r="69" spans="1:42" s="66" customFormat="1" x14ac:dyDescent="0.25">
      <c r="A69" s="264"/>
      <c r="B69" s="264"/>
      <c r="C69" s="264"/>
      <c r="D69" s="264"/>
      <c r="E69" s="264"/>
      <c r="F69" s="264"/>
      <c r="G69" s="264"/>
      <c r="H69" s="264"/>
      <c r="I69" s="249"/>
      <c r="J69" s="478"/>
      <c r="K69" s="264"/>
      <c r="L69" s="249"/>
      <c r="M69" s="478"/>
      <c r="N69" s="264"/>
      <c r="O69" s="249"/>
      <c r="P69" s="249"/>
      <c r="Q69" s="478"/>
      <c r="R69" s="478"/>
      <c r="S69" s="249"/>
      <c r="T69" s="267"/>
      <c r="U69" s="267"/>
      <c r="V69" s="267"/>
      <c r="W69" s="249"/>
      <c r="X69" s="249"/>
      <c r="Y69" s="249"/>
      <c r="Z69" s="250"/>
      <c r="AA69" s="266"/>
      <c r="AB69" s="250"/>
      <c r="AC69" s="250"/>
      <c r="AD69" s="250"/>
      <c r="AE69" s="249"/>
      <c r="AF69" s="249"/>
      <c r="AG69" s="249"/>
      <c r="AH69" s="249"/>
      <c r="AI69" s="249"/>
      <c r="AJ69" s="249"/>
      <c r="AK69" s="249"/>
      <c r="AL69" s="249"/>
      <c r="AM69" s="249"/>
      <c r="AN69" s="249"/>
      <c r="AO69" s="249"/>
      <c r="AP69" s="249"/>
    </row>
    <row r="70" spans="1:42" s="66" customFormat="1" x14ac:dyDescent="0.25">
      <c r="A70" s="264"/>
      <c r="B70" s="264"/>
      <c r="C70" s="264"/>
      <c r="D70" s="264"/>
      <c r="E70" s="264"/>
      <c r="F70" s="264"/>
      <c r="G70" s="264"/>
      <c r="H70" s="264"/>
      <c r="I70" s="249"/>
      <c r="J70" s="478"/>
      <c r="K70" s="264"/>
      <c r="L70" s="249"/>
      <c r="M70" s="478"/>
      <c r="N70" s="264"/>
      <c r="O70" s="249"/>
      <c r="P70" s="249"/>
      <c r="Q70" s="478"/>
      <c r="R70" s="478"/>
      <c r="S70" s="249"/>
      <c r="T70" s="267"/>
      <c r="U70" s="267"/>
      <c r="V70" s="267"/>
      <c r="W70" s="249"/>
      <c r="X70" s="249"/>
      <c r="Y70" s="249"/>
      <c r="Z70" s="250"/>
      <c r="AA70" s="266"/>
      <c r="AB70" s="250"/>
      <c r="AC70" s="250"/>
      <c r="AD70" s="250"/>
      <c r="AE70" s="249"/>
      <c r="AF70" s="249"/>
      <c r="AG70" s="249"/>
      <c r="AH70" s="249"/>
      <c r="AI70" s="249"/>
      <c r="AJ70" s="249"/>
      <c r="AK70" s="249"/>
      <c r="AL70" s="249"/>
      <c r="AM70" s="249"/>
      <c r="AN70" s="249"/>
      <c r="AO70" s="249"/>
      <c r="AP70" s="249"/>
    </row>
    <row r="71" spans="1:42" s="66" customFormat="1" x14ac:dyDescent="0.25">
      <c r="A71" s="264"/>
      <c r="B71" s="264"/>
      <c r="C71" s="264"/>
      <c r="D71" s="264"/>
      <c r="E71" s="264"/>
      <c r="F71" s="264"/>
      <c r="G71" s="264"/>
      <c r="H71" s="264"/>
      <c r="I71" s="249"/>
      <c r="J71" s="478"/>
      <c r="K71" s="264"/>
      <c r="L71" s="249"/>
      <c r="M71" s="478"/>
      <c r="N71" s="264"/>
      <c r="O71" s="249"/>
      <c r="P71" s="249"/>
      <c r="Q71" s="478"/>
      <c r="R71" s="478"/>
      <c r="S71" s="249"/>
      <c r="T71" s="267"/>
      <c r="U71" s="267"/>
      <c r="V71" s="267"/>
      <c r="W71" s="249"/>
      <c r="X71" s="249"/>
      <c r="Y71" s="249"/>
      <c r="Z71" s="250"/>
      <c r="AA71" s="266"/>
      <c r="AB71" s="250"/>
      <c r="AC71" s="250"/>
      <c r="AD71" s="250"/>
      <c r="AE71" s="249"/>
      <c r="AF71" s="249"/>
      <c r="AG71" s="249"/>
      <c r="AH71" s="249"/>
      <c r="AI71" s="249"/>
      <c r="AJ71" s="249"/>
      <c r="AK71" s="249"/>
      <c r="AL71" s="249"/>
      <c r="AM71" s="249"/>
      <c r="AN71" s="249"/>
      <c r="AO71" s="249"/>
      <c r="AP71" s="249"/>
    </row>
    <row r="72" spans="1:42" s="66" customFormat="1" x14ac:dyDescent="0.25">
      <c r="A72" s="264"/>
      <c r="B72" s="264"/>
      <c r="C72" s="264"/>
      <c r="D72" s="264"/>
      <c r="E72" s="264"/>
      <c r="F72" s="264"/>
      <c r="G72" s="264"/>
      <c r="H72" s="264"/>
      <c r="I72" s="249"/>
      <c r="J72" s="478"/>
      <c r="K72" s="264"/>
      <c r="L72" s="249"/>
      <c r="M72" s="478"/>
      <c r="N72" s="264"/>
      <c r="O72" s="249"/>
      <c r="P72" s="249"/>
      <c r="Q72" s="478"/>
      <c r="R72" s="478"/>
      <c r="S72" s="249"/>
      <c r="T72" s="267"/>
      <c r="U72" s="267"/>
      <c r="V72" s="267"/>
      <c r="W72" s="249"/>
      <c r="X72" s="249"/>
      <c r="Y72" s="249"/>
      <c r="Z72" s="250"/>
      <c r="AA72" s="266"/>
      <c r="AB72" s="250"/>
      <c r="AC72" s="250"/>
      <c r="AD72" s="250"/>
      <c r="AE72" s="249"/>
      <c r="AF72" s="249"/>
      <c r="AG72" s="249"/>
      <c r="AH72" s="249"/>
      <c r="AI72" s="249"/>
      <c r="AJ72" s="249"/>
      <c r="AK72" s="249"/>
      <c r="AL72" s="249"/>
      <c r="AM72" s="249"/>
      <c r="AN72" s="249"/>
      <c r="AO72" s="249"/>
      <c r="AP72" s="249"/>
    </row>
    <row r="73" spans="1:42" s="66" customFormat="1" x14ac:dyDescent="0.25">
      <c r="A73" s="264"/>
      <c r="B73" s="264"/>
      <c r="C73" s="264"/>
      <c r="D73" s="264"/>
      <c r="E73" s="264"/>
      <c r="F73" s="264"/>
      <c r="G73" s="264"/>
      <c r="H73" s="264"/>
      <c r="I73" s="249"/>
      <c r="J73" s="478"/>
      <c r="K73" s="264"/>
      <c r="L73" s="249"/>
      <c r="M73" s="478"/>
      <c r="N73" s="264"/>
      <c r="O73" s="249"/>
      <c r="P73" s="249"/>
      <c r="Q73" s="478"/>
      <c r="R73" s="478"/>
      <c r="S73" s="249"/>
      <c r="T73" s="267"/>
      <c r="U73" s="267"/>
      <c r="V73" s="267"/>
      <c r="W73" s="249"/>
      <c r="X73" s="249"/>
      <c r="Y73" s="249"/>
      <c r="Z73" s="250"/>
      <c r="AA73" s="266"/>
      <c r="AB73" s="250"/>
      <c r="AC73" s="250"/>
      <c r="AD73" s="250"/>
      <c r="AE73" s="249"/>
      <c r="AF73" s="249"/>
      <c r="AG73" s="249"/>
      <c r="AH73" s="249"/>
      <c r="AI73" s="249"/>
      <c r="AJ73" s="249"/>
      <c r="AK73" s="249"/>
      <c r="AL73" s="249"/>
      <c r="AM73" s="249"/>
      <c r="AN73" s="249"/>
      <c r="AO73" s="249"/>
      <c r="AP73" s="249"/>
    </row>
    <row r="74" spans="1:42" s="66" customFormat="1" x14ac:dyDescent="0.25">
      <c r="A74" s="264"/>
      <c r="B74" s="264"/>
      <c r="C74" s="264"/>
      <c r="D74" s="264"/>
      <c r="E74" s="264"/>
      <c r="F74" s="264"/>
      <c r="G74" s="264"/>
      <c r="H74" s="264"/>
      <c r="I74" s="249"/>
      <c r="J74" s="478"/>
      <c r="K74" s="264"/>
      <c r="L74" s="249"/>
      <c r="M74" s="478"/>
      <c r="N74" s="264"/>
      <c r="O74" s="249"/>
      <c r="P74" s="249"/>
      <c r="Q74" s="478"/>
      <c r="R74" s="478"/>
      <c r="S74" s="249"/>
      <c r="T74" s="267"/>
      <c r="U74" s="267"/>
      <c r="V74" s="267"/>
      <c r="W74" s="249"/>
      <c r="X74" s="249"/>
      <c r="Y74" s="249"/>
      <c r="Z74" s="250"/>
      <c r="AA74" s="266"/>
      <c r="AB74" s="250"/>
      <c r="AC74" s="250"/>
      <c r="AD74" s="250"/>
      <c r="AE74" s="249"/>
      <c r="AF74" s="249"/>
      <c r="AG74" s="249"/>
      <c r="AH74" s="249"/>
      <c r="AI74" s="249"/>
      <c r="AJ74" s="249"/>
      <c r="AK74" s="249"/>
      <c r="AL74" s="249"/>
      <c r="AM74" s="249"/>
      <c r="AN74" s="249"/>
      <c r="AO74" s="249"/>
      <c r="AP74" s="249"/>
    </row>
    <row r="75" spans="1:42" s="66" customFormat="1" x14ac:dyDescent="0.25">
      <c r="A75" s="264"/>
      <c r="B75" s="264"/>
      <c r="C75" s="264"/>
      <c r="D75" s="264"/>
      <c r="E75" s="264"/>
      <c r="F75" s="264"/>
      <c r="G75" s="264"/>
      <c r="H75" s="264"/>
      <c r="I75" s="249"/>
      <c r="J75" s="478"/>
      <c r="K75" s="264"/>
      <c r="L75" s="249"/>
      <c r="M75" s="478"/>
      <c r="N75" s="264"/>
      <c r="O75" s="249"/>
      <c r="P75" s="249"/>
      <c r="Q75" s="478"/>
      <c r="R75" s="478"/>
      <c r="S75" s="249"/>
      <c r="T75" s="267"/>
      <c r="U75" s="267"/>
      <c r="V75" s="267"/>
      <c r="W75" s="249"/>
      <c r="X75" s="249"/>
      <c r="Y75" s="249"/>
      <c r="Z75" s="250"/>
      <c r="AA75" s="266"/>
      <c r="AB75" s="250"/>
      <c r="AC75" s="250"/>
      <c r="AD75" s="250"/>
      <c r="AE75" s="249"/>
      <c r="AF75" s="249"/>
      <c r="AG75" s="249"/>
      <c r="AH75" s="249"/>
      <c r="AI75" s="249"/>
      <c r="AJ75" s="249"/>
      <c r="AK75" s="249"/>
      <c r="AL75" s="249"/>
      <c r="AM75" s="249"/>
      <c r="AN75" s="249"/>
      <c r="AO75" s="249"/>
      <c r="AP75" s="249"/>
    </row>
    <row r="76" spans="1:42" s="66" customFormat="1" x14ac:dyDescent="0.25">
      <c r="A76" s="264"/>
      <c r="B76" s="264"/>
      <c r="C76" s="264"/>
      <c r="D76" s="264"/>
      <c r="E76" s="264"/>
      <c r="F76" s="264"/>
      <c r="G76" s="264"/>
      <c r="H76" s="264"/>
      <c r="I76" s="249"/>
      <c r="J76" s="478"/>
      <c r="K76" s="264"/>
      <c r="L76" s="249"/>
      <c r="M76" s="478"/>
      <c r="N76" s="264"/>
      <c r="O76" s="249"/>
      <c r="P76" s="249"/>
      <c r="Q76" s="478"/>
      <c r="R76" s="478"/>
      <c r="S76" s="249"/>
      <c r="T76" s="267"/>
      <c r="U76" s="267"/>
      <c r="V76" s="267"/>
      <c r="W76" s="249"/>
      <c r="X76" s="249"/>
      <c r="Y76" s="249"/>
      <c r="Z76" s="250"/>
      <c r="AA76" s="266"/>
      <c r="AB76" s="250"/>
      <c r="AC76" s="250"/>
      <c r="AD76" s="250"/>
      <c r="AE76" s="249"/>
      <c r="AF76" s="249"/>
      <c r="AG76" s="249"/>
      <c r="AH76" s="249"/>
      <c r="AI76" s="249"/>
      <c r="AJ76" s="249"/>
      <c r="AK76" s="249"/>
      <c r="AL76" s="249"/>
      <c r="AM76" s="249"/>
      <c r="AN76" s="249"/>
      <c r="AO76" s="249"/>
      <c r="AP76" s="249"/>
    </row>
    <row r="77" spans="1:42" s="66" customFormat="1" x14ac:dyDescent="0.25">
      <c r="A77" s="264"/>
      <c r="B77" s="264"/>
      <c r="C77" s="264"/>
      <c r="D77" s="264"/>
      <c r="E77" s="264"/>
      <c r="F77" s="264"/>
      <c r="G77" s="264"/>
      <c r="H77" s="264"/>
      <c r="I77" s="249"/>
      <c r="J77" s="478"/>
      <c r="K77" s="264"/>
      <c r="L77" s="249"/>
      <c r="M77" s="478"/>
      <c r="N77" s="264"/>
      <c r="O77" s="249"/>
      <c r="P77" s="249"/>
      <c r="Q77" s="478"/>
      <c r="R77" s="478"/>
      <c r="S77" s="249"/>
      <c r="T77" s="267"/>
      <c r="U77" s="267"/>
      <c r="V77" s="267"/>
      <c r="W77" s="249"/>
      <c r="X77" s="249"/>
      <c r="Y77" s="249"/>
      <c r="Z77" s="250"/>
      <c r="AA77" s="266"/>
      <c r="AB77" s="250"/>
      <c r="AC77" s="250"/>
      <c r="AD77" s="250"/>
      <c r="AE77" s="249"/>
      <c r="AF77" s="249"/>
      <c r="AG77" s="249"/>
      <c r="AH77" s="249"/>
      <c r="AI77" s="249"/>
      <c r="AJ77" s="249"/>
      <c r="AK77" s="249"/>
      <c r="AL77" s="249"/>
      <c r="AM77" s="249"/>
      <c r="AN77" s="249"/>
      <c r="AO77" s="249"/>
      <c r="AP77" s="249"/>
    </row>
    <row r="78" spans="1:42" s="66" customFormat="1" x14ac:dyDescent="0.25">
      <c r="A78" s="264"/>
      <c r="B78" s="264"/>
      <c r="C78" s="264"/>
      <c r="D78" s="264"/>
      <c r="E78" s="264"/>
      <c r="F78" s="264"/>
      <c r="G78" s="264"/>
      <c r="H78" s="264"/>
      <c r="I78" s="249"/>
      <c r="J78" s="478"/>
      <c r="K78" s="264"/>
      <c r="L78" s="249"/>
      <c r="M78" s="478"/>
      <c r="N78" s="264"/>
      <c r="O78" s="249"/>
      <c r="P78" s="249"/>
      <c r="Q78" s="478"/>
      <c r="R78" s="478"/>
      <c r="S78" s="249"/>
      <c r="T78" s="267"/>
      <c r="U78" s="267"/>
      <c r="V78" s="267"/>
      <c r="W78" s="249"/>
      <c r="X78" s="249"/>
      <c r="Y78" s="249"/>
      <c r="Z78" s="250"/>
      <c r="AA78" s="266"/>
      <c r="AB78" s="250"/>
      <c r="AC78" s="250"/>
      <c r="AD78" s="250"/>
      <c r="AE78" s="249"/>
      <c r="AF78" s="249"/>
      <c r="AG78" s="249"/>
      <c r="AH78" s="249"/>
      <c r="AI78" s="249"/>
      <c r="AJ78" s="249"/>
      <c r="AK78" s="249"/>
      <c r="AL78" s="249"/>
      <c r="AM78" s="249"/>
      <c r="AN78" s="249"/>
      <c r="AO78" s="249"/>
      <c r="AP78" s="249"/>
    </row>
    <row r="79" spans="1:42" s="66" customFormat="1" x14ac:dyDescent="0.25">
      <c r="A79" s="264"/>
      <c r="B79" s="264"/>
      <c r="C79" s="264"/>
      <c r="D79" s="264"/>
      <c r="E79" s="264"/>
      <c r="F79" s="264"/>
      <c r="G79" s="264"/>
      <c r="H79" s="264"/>
      <c r="I79" s="249"/>
      <c r="J79" s="478"/>
      <c r="K79" s="264"/>
      <c r="L79" s="249"/>
      <c r="M79" s="478"/>
      <c r="N79" s="264"/>
      <c r="O79" s="249"/>
      <c r="P79" s="249"/>
      <c r="Q79" s="478"/>
      <c r="R79" s="478"/>
      <c r="S79" s="249"/>
      <c r="T79" s="267"/>
      <c r="U79" s="267"/>
      <c r="V79" s="267"/>
      <c r="W79" s="249"/>
      <c r="X79" s="249"/>
      <c r="Y79" s="249"/>
      <c r="Z79" s="250"/>
      <c r="AA79" s="266"/>
      <c r="AB79" s="250"/>
      <c r="AC79" s="250"/>
      <c r="AD79" s="250"/>
      <c r="AE79" s="249"/>
      <c r="AF79" s="249"/>
      <c r="AG79" s="249"/>
      <c r="AH79" s="249"/>
      <c r="AI79" s="249"/>
      <c r="AJ79" s="249"/>
      <c r="AK79" s="249"/>
      <c r="AL79" s="249"/>
      <c r="AM79" s="249"/>
      <c r="AN79" s="249"/>
      <c r="AO79" s="249"/>
      <c r="AP79" s="249"/>
    </row>
    <row r="80" spans="1:42" s="66" customFormat="1" x14ac:dyDescent="0.25">
      <c r="A80" s="264"/>
      <c r="B80" s="264"/>
      <c r="C80" s="264"/>
      <c r="D80" s="264"/>
      <c r="E80" s="264"/>
      <c r="F80" s="264"/>
      <c r="G80" s="264"/>
      <c r="H80" s="264"/>
      <c r="I80" s="249"/>
      <c r="J80" s="478"/>
      <c r="K80" s="264"/>
      <c r="L80" s="249"/>
      <c r="M80" s="478"/>
      <c r="N80" s="264"/>
      <c r="O80" s="249"/>
      <c r="P80" s="249"/>
      <c r="Q80" s="478"/>
      <c r="R80" s="478"/>
      <c r="S80" s="249"/>
      <c r="T80" s="267"/>
      <c r="U80" s="267"/>
      <c r="V80" s="267"/>
      <c r="W80" s="249"/>
      <c r="X80" s="249"/>
      <c r="Y80" s="249"/>
      <c r="Z80" s="250"/>
      <c r="AA80" s="266"/>
      <c r="AB80" s="250"/>
      <c r="AC80" s="250"/>
      <c r="AD80" s="250"/>
      <c r="AE80" s="249"/>
      <c r="AF80" s="249"/>
      <c r="AG80" s="249"/>
      <c r="AH80" s="249"/>
      <c r="AI80" s="249"/>
      <c r="AJ80" s="249"/>
      <c r="AK80" s="249"/>
      <c r="AL80" s="249"/>
      <c r="AM80" s="249"/>
      <c r="AN80" s="249"/>
      <c r="AO80" s="249"/>
      <c r="AP80" s="249"/>
    </row>
    <row r="81" spans="1:42" s="66" customFormat="1" x14ac:dyDescent="0.25">
      <c r="A81" s="264"/>
      <c r="B81" s="264"/>
      <c r="C81" s="264"/>
      <c r="D81" s="264"/>
      <c r="E81" s="264"/>
      <c r="F81" s="264"/>
      <c r="G81" s="264"/>
      <c r="H81" s="264"/>
      <c r="I81" s="249"/>
      <c r="J81" s="478"/>
      <c r="K81" s="264"/>
      <c r="L81" s="249"/>
      <c r="M81" s="478"/>
      <c r="N81" s="264"/>
      <c r="O81" s="249"/>
      <c r="P81" s="249"/>
      <c r="Q81" s="478"/>
      <c r="R81" s="478"/>
      <c r="S81" s="249"/>
      <c r="T81" s="267"/>
      <c r="U81" s="267"/>
      <c r="V81" s="267"/>
      <c r="W81" s="249"/>
      <c r="X81" s="249"/>
      <c r="Y81" s="249"/>
      <c r="Z81" s="250"/>
      <c r="AA81" s="266"/>
      <c r="AB81" s="250"/>
      <c r="AC81" s="250"/>
      <c r="AD81" s="250"/>
      <c r="AE81" s="249"/>
      <c r="AF81" s="249"/>
      <c r="AG81" s="249"/>
      <c r="AH81" s="249"/>
      <c r="AI81" s="249"/>
      <c r="AJ81" s="249"/>
      <c r="AK81" s="249"/>
      <c r="AL81" s="249"/>
      <c r="AM81" s="249"/>
      <c r="AN81" s="249"/>
      <c r="AO81" s="249"/>
      <c r="AP81" s="249"/>
    </row>
    <row r="82" spans="1:42" s="66" customFormat="1" x14ac:dyDescent="0.25">
      <c r="A82" s="264"/>
      <c r="B82" s="264"/>
      <c r="C82" s="264"/>
      <c r="D82" s="264"/>
      <c r="E82" s="264"/>
      <c r="F82" s="264"/>
      <c r="G82" s="264"/>
      <c r="H82" s="264"/>
      <c r="I82" s="249"/>
      <c r="J82" s="478"/>
      <c r="K82" s="264"/>
      <c r="L82" s="249"/>
      <c r="M82" s="478"/>
      <c r="N82" s="264"/>
      <c r="O82" s="249"/>
      <c r="P82" s="249"/>
      <c r="Q82" s="478"/>
      <c r="R82" s="478"/>
      <c r="S82" s="249"/>
      <c r="T82" s="267"/>
      <c r="U82" s="267"/>
      <c r="V82" s="267"/>
      <c r="W82" s="249"/>
      <c r="X82" s="249"/>
      <c r="Y82" s="249"/>
      <c r="Z82" s="250"/>
      <c r="AA82" s="266"/>
      <c r="AB82" s="250"/>
      <c r="AC82" s="250"/>
      <c r="AD82" s="250"/>
      <c r="AE82" s="249"/>
      <c r="AF82" s="249"/>
      <c r="AG82" s="249"/>
      <c r="AH82" s="249"/>
      <c r="AI82" s="249"/>
      <c r="AJ82" s="249"/>
      <c r="AK82" s="249"/>
      <c r="AL82" s="249"/>
      <c r="AM82" s="249"/>
      <c r="AN82" s="249"/>
      <c r="AO82" s="249"/>
      <c r="AP82" s="249"/>
    </row>
    <row r="83" spans="1:42" s="66" customFormat="1" x14ac:dyDescent="0.25">
      <c r="A83" s="264"/>
      <c r="B83" s="264"/>
      <c r="C83" s="264"/>
      <c r="D83" s="264"/>
      <c r="E83" s="264"/>
      <c r="F83" s="264"/>
      <c r="G83" s="264"/>
      <c r="H83" s="264"/>
      <c r="I83" s="249"/>
      <c r="J83" s="478"/>
      <c r="K83" s="264"/>
      <c r="L83" s="249"/>
      <c r="M83" s="478"/>
      <c r="N83" s="264"/>
      <c r="O83" s="249"/>
      <c r="P83" s="249"/>
      <c r="Q83" s="478"/>
      <c r="R83" s="478"/>
      <c r="S83" s="249"/>
      <c r="T83" s="267"/>
      <c r="U83" s="267"/>
      <c r="V83" s="267"/>
      <c r="W83" s="249"/>
      <c r="X83" s="249"/>
      <c r="Y83" s="249"/>
      <c r="Z83" s="250"/>
      <c r="AA83" s="266"/>
      <c r="AB83" s="250"/>
      <c r="AC83" s="250"/>
      <c r="AD83" s="250"/>
      <c r="AE83" s="249"/>
      <c r="AF83" s="249"/>
      <c r="AG83" s="249"/>
      <c r="AH83" s="249"/>
      <c r="AI83" s="249"/>
      <c r="AJ83" s="249"/>
      <c r="AK83" s="249"/>
      <c r="AL83" s="249"/>
      <c r="AM83" s="249"/>
      <c r="AN83" s="249"/>
      <c r="AO83" s="249"/>
      <c r="AP83" s="249"/>
    </row>
    <row r="84" spans="1:42" s="66" customFormat="1" x14ac:dyDescent="0.25">
      <c r="A84" s="264"/>
      <c r="B84" s="264"/>
      <c r="C84" s="264"/>
      <c r="D84" s="264"/>
      <c r="E84" s="264"/>
      <c r="F84" s="264"/>
      <c r="G84" s="264"/>
      <c r="H84" s="264"/>
      <c r="I84" s="249"/>
      <c r="J84" s="478"/>
      <c r="K84" s="264"/>
      <c r="L84" s="249"/>
      <c r="M84" s="478"/>
      <c r="N84" s="264"/>
      <c r="O84" s="249"/>
      <c r="P84" s="249"/>
      <c r="Q84" s="478"/>
      <c r="R84" s="478"/>
      <c r="S84" s="249"/>
      <c r="T84" s="267"/>
      <c r="U84" s="267"/>
      <c r="V84" s="267"/>
      <c r="W84" s="249"/>
      <c r="X84" s="249"/>
      <c r="Y84" s="249"/>
      <c r="Z84" s="250"/>
      <c r="AA84" s="266"/>
      <c r="AB84" s="250"/>
      <c r="AC84" s="250"/>
      <c r="AD84" s="250"/>
      <c r="AE84" s="249"/>
      <c r="AF84" s="249"/>
      <c r="AG84" s="249"/>
      <c r="AH84" s="249"/>
      <c r="AI84" s="249"/>
      <c r="AJ84" s="249"/>
      <c r="AK84" s="249"/>
      <c r="AL84" s="249"/>
      <c r="AM84" s="249"/>
      <c r="AN84" s="249"/>
      <c r="AO84" s="249"/>
      <c r="AP84" s="249"/>
    </row>
    <row r="85" spans="1:42" s="66" customFormat="1" x14ac:dyDescent="0.25">
      <c r="A85" s="264"/>
      <c r="B85" s="264"/>
      <c r="C85" s="264"/>
      <c r="D85" s="264"/>
      <c r="E85" s="264"/>
      <c r="F85" s="264"/>
      <c r="G85" s="264"/>
      <c r="H85" s="264"/>
      <c r="I85" s="249"/>
      <c r="J85" s="478"/>
      <c r="K85" s="264"/>
      <c r="L85" s="249"/>
      <c r="M85" s="478"/>
      <c r="N85" s="264"/>
      <c r="O85" s="249"/>
      <c r="P85" s="249"/>
      <c r="Q85" s="478"/>
      <c r="R85" s="478"/>
      <c r="S85" s="249"/>
      <c r="T85" s="267"/>
      <c r="U85" s="267"/>
      <c r="V85" s="267"/>
      <c r="W85" s="249"/>
      <c r="X85" s="249"/>
      <c r="Y85" s="249"/>
      <c r="Z85" s="250"/>
      <c r="AA85" s="266"/>
      <c r="AB85" s="250"/>
      <c r="AC85" s="250"/>
      <c r="AD85" s="250"/>
      <c r="AE85" s="249"/>
      <c r="AF85" s="249"/>
      <c r="AG85" s="249"/>
      <c r="AH85" s="249"/>
      <c r="AI85" s="249"/>
      <c r="AJ85" s="249"/>
      <c r="AK85" s="249"/>
      <c r="AL85" s="249"/>
      <c r="AM85" s="249"/>
      <c r="AN85" s="249"/>
      <c r="AO85" s="249"/>
      <c r="AP85" s="249"/>
    </row>
    <row r="86" spans="1:42" s="66" customFormat="1" x14ac:dyDescent="0.25">
      <c r="A86" s="264"/>
      <c r="B86" s="264"/>
      <c r="C86" s="264"/>
      <c r="D86" s="264"/>
      <c r="E86" s="264"/>
      <c r="F86" s="264"/>
      <c r="G86" s="264"/>
      <c r="H86" s="264"/>
      <c r="I86" s="249"/>
      <c r="J86" s="478"/>
      <c r="K86" s="264"/>
      <c r="L86" s="249"/>
      <c r="M86" s="478"/>
      <c r="N86" s="264"/>
      <c r="O86" s="249"/>
      <c r="P86" s="249"/>
      <c r="Q86" s="478"/>
      <c r="R86" s="478"/>
      <c r="S86" s="249"/>
      <c r="T86" s="267"/>
      <c r="U86" s="267"/>
      <c r="V86" s="267"/>
      <c r="W86" s="249"/>
      <c r="X86" s="249"/>
      <c r="Y86" s="249"/>
      <c r="Z86" s="250"/>
      <c r="AA86" s="266"/>
      <c r="AB86" s="250"/>
      <c r="AC86" s="250"/>
      <c r="AD86" s="250"/>
      <c r="AE86" s="249"/>
      <c r="AF86" s="249"/>
      <c r="AG86" s="249"/>
      <c r="AH86" s="249"/>
      <c r="AI86" s="249"/>
      <c r="AJ86" s="249"/>
      <c r="AK86" s="249"/>
      <c r="AL86" s="249"/>
      <c r="AM86" s="249"/>
      <c r="AN86" s="249"/>
      <c r="AO86" s="249"/>
      <c r="AP86" s="249"/>
    </row>
    <row r="87" spans="1:42" s="66" customFormat="1" x14ac:dyDescent="0.25">
      <c r="A87" s="264"/>
      <c r="B87" s="264"/>
      <c r="C87" s="264"/>
      <c r="D87" s="264"/>
      <c r="E87" s="264"/>
      <c r="F87" s="264"/>
      <c r="G87" s="264"/>
      <c r="H87" s="264"/>
      <c r="I87" s="249"/>
      <c r="J87" s="478"/>
      <c r="K87" s="264"/>
      <c r="L87" s="249"/>
      <c r="M87" s="478"/>
      <c r="N87" s="264"/>
      <c r="O87" s="249"/>
      <c r="P87" s="249"/>
      <c r="Q87" s="478"/>
      <c r="R87" s="478"/>
      <c r="S87" s="249"/>
      <c r="T87" s="267"/>
      <c r="U87" s="267"/>
      <c r="V87" s="267"/>
      <c r="W87" s="249"/>
      <c r="X87" s="249"/>
      <c r="Y87" s="249"/>
      <c r="Z87" s="250"/>
      <c r="AA87" s="266"/>
      <c r="AB87" s="250"/>
      <c r="AC87" s="250"/>
      <c r="AD87" s="250"/>
      <c r="AE87" s="249"/>
      <c r="AF87" s="249"/>
      <c r="AG87" s="249"/>
      <c r="AH87" s="249"/>
      <c r="AI87" s="249"/>
      <c r="AJ87" s="249"/>
      <c r="AK87" s="249"/>
      <c r="AL87" s="249"/>
      <c r="AM87" s="249"/>
      <c r="AN87" s="249"/>
      <c r="AO87" s="249"/>
      <c r="AP87" s="249"/>
    </row>
    <row r="88" spans="1:42" s="66" customFormat="1" x14ac:dyDescent="0.25">
      <c r="A88" s="264"/>
      <c r="B88" s="264"/>
      <c r="C88" s="264"/>
      <c r="D88" s="264"/>
      <c r="E88" s="264"/>
      <c r="F88" s="264"/>
      <c r="G88" s="264"/>
      <c r="H88" s="264"/>
      <c r="I88" s="249"/>
      <c r="J88" s="478"/>
      <c r="K88" s="264"/>
      <c r="L88" s="249"/>
      <c r="M88" s="478"/>
      <c r="N88" s="264"/>
      <c r="O88" s="249"/>
      <c r="P88" s="249"/>
      <c r="Q88" s="478"/>
      <c r="R88" s="478"/>
      <c r="S88" s="249"/>
      <c r="T88" s="267"/>
      <c r="U88" s="267"/>
      <c r="V88" s="267"/>
      <c r="W88" s="249"/>
      <c r="X88" s="249"/>
      <c r="Y88" s="249"/>
      <c r="Z88" s="250"/>
      <c r="AA88" s="266"/>
      <c r="AB88" s="250"/>
      <c r="AC88" s="250"/>
      <c r="AD88" s="250"/>
      <c r="AE88" s="249"/>
      <c r="AF88" s="249"/>
      <c r="AG88" s="249"/>
      <c r="AH88" s="249"/>
      <c r="AI88" s="249"/>
      <c r="AJ88" s="249"/>
      <c r="AK88" s="249"/>
      <c r="AL88" s="249"/>
      <c r="AM88" s="249"/>
      <c r="AN88" s="249"/>
      <c r="AO88" s="249"/>
      <c r="AP88" s="249"/>
    </row>
    <row r="89" spans="1:42" s="66" customFormat="1" x14ac:dyDescent="0.25">
      <c r="A89" s="264"/>
      <c r="B89" s="264"/>
      <c r="C89" s="264"/>
      <c r="D89" s="264"/>
      <c r="E89" s="264"/>
      <c r="F89" s="264"/>
      <c r="G89" s="264"/>
      <c r="H89" s="264"/>
      <c r="I89" s="249"/>
      <c r="J89" s="478"/>
      <c r="K89" s="264"/>
      <c r="L89" s="249"/>
      <c r="M89" s="478"/>
      <c r="N89" s="264"/>
      <c r="O89" s="249"/>
      <c r="P89" s="249"/>
      <c r="Q89" s="478"/>
      <c r="R89" s="478"/>
      <c r="S89" s="249"/>
      <c r="T89" s="267"/>
      <c r="U89" s="267"/>
      <c r="V89" s="267"/>
      <c r="W89" s="249"/>
      <c r="X89" s="249"/>
      <c r="Y89" s="249"/>
      <c r="Z89" s="250"/>
      <c r="AA89" s="266"/>
      <c r="AB89" s="250"/>
      <c r="AC89" s="250"/>
      <c r="AD89" s="250"/>
      <c r="AE89" s="249"/>
      <c r="AF89" s="249"/>
      <c r="AG89" s="249"/>
      <c r="AH89" s="249"/>
      <c r="AI89" s="249"/>
      <c r="AJ89" s="249"/>
      <c r="AK89" s="249"/>
      <c r="AL89" s="249"/>
      <c r="AM89" s="249"/>
      <c r="AN89" s="249"/>
      <c r="AO89" s="249"/>
      <c r="AP89" s="249"/>
    </row>
    <row r="90" spans="1:42" s="66" customFormat="1" x14ac:dyDescent="0.25">
      <c r="A90" s="264"/>
      <c r="B90" s="264"/>
      <c r="C90" s="264"/>
      <c r="D90" s="264"/>
      <c r="E90" s="264"/>
      <c r="F90" s="264"/>
      <c r="G90" s="264"/>
      <c r="H90" s="264"/>
      <c r="I90" s="249"/>
      <c r="J90" s="478"/>
      <c r="K90" s="264"/>
      <c r="L90" s="249"/>
      <c r="M90" s="478"/>
      <c r="N90" s="264"/>
      <c r="O90" s="249"/>
      <c r="P90" s="249"/>
      <c r="Q90" s="478"/>
      <c r="R90" s="478"/>
      <c r="S90" s="249"/>
      <c r="T90" s="267"/>
      <c r="U90" s="267"/>
      <c r="V90" s="267"/>
      <c r="W90" s="249"/>
      <c r="X90" s="249"/>
      <c r="Y90" s="249"/>
      <c r="Z90" s="250"/>
      <c r="AA90" s="266"/>
      <c r="AB90" s="250"/>
      <c r="AC90" s="250"/>
      <c r="AD90" s="250"/>
      <c r="AE90" s="249"/>
      <c r="AF90" s="249"/>
      <c r="AG90" s="249"/>
      <c r="AH90" s="249"/>
      <c r="AI90" s="249"/>
      <c r="AJ90" s="249"/>
      <c r="AK90" s="249"/>
      <c r="AL90" s="249"/>
      <c r="AM90" s="249"/>
      <c r="AN90" s="249"/>
      <c r="AO90" s="249"/>
      <c r="AP90" s="249"/>
    </row>
    <row r="91" spans="1:42" s="66" customFormat="1" x14ac:dyDescent="0.25">
      <c r="A91" s="264"/>
      <c r="B91" s="264"/>
      <c r="C91" s="264"/>
      <c r="D91" s="264"/>
      <c r="E91" s="264"/>
      <c r="F91" s="264"/>
      <c r="G91" s="264"/>
      <c r="H91" s="264"/>
      <c r="I91" s="249"/>
      <c r="J91" s="478"/>
      <c r="K91" s="264"/>
      <c r="L91" s="249"/>
      <c r="M91" s="478"/>
      <c r="N91" s="264"/>
      <c r="O91" s="249"/>
      <c r="P91" s="249"/>
      <c r="Q91" s="478"/>
      <c r="R91" s="478"/>
      <c r="S91" s="249"/>
      <c r="T91" s="267"/>
      <c r="U91" s="267"/>
      <c r="V91" s="267"/>
      <c r="W91" s="249"/>
      <c r="X91" s="249"/>
      <c r="Y91" s="249"/>
      <c r="Z91" s="250"/>
      <c r="AA91" s="266"/>
      <c r="AB91" s="250"/>
      <c r="AC91" s="250"/>
      <c r="AD91" s="250"/>
      <c r="AE91" s="249"/>
      <c r="AF91" s="249"/>
      <c r="AG91" s="249"/>
      <c r="AH91" s="249"/>
      <c r="AI91" s="249"/>
      <c r="AJ91" s="249"/>
      <c r="AK91" s="249"/>
      <c r="AL91" s="249"/>
      <c r="AM91" s="249"/>
      <c r="AN91" s="249"/>
      <c r="AO91" s="249"/>
      <c r="AP91" s="249"/>
    </row>
    <row r="92" spans="1:42" s="66" customFormat="1" x14ac:dyDescent="0.25">
      <c r="A92" s="264"/>
      <c r="B92" s="264"/>
      <c r="C92" s="264"/>
      <c r="D92" s="264"/>
      <c r="E92" s="264"/>
      <c r="F92" s="264"/>
      <c r="G92" s="264"/>
      <c r="H92" s="264"/>
      <c r="I92" s="249"/>
      <c r="J92" s="478"/>
      <c r="K92" s="264"/>
      <c r="L92" s="249"/>
      <c r="M92" s="478"/>
      <c r="N92" s="264"/>
      <c r="O92" s="249"/>
      <c r="P92" s="249"/>
      <c r="Q92" s="478"/>
      <c r="R92" s="478"/>
      <c r="S92" s="249"/>
      <c r="T92" s="267"/>
      <c r="U92" s="267"/>
      <c r="V92" s="267"/>
      <c r="W92" s="249"/>
      <c r="X92" s="249"/>
      <c r="Y92" s="249"/>
      <c r="Z92" s="250"/>
      <c r="AA92" s="266"/>
      <c r="AB92" s="250"/>
      <c r="AC92" s="250"/>
      <c r="AD92" s="250"/>
      <c r="AE92" s="249"/>
      <c r="AF92" s="249"/>
      <c r="AG92" s="249"/>
      <c r="AH92" s="249"/>
      <c r="AI92" s="249"/>
      <c r="AJ92" s="249"/>
      <c r="AK92" s="249"/>
      <c r="AL92" s="249"/>
      <c r="AM92" s="249"/>
      <c r="AN92" s="249"/>
      <c r="AO92" s="249"/>
      <c r="AP92" s="249"/>
    </row>
    <row r="93" spans="1:42" s="66" customFormat="1" x14ac:dyDescent="0.25">
      <c r="A93" s="264"/>
      <c r="B93" s="264"/>
      <c r="C93" s="264"/>
      <c r="D93" s="264"/>
      <c r="E93" s="264"/>
      <c r="F93" s="264"/>
      <c r="G93" s="264"/>
      <c r="H93" s="264"/>
      <c r="I93" s="249"/>
      <c r="J93" s="478"/>
      <c r="K93" s="264"/>
      <c r="L93" s="249"/>
      <c r="M93" s="478"/>
      <c r="N93" s="264"/>
      <c r="O93" s="249"/>
      <c r="P93" s="249"/>
      <c r="Q93" s="478"/>
      <c r="R93" s="478"/>
      <c r="S93" s="249"/>
      <c r="T93" s="267"/>
      <c r="U93" s="267"/>
      <c r="V93" s="267"/>
      <c r="W93" s="249"/>
      <c r="X93" s="249"/>
      <c r="Y93" s="249"/>
      <c r="Z93" s="250"/>
      <c r="AA93" s="266"/>
      <c r="AB93" s="250"/>
      <c r="AC93" s="250"/>
      <c r="AD93" s="250"/>
      <c r="AE93" s="249"/>
      <c r="AF93" s="249"/>
      <c r="AG93" s="249"/>
      <c r="AH93" s="249"/>
      <c r="AI93" s="249"/>
      <c r="AJ93" s="249"/>
      <c r="AK93" s="249"/>
      <c r="AL93" s="249"/>
      <c r="AM93" s="249"/>
      <c r="AN93" s="249"/>
      <c r="AO93" s="249"/>
      <c r="AP93" s="249"/>
    </row>
    <row r="94" spans="1:42" s="66" customFormat="1" x14ac:dyDescent="0.25">
      <c r="A94" s="264"/>
      <c r="B94" s="264"/>
      <c r="C94" s="264"/>
      <c r="D94" s="264"/>
      <c r="E94" s="264"/>
      <c r="F94" s="264"/>
      <c r="G94" s="264"/>
      <c r="H94" s="264"/>
      <c r="I94" s="249"/>
      <c r="J94" s="478"/>
      <c r="K94" s="264"/>
      <c r="L94" s="249"/>
      <c r="M94" s="478"/>
      <c r="N94" s="264"/>
      <c r="O94" s="249"/>
      <c r="P94" s="249"/>
      <c r="Q94" s="478"/>
      <c r="R94" s="478"/>
      <c r="S94" s="249"/>
      <c r="T94" s="267"/>
      <c r="U94" s="267"/>
      <c r="V94" s="267"/>
      <c r="W94" s="249"/>
      <c r="X94" s="249"/>
      <c r="Y94" s="249"/>
      <c r="Z94" s="250"/>
      <c r="AA94" s="266"/>
      <c r="AB94" s="250"/>
      <c r="AC94" s="250"/>
      <c r="AD94" s="250"/>
      <c r="AE94" s="249"/>
      <c r="AF94" s="249"/>
      <c r="AG94" s="249"/>
      <c r="AH94" s="249"/>
      <c r="AI94" s="249"/>
      <c r="AJ94" s="249"/>
      <c r="AK94" s="249"/>
      <c r="AL94" s="249"/>
      <c r="AM94" s="249"/>
      <c r="AN94" s="249"/>
      <c r="AO94" s="249"/>
      <c r="AP94" s="249"/>
    </row>
    <row r="95" spans="1:42" s="66" customFormat="1" x14ac:dyDescent="0.25">
      <c r="A95" s="264"/>
      <c r="B95" s="264"/>
      <c r="C95" s="264"/>
      <c r="D95" s="264"/>
      <c r="E95" s="264"/>
      <c r="F95" s="264"/>
      <c r="G95" s="264"/>
      <c r="H95" s="264"/>
      <c r="I95" s="249"/>
      <c r="J95" s="478"/>
      <c r="K95" s="264"/>
      <c r="L95" s="249"/>
      <c r="M95" s="478"/>
      <c r="N95" s="264"/>
      <c r="O95" s="249"/>
      <c r="P95" s="249"/>
      <c r="Q95" s="478"/>
      <c r="R95" s="478"/>
      <c r="S95" s="249"/>
      <c r="T95" s="267"/>
      <c r="U95" s="267"/>
      <c r="V95" s="267"/>
      <c r="W95" s="249"/>
      <c r="X95" s="249"/>
      <c r="Y95" s="249"/>
      <c r="Z95" s="250"/>
      <c r="AA95" s="266"/>
      <c r="AB95" s="250"/>
      <c r="AC95" s="250"/>
      <c r="AD95" s="250"/>
      <c r="AE95" s="249"/>
      <c r="AF95" s="249"/>
      <c r="AG95" s="249"/>
      <c r="AH95" s="249"/>
      <c r="AI95" s="249"/>
      <c r="AJ95" s="249"/>
      <c r="AK95" s="249"/>
      <c r="AL95" s="249"/>
      <c r="AM95" s="249"/>
      <c r="AN95" s="249"/>
      <c r="AO95" s="249"/>
      <c r="AP95" s="249"/>
    </row>
    <row r="96" spans="1:42" s="66" customFormat="1" x14ac:dyDescent="0.25">
      <c r="A96" s="264"/>
      <c r="B96" s="264"/>
      <c r="C96" s="264"/>
      <c r="D96" s="264"/>
      <c r="E96" s="264"/>
      <c r="F96" s="264"/>
      <c r="G96" s="264"/>
      <c r="H96" s="264"/>
      <c r="I96" s="249"/>
      <c r="J96" s="478"/>
      <c r="K96" s="264"/>
      <c r="L96" s="249"/>
      <c r="M96" s="478"/>
      <c r="N96" s="264"/>
      <c r="O96" s="249"/>
      <c r="P96" s="249"/>
      <c r="Q96" s="478"/>
      <c r="R96" s="478"/>
      <c r="S96" s="249"/>
      <c r="T96" s="267"/>
      <c r="U96" s="267"/>
      <c r="V96" s="267"/>
      <c r="W96" s="249"/>
      <c r="X96" s="249"/>
      <c r="Y96" s="249"/>
      <c r="Z96" s="250"/>
      <c r="AA96" s="266"/>
      <c r="AB96" s="250"/>
      <c r="AC96" s="250"/>
      <c r="AD96" s="250"/>
      <c r="AE96" s="249"/>
      <c r="AF96" s="249"/>
      <c r="AG96" s="249"/>
      <c r="AH96" s="249"/>
      <c r="AI96" s="249"/>
      <c r="AJ96" s="249"/>
      <c r="AK96" s="249"/>
      <c r="AL96" s="249"/>
      <c r="AM96" s="249"/>
      <c r="AN96" s="249"/>
      <c r="AO96" s="249"/>
      <c r="AP96" s="249"/>
    </row>
    <row r="97" spans="1:42" s="66" customFormat="1" x14ac:dyDescent="0.25">
      <c r="A97" s="264"/>
      <c r="B97" s="264"/>
      <c r="C97" s="264"/>
      <c r="D97" s="264"/>
      <c r="E97" s="264"/>
      <c r="F97" s="264"/>
      <c r="G97" s="264"/>
      <c r="H97" s="264"/>
      <c r="I97" s="249"/>
      <c r="J97" s="478"/>
      <c r="K97" s="264"/>
      <c r="L97" s="249"/>
      <c r="M97" s="478"/>
      <c r="N97" s="264"/>
      <c r="O97" s="249"/>
      <c r="P97" s="249"/>
      <c r="Q97" s="478"/>
      <c r="R97" s="478"/>
      <c r="S97" s="249"/>
      <c r="T97" s="267"/>
      <c r="U97" s="267"/>
      <c r="V97" s="267"/>
      <c r="W97" s="249"/>
      <c r="X97" s="249"/>
      <c r="Y97" s="249"/>
      <c r="Z97" s="250"/>
      <c r="AA97" s="266"/>
      <c r="AB97" s="250"/>
      <c r="AC97" s="250"/>
      <c r="AD97" s="250"/>
      <c r="AE97" s="249"/>
      <c r="AF97" s="249"/>
      <c r="AG97" s="249"/>
      <c r="AH97" s="249"/>
      <c r="AI97" s="249"/>
      <c r="AJ97" s="249"/>
      <c r="AK97" s="249"/>
      <c r="AL97" s="249"/>
      <c r="AM97" s="249"/>
      <c r="AN97" s="249"/>
      <c r="AO97" s="249"/>
      <c r="AP97" s="249"/>
    </row>
    <row r="98" spans="1:42" s="66" customFormat="1" x14ac:dyDescent="0.25">
      <c r="A98" s="264"/>
      <c r="B98" s="264"/>
      <c r="C98" s="264"/>
      <c r="D98" s="264"/>
      <c r="E98" s="264"/>
      <c r="F98" s="264"/>
      <c r="G98" s="264"/>
      <c r="H98" s="264"/>
      <c r="I98" s="249"/>
      <c r="J98" s="478"/>
      <c r="K98" s="264"/>
      <c r="L98" s="249"/>
      <c r="M98" s="478"/>
      <c r="N98" s="264"/>
      <c r="O98" s="249"/>
      <c r="P98" s="249"/>
      <c r="Q98" s="478"/>
      <c r="R98" s="478"/>
      <c r="S98" s="249"/>
      <c r="T98" s="267"/>
      <c r="U98" s="267"/>
      <c r="V98" s="267"/>
      <c r="W98" s="249"/>
      <c r="X98" s="249"/>
      <c r="Y98" s="249"/>
      <c r="Z98" s="250"/>
      <c r="AA98" s="266"/>
      <c r="AB98" s="250"/>
      <c r="AC98" s="250"/>
      <c r="AD98" s="250"/>
      <c r="AE98" s="249"/>
      <c r="AF98" s="249"/>
      <c r="AG98" s="249"/>
      <c r="AH98" s="249"/>
      <c r="AI98" s="249"/>
      <c r="AJ98" s="249"/>
      <c r="AK98" s="249"/>
      <c r="AL98" s="249"/>
      <c r="AM98" s="249"/>
      <c r="AN98" s="249"/>
      <c r="AO98" s="249"/>
      <c r="AP98" s="249"/>
    </row>
    <row r="99" spans="1:42" s="66" customFormat="1" x14ac:dyDescent="0.25">
      <c r="A99" s="264"/>
      <c r="B99" s="264"/>
      <c r="C99" s="264"/>
      <c r="D99" s="264"/>
      <c r="E99" s="264"/>
      <c r="F99" s="264"/>
      <c r="G99" s="264"/>
      <c r="H99" s="264"/>
      <c r="I99" s="249"/>
      <c r="J99" s="478"/>
      <c r="K99" s="264"/>
      <c r="L99" s="249"/>
      <c r="M99" s="478"/>
      <c r="N99" s="264"/>
      <c r="O99" s="249"/>
      <c r="P99" s="249"/>
      <c r="Q99" s="478"/>
      <c r="R99" s="478"/>
      <c r="S99" s="249"/>
      <c r="T99" s="267"/>
      <c r="U99" s="267"/>
      <c r="V99" s="267"/>
      <c r="W99" s="249"/>
      <c r="X99" s="249"/>
      <c r="Y99" s="249"/>
      <c r="Z99" s="250"/>
      <c r="AA99" s="266"/>
      <c r="AB99" s="250"/>
      <c r="AC99" s="250"/>
      <c r="AD99" s="250"/>
      <c r="AE99" s="249"/>
      <c r="AF99" s="249"/>
      <c r="AG99" s="249"/>
      <c r="AH99" s="249"/>
      <c r="AI99" s="249"/>
      <c r="AJ99" s="249"/>
      <c r="AK99" s="249"/>
      <c r="AL99" s="249"/>
      <c r="AM99" s="249"/>
      <c r="AN99" s="249"/>
      <c r="AO99" s="249"/>
      <c r="AP99" s="249"/>
    </row>
    <row r="100" spans="1:42" s="66" customFormat="1" x14ac:dyDescent="0.25">
      <c r="A100" s="264"/>
      <c r="B100" s="264"/>
      <c r="C100" s="264"/>
      <c r="D100" s="264"/>
      <c r="E100" s="264"/>
      <c r="F100" s="264"/>
      <c r="G100" s="264"/>
      <c r="H100" s="264"/>
      <c r="I100" s="249"/>
      <c r="J100" s="478"/>
      <c r="K100" s="264"/>
      <c r="L100" s="249"/>
      <c r="M100" s="478"/>
      <c r="N100" s="264"/>
      <c r="O100" s="249"/>
      <c r="P100" s="249"/>
      <c r="Q100" s="478"/>
      <c r="R100" s="478"/>
      <c r="S100" s="249"/>
      <c r="T100" s="267"/>
      <c r="U100" s="267"/>
      <c r="V100" s="267"/>
      <c r="W100" s="249"/>
      <c r="X100" s="249"/>
      <c r="Y100" s="249"/>
      <c r="Z100" s="250"/>
      <c r="AA100" s="266"/>
      <c r="AB100" s="250"/>
      <c r="AC100" s="250"/>
      <c r="AD100" s="250"/>
      <c r="AE100" s="249"/>
      <c r="AF100" s="249"/>
      <c r="AG100" s="249"/>
      <c r="AH100" s="249"/>
      <c r="AI100" s="249"/>
      <c r="AJ100" s="249"/>
      <c r="AK100" s="249"/>
      <c r="AL100" s="249"/>
      <c r="AM100" s="249"/>
      <c r="AN100" s="249"/>
      <c r="AO100" s="249"/>
      <c r="AP100" s="249"/>
    </row>
    <row r="101" spans="1:42" s="66" customFormat="1" x14ac:dyDescent="0.25">
      <c r="A101" s="264"/>
      <c r="B101" s="264"/>
      <c r="C101" s="264"/>
      <c r="D101" s="264"/>
      <c r="E101" s="264"/>
      <c r="F101" s="264"/>
      <c r="G101" s="264"/>
      <c r="H101" s="264"/>
      <c r="I101" s="249"/>
      <c r="J101" s="478"/>
      <c r="K101" s="264"/>
      <c r="L101" s="249"/>
      <c r="M101" s="478"/>
      <c r="N101" s="264"/>
      <c r="O101" s="249"/>
      <c r="P101" s="249"/>
      <c r="Q101" s="478"/>
      <c r="R101" s="478"/>
      <c r="S101" s="249"/>
      <c r="T101" s="267"/>
      <c r="U101" s="267"/>
      <c r="V101" s="267"/>
      <c r="W101" s="249"/>
      <c r="X101" s="249"/>
      <c r="Y101" s="249"/>
      <c r="Z101" s="250"/>
      <c r="AA101" s="266"/>
      <c r="AB101" s="250"/>
      <c r="AC101" s="250"/>
      <c r="AD101" s="250"/>
      <c r="AE101" s="249"/>
      <c r="AF101" s="249"/>
      <c r="AG101" s="249"/>
      <c r="AH101" s="249"/>
      <c r="AI101" s="249"/>
      <c r="AJ101" s="249"/>
      <c r="AK101" s="249"/>
      <c r="AL101" s="249"/>
      <c r="AM101" s="249"/>
      <c r="AN101" s="249"/>
      <c r="AO101" s="249"/>
      <c r="AP101" s="249"/>
    </row>
    <row r="102" spans="1:42" s="66" customFormat="1" x14ac:dyDescent="0.25">
      <c r="A102" s="264"/>
      <c r="B102" s="264"/>
      <c r="C102" s="264"/>
      <c r="D102" s="264"/>
      <c r="E102" s="264"/>
      <c r="F102" s="264"/>
      <c r="G102" s="264"/>
      <c r="H102" s="264"/>
      <c r="I102" s="249"/>
      <c r="J102" s="478"/>
      <c r="K102" s="264"/>
      <c r="L102" s="249"/>
      <c r="M102" s="478"/>
      <c r="N102" s="264"/>
      <c r="O102" s="249"/>
      <c r="P102" s="249"/>
      <c r="Q102" s="478"/>
      <c r="R102" s="478"/>
      <c r="S102" s="249"/>
      <c r="T102" s="267"/>
      <c r="U102" s="267"/>
      <c r="V102" s="267"/>
      <c r="W102" s="249"/>
      <c r="X102" s="249"/>
      <c r="Y102" s="249"/>
      <c r="Z102" s="250"/>
      <c r="AA102" s="266"/>
      <c r="AB102" s="250"/>
      <c r="AC102" s="250"/>
      <c r="AD102" s="250"/>
      <c r="AE102" s="249"/>
      <c r="AF102" s="249"/>
      <c r="AG102" s="249"/>
      <c r="AH102" s="249"/>
      <c r="AI102" s="249"/>
      <c r="AJ102" s="249"/>
      <c r="AK102" s="249"/>
      <c r="AL102" s="249"/>
      <c r="AM102" s="249"/>
      <c r="AN102" s="249"/>
      <c r="AO102" s="249"/>
      <c r="AP102" s="249"/>
    </row>
    <row r="103" spans="1:42" s="66" customFormat="1" x14ac:dyDescent="0.25">
      <c r="A103" s="264"/>
      <c r="B103" s="264"/>
      <c r="C103" s="264"/>
      <c r="D103" s="264"/>
      <c r="E103" s="264"/>
      <c r="F103" s="264"/>
      <c r="G103" s="264"/>
      <c r="H103" s="264"/>
      <c r="I103" s="249"/>
      <c r="J103" s="478"/>
      <c r="K103" s="264"/>
      <c r="L103" s="249"/>
      <c r="M103" s="478"/>
      <c r="N103" s="264"/>
      <c r="O103" s="249"/>
      <c r="P103" s="249"/>
      <c r="Q103" s="478"/>
      <c r="R103" s="478"/>
      <c r="S103" s="249"/>
      <c r="T103" s="267"/>
      <c r="U103" s="267"/>
      <c r="V103" s="267"/>
      <c r="W103" s="249"/>
      <c r="X103" s="249"/>
      <c r="Y103" s="249"/>
      <c r="Z103" s="250"/>
      <c r="AA103" s="266"/>
      <c r="AB103" s="250"/>
      <c r="AC103" s="250"/>
      <c r="AD103" s="250"/>
      <c r="AE103" s="249"/>
      <c r="AF103" s="249"/>
      <c r="AG103" s="249"/>
      <c r="AH103" s="249"/>
      <c r="AI103" s="249"/>
      <c r="AJ103" s="249"/>
      <c r="AK103" s="249"/>
      <c r="AL103" s="249"/>
      <c r="AM103" s="249"/>
      <c r="AN103" s="249"/>
      <c r="AO103" s="249"/>
      <c r="AP103" s="249"/>
    </row>
    <row r="104" spans="1:42" s="66" customFormat="1" x14ac:dyDescent="0.25">
      <c r="A104" s="264"/>
      <c r="B104" s="264"/>
      <c r="C104" s="264"/>
      <c r="D104" s="264"/>
      <c r="E104" s="264"/>
      <c r="F104" s="264"/>
      <c r="G104" s="264"/>
      <c r="H104" s="264"/>
      <c r="I104" s="249"/>
      <c r="J104" s="478"/>
      <c r="K104" s="264"/>
      <c r="L104" s="249"/>
      <c r="M104" s="478"/>
      <c r="N104" s="264"/>
      <c r="O104" s="249"/>
      <c r="P104" s="249"/>
      <c r="Q104" s="478"/>
      <c r="R104" s="478"/>
      <c r="S104" s="249"/>
      <c r="T104" s="267"/>
      <c r="U104" s="267"/>
      <c r="V104" s="267"/>
      <c r="W104" s="249"/>
      <c r="X104" s="249"/>
      <c r="Y104" s="249"/>
      <c r="Z104" s="250"/>
      <c r="AA104" s="266"/>
      <c r="AB104" s="250"/>
      <c r="AC104" s="250"/>
      <c r="AD104" s="250"/>
      <c r="AE104" s="249"/>
      <c r="AF104" s="249"/>
      <c r="AG104" s="249"/>
      <c r="AH104" s="249"/>
      <c r="AI104" s="249"/>
      <c r="AJ104" s="249"/>
      <c r="AK104" s="249"/>
      <c r="AL104" s="249"/>
      <c r="AM104" s="249"/>
      <c r="AN104" s="249"/>
      <c r="AO104" s="249"/>
      <c r="AP104" s="249"/>
    </row>
    <row r="105" spans="1:42" s="66" customFormat="1" x14ac:dyDescent="0.25">
      <c r="A105" s="264"/>
      <c r="B105" s="264"/>
      <c r="C105" s="264"/>
      <c r="D105" s="264"/>
      <c r="E105" s="264"/>
      <c r="F105" s="264"/>
      <c r="G105" s="264"/>
      <c r="H105" s="264"/>
      <c r="I105" s="249"/>
      <c r="J105" s="478"/>
      <c r="K105" s="264"/>
      <c r="L105" s="249"/>
      <c r="M105" s="478"/>
      <c r="N105" s="264"/>
      <c r="O105" s="249"/>
      <c r="P105" s="249"/>
      <c r="Q105" s="478"/>
      <c r="R105" s="478"/>
      <c r="S105" s="249"/>
      <c r="T105" s="267"/>
      <c r="U105" s="267"/>
      <c r="V105" s="267"/>
      <c r="W105" s="249"/>
      <c r="X105" s="249"/>
      <c r="Y105" s="249"/>
      <c r="Z105" s="250"/>
      <c r="AA105" s="266"/>
      <c r="AB105" s="250"/>
      <c r="AC105" s="250"/>
      <c r="AD105" s="250"/>
      <c r="AE105" s="249"/>
      <c r="AF105" s="249"/>
      <c r="AG105" s="249"/>
      <c r="AH105" s="249"/>
      <c r="AI105" s="249"/>
      <c r="AJ105" s="249"/>
      <c r="AK105" s="249"/>
      <c r="AL105" s="249"/>
      <c r="AM105" s="249"/>
      <c r="AN105" s="249"/>
      <c r="AO105" s="249"/>
      <c r="AP105" s="249"/>
    </row>
    <row r="106" spans="1:42" s="66" customFormat="1" x14ac:dyDescent="0.25">
      <c r="A106" s="264"/>
      <c r="B106" s="264"/>
      <c r="C106" s="264"/>
      <c r="D106" s="264"/>
      <c r="E106" s="264"/>
      <c r="F106" s="264"/>
      <c r="G106" s="264"/>
      <c r="H106" s="264"/>
      <c r="I106" s="249"/>
      <c r="J106" s="478"/>
      <c r="K106" s="264"/>
      <c r="L106" s="249"/>
      <c r="M106" s="478"/>
      <c r="N106" s="264"/>
      <c r="O106" s="249"/>
      <c r="P106" s="249"/>
      <c r="Q106" s="478"/>
      <c r="R106" s="478"/>
      <c r="S106" s="249"/>
      <c r="T106" s="267"/>
      <c r="U106" s="267"/>
      <c r="V106" s="267"/>
      <c r="W106" s="249"/>
      <c r="X106" s="249"/>
      <c r="Y106" s="249"/>
      <c r="Z106" s="250"/>
      <c r="AA106" s="266"/>
      <c r="AB106" s="250"/>
      <c r="AC106" s="250"/>
      <c r="AD106" s="250"/>
      <c r="AE106" s="249"/>
      <c r="AF106" s="249"/>
      <c r="AG106" s="249"/>
      <c r="AH106" s="249"/>
      <c r="AI106" s="249"/>
      <c r="AJ106" s="249"/>
      <c r="AK106" s="249"/>
      <c r="AL106" s="249"/>
      <c r="AM106" s="249"/>
      <c r="AN106" s="249"/>
      <c r="AO106" s="249"/>
      <c r="AP106" s="249"/>
    </row>
    <row r="107" spans="1:42" s="66" customFormat="1" x14ac:dyDescent="0.25">
      <c r="A107" s="264"/>
      <c r="B107" s="264"/>
      <c r="C107" s="264"/>
      <c r="D107" s="264"/>
      <c r="E107" s="264"/>
      <c r="F107" s="264"/>
      <c r="G107" s="264"/>
      <c r="H107" s="264"/>
      <c r="I107" s="249"/>
      <c r="J107" s="478"/>
      <c r="K107" s="264"/>
      <c r="L107" s="249"/>
      <c r="M107" s="478"/>
      <c r="N107" s="264"/>
      <c r="O107" s="249"/>
      <c r="P107" s="249"/>
      <c r="Q107" s="478"/>
      <c r="R107" s="478"/>
      <c r="S107" s="249"/>
      <c r="T107" s="267"/>
      <c r="U107" s="267"/>
      <c r="V107" s="267"/>
      <c r="W107" s="249"/>
      <c r="X107" s="249"/>
      <c r="Y107" s="249"/>
      <c r="Z107" s="250"/>
      <c r="AA107" s="266"/>
      <c r="AB107" s="250"/>
      <c r="AC107" s="250"/>
      <c r="AD107" s="250"/>
      <c r="AE107" s="249"/>
      <c r="AF107" s="249"/>
      <c r="AG107" s="249"/>
      <c r="AH107" s="249"/>
      <c r="AI107" s="249"/>
      <c r="AJ107" s="249"/>
      <c r="AK107" s="249"/>
      <c r="AL107" s="249"/>
      <c r="AM107" s="249"/>
      <c r="AN107" s="249"/>
      <c r="AO107" s="249"/>
      <c r="AP107" s="249"/>
    </row>
    <row r="108" spans="1:42" s="66" customFormat="1" x14ac:dyDescent="0.25">
      <c r="A108" s="264"/>
      <c r="B108" s="264"/>
      <c r="C108" s="264"/>
      <c r="D108" s="264"/>
      <c r="E108" s="264"/>
      <c r="F108" s="264"/>
      <c r="G108" s="264"/>
      <c r="H108" s="264"/>
      <c r="I108" s="249"/>
      <c r="J108" s="478"/>
      <c r="K108" s="264"/>
      <c r="L108" s="249"/>
      <c r="M108" s="478"/>
      <c r="N108" s="264"/>
      <c r="O108" s="249"/>
      <c r="P108" s="249"/>
      <c r="Q108" s="478"/>
      <c r="R108" s="478"/>
      <c r="S108" s="249"/>
      <c r="T108" s="267"/>
      <c r="U108" s="267"/>
      <c r="V108" s="267"/>
      <c r="W108" s="249"/>
      <c r="X108" s="249"/>
      <c r="Y108" s="249"/>
      <c r="Z108" s="250"/>
      <c r="AA108" s="266"/>
      <c r="AB108" s="250"/>
      <c r="AC108" s="250"/>
      <c r="AD108" s="250"/>
      <c r="AE108" s="249"/>
      <c r="AF108" s="249"/>
      <c r="AG108" s="249"/>
      <c r="AH108" s="249"/>
      <c r="AI108" s="249"/>
      <c r="AJ108" s="249"/>
      <c r="AK108" s="249"/>
      <c r="AL108" s="249"/>
      <c r="AM108" s="249"/>
      <c r="AN108" s="249"/>
      <c r="AO108" s="249"/>
      <c r="AP108" s="249"/>
    </row>
    <row r="109" spans="1:42" s="66" customFormat="1" x14ac:dyDescent="0.25">
      <c r="A109" s="264"/>
      <c r="B109" s="264"/>
      <c r="C109" s="264"/>
      <c r="D109" s="264"/>
      <c r="E109" s="264"/>
      <c r="F109" s="264"/>
      <c r="G109" s="264"/>
      <c r="H109" s="264"/>
      <c r="I109" s="249"/>
      <c r="J109" s="478"/>
      <c r="K109" s="264"/>
      <c r="L109" s="249"/>
      <c r="M109" s="478"/>
      <c r="N109" s="264"/>
      <c r="O109" s="249"/>
      <c r="P109" s="249"/>
      <c r="Q109" s="478"/>
      <c r="R109" s="478"/>
      <c r="S109" s="249"/>
      <c r="T109" s="267"/>
      <c r="U109" s="267"/>
      <c r="V109" s="267"/>
      <c r="W109" s="249"/>
      <c r="X109" s="249"/>
      <c r="Y109" s="249"/>
      <c r="Z109" s="250"/>
      <c r="AA109" s="266"/>
      <c r="AB109" s="250"/>
      <c r="AC109" s="250"/>
      <c r="AD109" s="250"/>
      <c r="AE109" s="249"/>
      <c r="AF109" s="249"/>
      <c r="AG109" s="249"/>
      <c r="AH109" s="249"/>
      <c r="AI109" s="249"/>
      <c r="AJ109" s="249"/>
      <c r="AK109" s="249"/>
      <c r="AL109" s="249"/>
      <c r="AM109" s="249"/>
      <c r="AN109" s="249"/>
      <c r="AO109" s="249"/>
      <c r="AP109" s="249"/>
    </row>
    <row r="110" spans="1:42" s="66" customFormat="1" x14ac:dyDescent="0.25">
      <c r="A110" s="264"/>
      <c r="B110" s="264"/>
      <c r="C110" s="264"/>
      <c r="D110" s="264"/>
      <c r="E110" s="264"/>
      <c r="F110" s="264"/>
      <c r="G110" s="264"/>
      <c r="H110" s="264"/>
      <c r="I110" s="249"/>
      <c r="J110" s="478"/>
      <c r="K110" s="264"/>
      <c r="L110" s="249"/>
      <c r="M110" s="478"/>
      <c r="N110" s="264"/>
      <c r="O110" s="249"/>
      <c r="P110" s="249"/>
      <c r="Q110" s="478"/>
      <c r="R110" s="478"/>
      <c r="S110" s="249"/>
      <c r="T110" s="267"/>
      <c r="U110" s="267"/>
      <c r="V110" s="267"/>
      <c r="W110" s="249"/>
      <c r="X110" s="249"/>
      <c r="Y110" s="249"/>
      <c r="Z110" s="250"/>
      <c r="AA110" s="266"/>
      <c r="AB110" s="250"/>
      <c r="AC110" s="250"/>
      <c r="AD110" s="250"/>
      <c r="AE110" s="249"/>
      <c r="AF110" s="249"/>
      <c r="AG110" s="249"/>
      <c r="AH110" s="249"/>
      <c r="AI110" s="249"/>
      <c r="AJ110" s="249"/>
      <c r="AK110" s="249"/>
      <c r="AL110" s="249"/>
      <c r="AM110" s="249"/>
      <c r="AN110" s="249"/>
      <c r="AO110" s="249"/>
      <c r="AP110" s="249"/>
    </row>
    <row r="111" spans="1:42" s="66" customFormat="1" x14ac:dyDescent="0.25">
      <c r="A111" s="264"/>
      <c r="B111" s="264"/>
      <c r="C111" s="264"/>
      <c r="D111" s="264"/>
      <c r="E111" s="264"/>
      <c r="F111" s="264"/>
      <c r="G111" s="264"/>
      <c r="H111" s="264"/>
      <c r="I111" s="249"/>
      <c r="J111" s="478"/>
      <c r="K111" s="264"/>
      <c r="L111" s="249"/>
      <c r="M111" s="478"/>
      <c r="N111" s="264"/>
      <c r="O111" s="249"/>
      <c r="P111" s="249"/>
      <c r="Q111" s="478"/>
      <c r="R111" s="478"/>
      <c r="S111" s="249"/>
      <c r="T111" s="267"/>
      <c r="U111" s="267"/>
      <c r="V111" s="267"/>
      <c r="W111" s="249"/>
      <c r="X111" s="249"/>
      <c r="Y111" s="249"/>
      <c r="Z111" s="250"/>
      <c r="AA111" s="266"/>
      <c r="AB111" s="250"/>
      <c r="AC111" s="250"/>
      <c r="AD111" s="250"/>
      <c r="AE111" s="249"/>
      <c r="AF111" s="249"/>
      <c r="AG111" s="249"/>
      <c r="AH111" s="249"/>
      <c r="AI111" s="249"/>
      <c r="AJ111" s="249"/>
      <c r="AK111" s="249"/>
      <c r="AL111" s="249"/>
      <c r="AM111" s="249"/>
      <c r="AN111" s="249"/>
      <c r="AO111" s="249"/>
      <c r="AP111" s="249"/>
    </row>
    <row r="112" spans="1:42" s="66" customFormat="1" x14ac:dyDescent="0.25">
      <c r="A112" s="264"/>
      <c r="B112" s="264"/>
      <c r="C112" s="264"/>
      <c r="D112" s="264"/>
      <c r="E112" s="264"/>
      <c r="F112" s="264"/>
      <c r="G112" s="264"/>
      <c r="H112" s="264"/>
      <c r="I112" s="249"/>
      <c r="J112" s="478"/>
      <c r="K112" s="264"/>
      <c r="L112" s="249"/>
      <c r="M112" s="478"/>
      <c r="N112" s="264"/>
      <c r="O112" s="249"/>
      <c r="P112" s="249"/>
      <c r="Q112" s="478"/>
      <c r="R112" s="478"/>
      <c r="S112" s="249"/>
      <c r="T112" s="267"/>
      <c r="U112" s="267"/>
      <c r="V112" s="267"/>
      <c r="W112" s="249"/>
      <c r="X112" s="249"/>
      <c r="Y112" s="249"/>
      <c r="Z112" s="250"/>
      <c r="AA112" s="266"/>
      <c r="AB112" s="250"/>
      <c r="AC112" s="250"/>
      <c r="AD112" s="250"/>
      <c r="AE112" s="249"/>
      <c r="AF112" s="249"/>
      <c r="AG112" s="249"/>
      <c r="AH112" s="249"/>
      <c r="AI112" s="249"/>
      <c r="AJ112" s="249"/>
      <c r="AK112" s="249"/>
      <c r="AL112" s="249"/>
      <c r="AM112" s="249"/>
      <c r="AN112" s="249"/>
      <c r="AO112" s="249"/>
      <c r="AP112" s="249"/>
    </row>
    <row r="113" spans="1:42" s="66" customFormat="1" x14ac:dyDescent="0.25">
      <c r="A113" s="264"/>
      <c r="B113" s="264"/>
      <c r="C113" s="264"/>
      <c r="D113" s="264"/>
      <c r="E113" s="264"/>
      <c r="F113" s="264"/>
      <c r="G113" s="264"/>
      <c r="H113" s="264"/>
      <c r="I113" s="249"/>
      <c r="J113" s="478"/>
      <c r="K113" s="264"/>
      <c r="L113" s="249"/>
      <c r="M113" s="478"/>
      <c r="N113" s="264"/>
      <c r="O113" s="249"/>
      <c r="P113" s="249"/>
      <c r="Q113" s="478"/>
      <c r="R113" s="478"/>
      <c r="S113" s="249"/>
      <c r="T113" s="267"/>
      <c r="U113" s="267"/>
      <c r="V113" s="267"/>
      <c r="W113" s="249"/>
      <c r="X113" s="249"/>
      <c r="Y113" s="249"/>
      <c r="Z113" s="250"/>
      <c r="AA113" s="266"/>
      <c r="AB113" s="250"/>
      <c r="AC113" s="250"/>
      <c r="AD113" s="250"/>
      <c r="AE113" s="249"/>
      <c r="AF113" s="249"/>
      <c r="AG113" s="249"/>
      <c r="AH113" s="249"/>
      <c r="AI113" s="249"/>
      <c r="AJ113" s="249"/>
      <c r="AK113" s="249"/>
      <c r="AL113" s="249"/>
      <c r="AM113" s="249"/>
      <c r="AN113" s="249"/>
      <c r="AO113" s="249"/>
      <c r="AP113" s="249"/>
    </row>
    <row r="114" spans="1:42" s="66" customFormat="1" x14ac:dyDescent="0.25">
      <c r="A114" s="264"/>
      <c r="B114" s="264"/>
      <c r="C114" s="264"/>
      <c r="D114" s="264"/>
      <c r="E114" s="264"/>
      <c r="F114" s="264"/>
      <c r="G114" s="264"/>
      <c r="H114" s="264"/>
      <c r="I114" s="249"/>
      <c r="J114" s="478"/>
      <c r="K114" s="264"/>
      <c r="L114" s="249"/>
      <c r="M114" s="478"/>
      <c r="N114" s="264"/>
      <c r="O114" s="249"/>
      <c r="P114" s="249"/>
      <c r="Q114" s="478"/>
      <c r="R114" s="478"/>
      <c r="S114" s="249"/>
      <c r="T114" s="267"/>
      <c r="U114" s="267"/>
      <c r="V114" s="267"/>
      <c r="W114" s="249"/>
      <c r="X114" s="249"/>
      <c r="Y114" s="249"/>
      <c r="Z114" s="250"/>
      <c r="AA114" s="266"/>
      <c r="AB114" s="250"/>
      <c r="AC114" s="250"/>
      <c r="AD114" s="250"/>
      <c r="AE114" s="249"/>
      <c r="AF114" s="249"/>
      <c r="AG114" s="249"/>
      <c r="AH114" s="249"/>
      <c r="AI114" s="249"/>
      <c r="AJ114" s="249"/>
      <c r="AK114" s="249"/>
      <c r="AL114" s="249"/>
      <c r="AM114" s="249"/>
      <c r="AN114" s="249"/>
      <c r="AO114" s="249"/>
      <c r="AP114" s="249"/>
    </row>
    <row r="115" spans="1:42" s="66" customFormat="1" x14ac:dyDescent="0.25">
      <c r="A115" s="264"/>
      <c r="B115" s="264"/>
      <c r="C115" s="264"/>
      <c r="D115" s="264"/>
      <c r="E115" s="264"/>
      <c r="F115" s="264"/>
      <c r="G115" s="264"/>
      <c r="H115" s="264"/>
      <c r="I115" s="249"/>
      <c r="J115" s="478"/>
      <c r="K115" s="264"/>
      <c r="L115" s="249"/>
      <c r="M115" s="478"/>
      <c r="N115" s="264"/>
      <c r="O115" s="249"/>
      <c r="P115" s="249"/>
      <c r="Q115" s="478"/>
      <c r="R115" s="478"/>
      <c r="S115" s="249"/>
      <c r="T115" s="267"/>
      <c r="U115" s="267"/>
      <c r="V115" s="267"/>
      <c r="W115" s="249"/>
      <c r="X115" s="249"/>
      <c r="Y115" s="249"/>
      <c r="Z115" s="250"/>
      <c r="AA115" s="266"/>
      <c r="AB115" s="250"/>
      <c r="AC115" s="250"/>
      <c r="AD115" s="250"/>
      <c r="AE115" s="249"/>
      <c r="AF115" s="249"/>
      <c r="AG115" s="249"/>
      <c r="AH115" s="249"/>
      <c r="AI115" s="249"/>
      <c r="AJ115" s="249"/>
      <c r="AK115" s="249"/>
      <c r="AL115" s="249"/>
      <c r="AM115" s="249"/>
      <c r="AN115" s="249"/>
      <c r="AO115" s="249"/>
      <c r="AP115" s="249"/>
    </row>
    <row r="116" spans="1:42" s="66" customFormat="1" x14ac:dyDescent="0.25">
      <c r="A116" s="264"/>
      <c r="B116" s="264"/>
      <c r="C116" s="264"/>
      <c r="D116" s="264"/>
      <c r="E116" s="264"/>
      <c r="F116" s="264"/>
      <c r="G116" s="264"/>
      <c r="H116" s="264"/>
      <c r="I116" s="249"/>
      <c r="J116" s="478"/>
      <c r="K116" s="264"/>
      <c r="L116" s="249"/>
      <c r="M116" s="478"/>
      <c r="N116" s="264"/>
      <c r="O116" s="249"/>
      <c r="P116" s="249"/>
      <c r="Q116" s="478"/>
      <c r="R116" s="478"/>
      <c r="S116" s="249"/>
      <c r="T116" s="267"/>
      <c r="U116" s="267"/>
      <c r="V116" s="267"/>
      <c r="W116" s="249"/>
      <c r="X116" s="249"/>
      <c r="Y116" s="249"/>
      <c r="Z116" s="250"/>
      <c r="AA116" s="266"/>
      <c r="AB116" s="250"/>
      <c r="AC116" s="250"/>
      <c r="AD116" s="250"/>
      <c r="AE116" s="249"/>
      <c r="AF116" s="249"/>
      <c r="AG116" s="249"/>
      <c r="AH116" s="249"/>
      <c r="AI116" s="249"/>
      <c r="AJ116" s="249"/>
      <c r="AK116" s="249"/>
      <c r="AL116" s="249"/>
      <c r="AM116" s="249"/>
      <c r="AN116" s="249"/>
      <c r="AO116" s="249"/>
      <c r="AP116" s="249"/>
    </row>
    <row r="117" spans="1:42" s="66" customFormat="1" x14ac:dyDescent="0.25">
      <c r="A117" s="264"/>
      <c r="B117" s="264"/>
      <c r="C117" s="264"/>
      <c r="D117" s="264"/>
      <c r="E117" s="264"/>
      <c r="F117" s="264"/>
      <c r="G117" s="264"/>
      <c r="H117" s="264"/>
      <c r="I117" s="249"/>
      <c r="J117" s="478"/>
      <c r="K117" s="264"/>
      <c r="L117" s="249"/>
      <c r="M117" s="478"/>
      <c r="N117" s="264"/>
      <c r="O117" s="249"/>
      <c r="P117" s="249"/>
      <c r="Q117" s="478"/>
      <c r="R117" s="478"/>
      <c r="S117" s="249"/>
      <c r="T117" s="267"/>
      <c r="U117" s="267"/>
      <c r="V117" s="267"/>
      <c r="W117" s="249"/>
      <c r="X117" s="249"/>
      <c r="Y117" s="249"/>
      <c r="Z117" s="250"/>
      <c r="AA117" s="266"/>
      <c r="AB117" s="250"/>
      <c r="AC117" s="250"/>
      <c r="AD117" s="250"/>
      <c r="AE117" s="249"/>
      <c r="AF117" s="249"/>
      <c r="AG117" s="249"/>
      <c r="AH117" s="249"/>
      <c r="AI117" s="249"/>
      <c r="AJ117" s="249"/>
      <c r="AK117" s="249"/>
      <c r="AL117" s="249"/>
      <c r="AM117" s="249"/>
      <c r="AN117" s="249"/>
      <c r="AO117" s="249"/>
      <c r="AP117" s="249"/>
    </row>
    <row r="118" spans="1:42" s="66" customFormat="1" x14ac:dyDescent="0.25">
      <c r="A118" s="264"/>
      <c r="B118" s="264"/>
      <c r="C118" s="264"/>
      <c r="D118" s="264"/>
      <c r="E118" s="264"/>
      <c r="F118" s="264"/>
      <c r="G118" s="264"/>
      <c r="H118" s="264"/>
      <c r="I118" s="249"/>
      <c r="J118" s="478"/>
      <c r="K118" s="264"/>
      <c r="L118" s="249"/>
      <c r="M118" s="478"/>
      <c r="N118" s="264"/>
      <c r="O118" s="249"/>
      <c r="P118" s="249"/>
      <c r="Q118" s="478"/>
      <c r="R118" s="478"/>
      <c r="S118" s="249"/>
      <c r="T118" s="267"/>
      <c r="U118" s="267"/>
      <c r="V118" s="267"/>
      <c r="W118" s="249"/>
      <c r="X118" s="249"/>
      <c r="Y118" s="249"/>
      <c r="Z118" s="250"/>
      <c r="AA118" s="266"/>
      <c r="AB118" s="250"/>
      <c r="AC118" s="250"/>
      <c r="AD118" s="250"/>
      <c r="AE118" s="249"/>
      <c r="AF118" s="249"/>
      <c r="AG118" s="249"/>
      <c r="AH118" s="249"/>
      <c r="AI118" s="249"/>
      <c r="AJ118" s="249"/>
      <c r="AK118" s="249"/>
      <c r="AL118" s="249"/>
      <c r="AM118" s="249"/>
      <c r="AN118" s="249"/>
      <c r="AO118" s="249"/>
      <c r="AP118" s="249"/>
    </row>
    <row r="119" spans="1:42" s="66" customFormat="1" x14ac:dyDescent="0.25">
      <c r="A119" s="264"/>
      <c r="B119" s="264"/>
      <c r="C119" s="264"/>
      <c r="D119" s="264"/>
      <c r="E119" s="264"/>
      <c r="F119" s="264"/>
      <c r="G119" s="264"/>
      <c r="H119" s="264"/>
      <c r="I119" s="249"/>
      <c r="J119" s="478"/>
      <c r="K119" s="264"/>
      <c r="L119" s="249"/>
      <c r="M119" s="478"/>
      <c r="N119" s="264"/>
      <c r="O119" s="249"/>
      <c r="P119" s="249"/>
      <c r="Q119" s="478"/>
      <c r="R119" s="478"/>
      <c r="S119" s="249"/>
      <c r="T119" s="267"/>
      <c r="U119" s="267"/>
      <c r="V119" s="267"/>
      <c r="W119" s="249"/>
      <c r="X119" s="249"/>
      <c r="Y119" s="249"/>
      <c r="Z119" s="250"/>
      <c r="AA119" s="266"/>
      <c r="AB119" s="250"/>
      <c r="AC119" s="250"/>
      <c r="AD119" s="250"/>
      <c r="AE119" s="249"/>
      <c r="AF119" s="249"/>
      <c r="AG119" s="249"/>
      <c r="AH119" s="249"/>
      <c r="AI119" s="249"/>
      <c r="AJ119" s="249"/>
      <c r="AK119" s="249"/>
      <c r="AL119" s="249"/>
      <c r="AM119" s="249"/>
      <c r="AN119" s="249"/>
      <c r="AO119" s="249"/>
      <c r="AP119" s="249"/>
    </row>
    <row r="120" spans="1:42" s="66" customFormat="1" x14ac:dyDescent="0.25">
      <c r="A120" s="264"/>
      <c r="B120" s="264"/>
      <c r="C120" s="264"/>
      <c r="D120" s="264"/>
      <c r="E120" s="264"/>
      <c r="F120" s="264"/>
      <c r="G120" s="264"/>
      <c r="H120" s="264"/>
      <c r="I120" s="249"/>
      <c r="J120" s="478"/>
      <c r="K120" s="264"/>
      <c r="L120" s="249"/>
      <c r="M120" s="478"/>
      <c r="N120" s="264"/>
      <c r="O120" s="249"/>
      <c r="P120" s="249"/>
      <c r="Q120" s="478"/>
      <c r="R120" s="478"/>
      <c r="S120" s="249"/>
      <c r="T120" s="267"/>
      <c r="U120" s="267"/>
      <c r="V120" s="267"/>
      <c r="W120" s="249"/>
      <c r="X120" s="249"/>
      <c r="Y120" s="249"/>
      <c r="Z120" s="250"/>
      <c r="AA120" s="266"/>
      <c r="AB120" s="250"/>
      <c r="AC120" s="250"/>
      <c r="AD120" s="250"/>
      <c r="AE120" s="249"/>
      <c r="AF120" s="249"/>
      <c r="AG120" s="249"/>
      <c r="AH120" s="249"/>
      <c r="AI120" s="249"/>
      <c r="AJ120" s="249"/>
      <c r="AK120" s="249"/>
      <c r="AL120" s="249"/>
      <c r="AM120" s="249"/>
      <c r="AN120" s="249"/>
      <c r="AO120" s="249"/>
      <c r="AP120" s="249"/>
    </row>
    <row r="121" spans="1:42" s="66" customFormat="1" x14ac:dyDescent="0.25">
      <c r="A121" s="264"/>
      <c r="B121" s="264"/>
      <c r="C121" s="264"/>
      <c r="D121" s="264"/>
      <c r="E121" s="264"/>
      <c r="F121" s="264"/>
      <c r="G121" s="264"/>
      <c r="H121" s="264"/>
      <c r="I121" s="249"/>
      <c r="J121" s="478"/>
      <c r="K121" s="264"/>
      <c r="L121" s="249"/>
      <c r="M121" s="478"/>
      <c r="N121" s="264"/>
      <c r="O121" s="249"/>
      <c r="P121" s="249"/>
      <c r="Q121" s="478"/>
      <c r="R121" s="478"/>
      <c r="S121" s="249"/>
      <c r="T121" s="267"/>
      <c r="U121" s="267"/>
      <c r="V121" s="267"/>
      <c r="W121" s="249"/>
      <c r="X121" s="249"/>
      <c r="Y121" s="249"/>
      <c r="Z121" s="250"/>
      <c r="AA121" s="266"/>
      <c r="AB121" s="250"/>
      <c r="AC121" s="250"/>
      <c r="AD121" s="250"/>
      <c r="AE121" s="249"/>
      <c r="AF121" s="249"/>
      <c r="AG121" s="249"/>
      <c r="AH121" s="249"/>
      <c r="AI121" s="249"/>
      <c r="AJ121" s="249"/>
      <c r="AK121" s="249"/>
      <c r="AL121" s="249"/>
      <c r="AM121" s="249"/>
      <c r="AN121" s="249"/>
      <c r="AO121" s="249"/>
      <c r="AP121" s="249"/>
    </row>
    <row r="122" spans="1:42" s="66" customFormat="1" x14ac:dyDescent="0.25">
      <c r="A122" s="264"/>
      <c r="B122" s="264"/>
      <c r="C122" s="264"/>
      <c r="D122" s="264"/>
      <c r="E122" s="264"/>
      <c r="F122" s="264"/>
      <c r="G122" s="264"/>
      <c r="H122" s="264"/>
      <c r="I122" s="249"/>
      <c r="J122" s="478"/>
      <c r="K122" s="264"/>
      <c r="L122" s="249"/>
      <c r="M122" s="478"/>
      <c r="N122" s="264"/>
      <c r="O122" s="249"/>
      <c r="P122" s="249"/>
      <c r="Q122" s="478"/>
      <c r="R122" s="478"/>
      <c r="S122" s="249"/>
      <c r="T122" s="267"/>
      <c r="U122" s="267"/>
      <c r="V122" s="267"/>
      <c r="W122" s="249"/>
      <c r="X122" s="249"/>
      <c r="Y122" s="249"/>
      <c r="Z122" s="250"/>
      <c r="AA122" s="266"/>
      <c r="AB122" s="250"/>
      <c r="AC122" s="250"/>
      <c r="AD122" s="250"/>
      <c r="AE122" s="249"/>
      <c r="AF122" s="249"/>
      <c r="AG122" s="249"/>
      <c r="AH122" s="249"/>
      <c r="AI122" s="249"/>
      <c r="AJ122" s="249"/>
      <c r="AK122" s="249"/>
      <c r="AL122" s="249"/>
      <c r="AM122" s="249"/>
      <c r="AN122" s="249"/>
      <c r="AO122" s="249"/>
      <c r="AP122" s="249"/>
    </row>
    <row r="123" spans="1:42" s="66" customFormat="1" x14ac:dyDescent="0.25">
      <c r="A123" s="264"/>
      <c r="B123" s="264"/>
      <c r="C123" s="264"/>
      <c r="D123" s="264"/>
      <c r="E123" s="264"/>
      <c r="F123" s="264"/>
      <c r="G123" s="264"/>
      <c r="H123" s="264"/>
      <c r="I123" s="249"/>
      <c r="J123" s="478"/>
      <c r="K123" s="264"/>
      <c r="L123" s="249"/>
      <c r="M123" s="478"/>
      <c r="N123" s="264"/>
      <c r="O123" s="249"/>
      <c r="P123" s="249"/>
      <c r="Q123" s="478"/>
      <c r="R123" s="478"/>
      <c r="S123" s="249"/>
      <c r="T123" s="267"/>
      <c r="U123" s="267"/>
      <c r="V123" s="267"/>
      <c r="W123" s="249"/>
      <c r="X123" s="249"/>
      <c r="Y123" s="249"/>
      <c r="Z123" s="250"/>
      <c r="AA123" s="266"/>
      <c r="AB123" s="250"/>
      <c r="AC123" s="250"/>
      <c r="AD123" s="250"/>
      <c r="AE123" s="249"/>
      <c r="AF123" s="249"/>
      <c r="AG123" s="249"/>
      <c r="AH123" s="249"/>
      <c r="AI123" s="249"/>
      <c r="AJ123" s="249"/>
      <c r="AK123" s="249"/>
      <c r="AL123" s="249"/>
      <c r="AM123" s="249"/>
      <c r="AN123" s="249"/>
      <c r="AO123" s="249"/>
      <c r="AP123" s="249"/>
    </row>
    <row r="124" spans="1:42" s="66" customFormat="1" x14ac:dyDescent="0.25">
      <c r="A124" s="264"/>
      <c r="B124" s="264"/>
      <c r="C124" s="264"/>
      <c r="D124" s="264"/>
      <c r="E124" s="264"/>
      <c r="F124" s="264"/>
      <c r="G124" s="264"/>
      <c r="H124" s="264"/>
      <c r="I124" s="249"/>
      <c r="J124" s="478"/>
      <c r="K124" s="264"/>
      <c r="L124" s="249"/>
      <c r="M124" s="478"/>
      <c r="N124" s="264"/>
      <c r="O124" s="249"/>
      <c r="P124" s="249"/>
      <c r="Q124" s="478"/>
      <c r="R124" s="478"/>
      <c r="S124" s="249"/>
      <c r="T124" s="267"/>
      <c r="U124" s="267"/>
      <c r="V124" s="267"/>
      <c r="W124" s="249"/>
      <c r="X124" s="249"/>
      <c r="Y124" s="249"/>
      <c r="Z124" s="250"/>
      <c r="AA124" s="266"/>
      <c r="AB124" s="250"/>
      <c r="AC124" s="250"/>
      <c r="AD124" s="250"/>
      <c r="AE124" s="249"/>
      <c r="AF124" s="249"/>
      <c r="AG124" s="249"/>
      <c r="AH124" s="249"/>
      <c r="AI124" s="249"/>
      <c r="AJ124" s="249"/>
      <c r="AK124" s="249"/>
      <c r="AL124" s="249"/>
      <c r="AM124" s="249"/>
      <c r="AN124" s="249"/>
      <c r="AO124" s="249"/>
      <c r="AP124" s="249"/>
    </row>
    <row r="125" spans="1:42" s="66" customFormat="1" x14ac:dyDescent="0.25">
      <c r="A125" s="264"/>
      <c r="B125" s="264"/>
      <c r="C125" s="264"/>
      <c r="D125" s="264"/>
      <c r="E125" s="264"/>
      <c r="F125" s="264"/>
      <c r="G125" s="264"/>
      <c r="H125" s="264"/>
      <c r="I125" s="249"/>
      <c r="J125" s="478"/>
      <c r="K125" s="264"/>
      <c r="L125" s="249"/>
      <c r="M125" s="478"/>
      <c r="N125" s="264"/>
      <c r="O125" s="249"/>
      <c r="P125" s="249"/>
      <c r="Q125" s="478"/>
      <c r="R125" s="478"/>
      <c r="S125" s="249"/>
      <c r="T125" s="267"/>
      <c r="U125" s="267"/>
      <c r="V125" s="267"/>
      <c r="W125" s="249"/>
      <c r="X125" s="249"/>
      <c r="Y125" s="249"/>
      <c r="Z125" s="250"/>
      <c r="AA125" s="266"/>
      <c r="AB125" s="250"/>
      <c r="AC125" s="250"/>
      <c r="AD125" s="250"/>
      <c r="AE125" s="249"/>
      <c r="AF125" s="249"/>
      <c r="AG125" s="249"/>
      <c r="AH125" s="249"/>
      <c r="AI125" s="249"/>
      <c r="AJ125" s="249"/>
      <c r="AK125" s="249"/>
      <c r="AL125" s="249"/>
      <c r="AM125" s="249"/>
      <c r="AN125" s="249"/>
      <c r="AO125" s="249"/>
      <c r="AP125" s="249"/>
    </row>
    <row r="126" spans="1:42" s="66" customFormat="1" x14ac:dyDescent="0.25">
      <c r="A126" s="264"/>
      <c r="B126" s="264"/>
      <c r="C126" s="264"/>
      <c r="D126" s="264"/>
      <c r="E126" s="264"/>
      <c r="F126" s="264"/>
      <c r="G126" s="264"/>
      <c r="H126" s="264"/>
      <c r="I126" s="249"/>
      <c r="J126" s="478"/>
      <c r="K126" s="264"/>
      <c r="L126" s="249"/>
      <c r="M126" s="478"/>
      <c r="N126" s="264"/>
      <c r="O126" s="249"/>
      <c r="P126" s="249"/>
      <c r="Q126" s="478"/>
      <c r="R126" s="478"/>
      <c r="S126" s="249"/>
      <c r="T126" s="267"/>
      <c r="U126" s="267"/>
      <c r="V126" s="267"/>
      <c r="W126" s="249"/>
      <c r="X126" s="249"/>
      <c r="Y126" s="249"/>
      <c r="Z126" s="250"/>
      <c r="AA126" s="266"/>
      <c r="AB126" s="250"/>
      <c r="AC126" s="250"/>
      <c r="AD126" s="250"/>
      <c r="AE126" s="249"/>
      <c r="AF126" s="249"/>
      <c r="AG126" s="249"/>
      <c r="AH126" s="249"/>
      <c r="AI126" s="249"/>
      <c r="AJ126" s="249"/>
      <c r="AK126" s="249"/>
      <c r="AL126" s="249"/>
      <c r="AM126" s="249"/>
      <c r="AN126" s="249"/>
      <c r="AO126" s="249"/>
      <c r="AP126" s="249"/>
    </row>
    <row r="127" spans="1:42" s="66" customFormat="1" x14ac:dyDescent="0.25">
      <c r="A127" s="264"/>
      <c r="B127" s="264"/>
      <c r="C127" s="264"/>
      <c r="D127" s="264"/>
      <c r="E127" s="264"/>
      <c r="F127" s="264"/>
      <c r="G127" s="264"/>
      <c r="H127" s="264"/>
      <c r="I127" s="249"/>
      <c r="J127" s="478"/>
      <c r="K127" s="264"/>
      <c r="L127" s="249"/>
      <c r="M127" s="478"/>
      <c r="N127" s="264"/>
      <c r="O127" s="249"/>
      <c r="P127" s="249"/>
      <c r="Q127" s="478"/>
      <c r="R127" s="478"/>
      <c r="S127" s="249"/>
      <c r="T127" s="267"/>
      <c r="U127" s="267"/>
      <c r="V127" s="267"/>
      <c r="W127" s="249"/>
      <c r="X127" s="249"/>
      <c r="Y127" s="249"/>
      <c r="Z127" s="250"/>
      <c r="AA127" s="266"/>
      <c r="AB127" s="250"/>
      <c r="AC127" s="250"/>
      <c r="AD127" s="250"/>
      <c r="AE127" s="249"/>
      <c r="AF127" s="249"/>
      <c r="AG127" s="249"/>
      <c r="AH127" s="249"/>
      <c r="AI127" s="249"/>
      <c r="AJ127" s="249"/>
      <c r="AK127" s="249"/>
      <c r="AL127" s="249"/>
      <c r="AM127" s="249"/>
      <c r="AN127" s="249"/>
      <c r="AO127" s="249"/>
      <c r="AP127" s="249"/>
    </row>
    <row r="128" spans="1:42" s="66" customFormat="1" x14ac:dyDescent="0.25">
      <c r="A128" s="264"/>
      <c r="B128" s="264"/>
      <c r="C128" s="264"/>
      <c r="D128" s="264"/>
      <c r="E128" s="264"/>
      <c r="F128" s="264"/>
      <c r="G128" s="264"/>
      <c r="H128" s="264"/>
      <c r="I128" s="249"/>
      <c r="J128" s="478"/>
      <c r="K128" s="264"/>
      <c r="L128" s="249"/>
      <c r="M128" s="478"/>
      <c r="N128" s="264"/>
      <c r="O128" s="249"/>
      <c r="P128" s="249"/>
      <c r="Q128" s="478"/>
      <c r="R128" s="478"/>
      <c r="S128" s="249"/>
      <c r="T128" s="267"/>
      <c r="U128" s="267"/>
      <c r="V128" s="267"/>
      <c r="W128" s="249"/>
      <c r="X128" s="249"/>
      <c r="Y128" s="249"/>
      <c r="Z128" s="250"/>
      <c r="AA128" s="266"/>
      <c r="AB128" s="250"/>
      <c r="AC128" s="250"/>
      <c r="AD128" s="250"/>
      <c r="AE128" s="249"/>
      <c r="AF128" s="249"/>
      <c r="AG128" s="249"/>
      <c r="AH128" s="249"/>
      <c r="AI128" s="249"/>
      <c r="AJ128" s="249"/>
      <c r="AK128" s="249"/>
      <c r="AL128" s="249"/>
      <c r="AM128" s="249"/>
      <c r="AN128" s="249"/>
      <c r="AO128" s="249"/>
      <c r="AP128" s="249"/>
    </row>
    <row r="129" spans="1:42" s="66" customFormat="1" x14ac:dyDescent="0.25">
      <c r="A129" s="264"/>
      <c r="B129" s="264"/>
      <c r="C129" s="264"/>
      <c r="D129" s="264"/>
      <c r="E129" s="264"/>
      <c r="F129" s="264"/>
      <c r="G129" s="264"/>
      <c r="H129" s="264"/>
      <c r="I129" s="249"/>
      <c r="J129" s="478"/>
      <c r="K129" s="264"/>
      <c r="L129" s="249"/>
      <c r="M129" s="478"/>
      <c r="N129" s="264"/>
      <c r="O129" s="249"/>
      <c r="P129" s="249"/>
      <c r="Q129" s="478"/>
      <c r="R129" s="478"/>
      <c r="S129" s="249"/>
      <c r="T129" s="267"/>
      <c r="U129" s="267"/>
      <c r="V129" s="267"/>
      <c r="W129" s="249"/>
      <c r="X129" s="249"/>
      <c r="Y129" s="249"/>
      <c r="Z129" s="250"/>
      <c r="AA129" s="266"/>
      <c r="AB129" s="250"/>
      <c r="AC129" s="250"/>
      <c r="AD129" s="250"/>
      <c r="AE129" s="249"/>
      <c r="AF129" s="249"/>
      <c r="AG129" s="249"/>
      <c r="AH129" s="249"/>
      <c r="AI129" s="249"/>
      <c r="AJ129" s="249"/>
      <c r="AK129" s="249"/>
      <c r="AL129" s="249"/>
      <c r="AM129" s="249"/>
      <c r="AN129" s="249"/>
      <c r="AO129" s="249"/>
      <c r="AP129" s="249"/>
    </row>
    <row r="130" spans="1:42" s="66" customFormat="1" x14ac:dyDescent="0.25">
      <c r="A130" s="264"/>
      <c r="B130" s="264"/>
      <c r="C130" s="264"/>
      <c r="D130" s="264"/>
      <c r="E130" s="264"/>
      <c r="F130" s="264"/>
      <c r="G130" s="264"/>
      <c r="H130" s="264"/>
      <c r="I130" s="249"/>
      <c r="J130" s="478"/>
      <c r="K130" s="264"/>
      <c r="L130" s="249"/>
      <c r="M130" s="478"/>
      <c r="N130" s="264"/>
      <c r="O130" s="249"/>
      <c r="P130" s="249"/>
      <c r="Q130" s="478"/>
      <c r="R130" s="478"/>
      <c r="S130" s="249"/>
      <c r="T130" s="267"/>
      <c r="U130" s="267"/>
      <c r="V130" s="267"/>
      <c r="W130" s="249"/>
      <c r="X130" s="249"/>
      <c r="Y130" s="249"/>
      <c r="Z130" s="250"/>
      <c r="AA130" s="266"/>
      <c r="AB130" s="250"/>
      <c r="AC130" s="250"/>
      <c r="AD130" s="250"/>
      <c r="AE130" s="249"/>
      <c r="AF130" s="249"/>
      <c r="AG130" s="249"/>
      <c r="AH130" s="249"/>
      <c r="AI130" s="249"/>
      <c r="AJ130" s="249"/>
      <c r="AK130" s="249"/>
      <c r="AL130" s="249"/>
      <c r="AM130" s="249"/>
      <c r="AN130" s="249"/>
      <c r="AO130" s="249"/>
      <c r="AP130" s="249"/>
    </row>
    <row r="131" spans="1:42" s="66" customFormat="1" x14ac:dyDescent="0.25">
      <c r="A131" s="264"/>
      <c r="B131" s="264"/>
      <c r="C131" s="264"/>
      <c r="D131" s="264"/>
      <c r="E131" s="264"/>
      <c r="F131" s="264"/>
      <c r="G131" s="264"/>
      <c r="H131" s="264"/>
      <c r="I131" s="249"/>
      <c r="J131" s="478"/>
      <c r="K131" s="264"/>
      <c r="L131" s="249"/>
      <c r="M131" s="478"/>
      <c r="N131" s="264"/>
      <c r="O131" s="249"/>
      <c r="P131" s="249"/>
      <c r="Q131" s="478"/>
      <c r="R131" s="478"/>
      <c r="S131" s="249"/>
      <c r="T131" s="267"/>
      <c r="U131" s="267"/>
      <c r="V131" s="267"/>
      <c r="W131" s="249"/>
      <c r="X131" s="249"/>
      <c r="Y131" s="249"/>
      <c r="Z131" s="250"/>
      <c r="AA131" s="266"/>
      <c r="AB131" s="250"/>
      <c r="AC131" s="250"/>
      <c r="AD131" s="250"/>
      <c r="AE131" s="249"/>
      <c r="AF131" s="249"/>
      <c r="AG131" s="249"/>
      <c r="AH131" s="249"/>
      <c r="AI131" s="249"/>
      <c r="AJ131" s="249"/>
      <c r="AK131" s="249"/>
      <c r="AL131" s="249"/>
      <c r="AM131" s="249"/>
      <c r="AN131" s="249"/>
      <c r="AO131" s="249"/>
      <c r="AP131" s="249"/>
    </row>
    <row r="132" spans="1:42" s="66" customFormat="1" x14ac:dyDescent="0.25">
      <c r="A132" s="264"/>
      <c r="B132" s="264"/>
      <c r="C132" s="264"/>
      <c r="D132" s="264"/>
      <c r="E132" s="264"/>
      <c r="F132" s="264"/>
      <c r="G132" s="264"/>
      <c r="H132" s="264"/>
      <c r="I132" s="249"/>
      <c r="J132" s="478"/>
      <c r="K132" s="264"/>
      <c r="L132" s="249"/>
      <c r="M132" s="478"/>
      <c r="N132" s="264"/>
      <c r="O132" s="249"/>
      <c r="P132" s="249"/>
      <c r="Q132" s="478"/>
      <c r="R132" s="478"/>
      <c r="S132" s="249"/>
      <c r="T132" s="267"/>
      <c r="U132" s="267"/>
      <c r="V132" s="267"/>
      <c r="W132" s="249"/>
      <c r="X132" s="249"/>
      <c r="Y132" s="249"/>
      <c r="Z132" s="250"/>
      <c r="AA132" s="266"/>
      <c r="AB132" s="250"/>
      <c r="AC132" s="250"/>
      <c r="AD132" s="250"/>
      <c r="AE132" s="249"/>
      <c r="AF132" s="249"/>
      <c r="AG132" s="249"/>
      <c r="AH132" s="249"/>
      <c r="AI132" s="249"/>
      <c r="AJ132" s="249"/>
      <c r="AK132" s="249"/>
      <c r="AL132" s="249"/>
      <c r="AM132" s="249"/>
      <c r="AN132" s="249"/>
      <c r="AO132" s="249"/>
      <c r="AP132" s="249"/>
    </row>
    <row r="133" spans="1:42" s="66" customFormat="1" x14ac:dyDescent="0.25">
      <c r="A133" s="264"/>
      <c r="B133" s="264"/>
      <c r="C133" s="264"/>
      <c r="D133" s="264"/>
      <c r="E133" s="264"/>
      <c r="F133" s="264"/>
      <c r="G133" s="264"/>
      <c r="H133" s="264"/>
      <c r="I133" s="249"/>
      <c r="J133" s="478"/>
      <c r="K133" s="264"/>
      <c r="L133" s="249"/>
      <c r="M133" s="478"/>
      <c r="N133" s="264"/>
      <c r="O133" s="249"/>
      <c r="P133" s="249"/>
      <c r="Q133" s="478"/>
      <c r="R133" s="478"/>
      <c r="S133" s="249"/>
      <c r="T133" s="267"/>
      <c r="U133" s="267"/>
      <c r="V133" s="267"/>
      <c r="W133" s="249"/>
      <c r="X133" s="249"/>
      <c r="Y133" s="249"/>
      <c r="Z133" s="250"/>
      <c r="AA133" s="266"/>
      <c r="AB133" s="250"/>
      <c r="AC133" s="250"/>
      <c r="AD133" s="250"/>
      <c r="AE133" s="249"/>
      <c r="AF133" s="249"/>
      <c r="AG133" s="249"/>
      <c r="AH133" s="249"/>
      <c r="AI133" s="249"/>
      <c r="AJ133" s="249"/>
      <c r="AK133" s="249"/>
      <c r="AL133" s="249"/>
      <c r="AM133" s="249"/>
      <c r="AN133" s="249"/>
      <c r="AO133" s="249"/>
      <c r="AP133" s="249"/>
    </row>
    <row r="134" spans="1:42" s="66" customFormat="1" x14ac:dyDescent="0.25">
      <c r="A134" s="264"/>
      <c r="B134" s="264"/>
      <c r="C134" s="264"/>
      <c r="D134" s="264"/>
      <c r="E134" s="264"/>
      <c r="F134" s="264"/>
      <c r="G134" s="264"/>
      <c r="H134" s="264"/>
      <c r="I134" s="249"/>
      <c r="J134" s="478"/>
      <c r="K134" s="264"/>
      <c r="L134" s="249"/>
      <c r="M134" s="478"/>
      <c r="N134" s="264"/>
      <c r="O134" s="249"/>
      <c r="P134" s="249"/>
      <c r="Q134" s="478"/>
      <c r="R134" s="478"/>
      <c r="S134" s="249"/>
      <c r="T134" s="267"/>
      <c r="U134" s="267"/>
      <c r="V134" s="267"/>
      <c r="W134" s="249"/>
      <c r="X134" s="249"/>
      <c r="Y134" s="249"/>
      <c r="Z134" s="250"/>
      <c r="AA134" s="266"/>
      <c r="AB134" s="250"/>
      <c r="AC134" s="250"/>
      <c r="AD134" s="250"/>
      <c r="AE134" s="249"/>
      <c r="AF134" s="249"/>
      <c r="AG134" s="249"/>
      <c r="AH134" s="249"/>
      <c r="AI134" s="249"/>
      <c r="AJ134" s="249"/>
      <c r="AK134" s="249"/>
      <c r="AL134" s="249"/>
      <c r="AM134" s="249"/>
      <c r="AN134" s="249"/>
      <c r="AO134" s="249"/>
      <c r="AP134" s="249"/>
    </row>
    <row r="135" spans="1:42" s="66" customFormat="1" x14ac:dyDescent="0.25">
      <c r="A135" s="264"/>
      <c r="B135" s="264"/>
      <c r="C135" s="264"/>
      <c r="D135" s="264"/>
      <c r="E135" s="264"/>
      <c r="F135" s="264"/>
      <c r="G135" s="264"/>
      <c r="H135" s="264"/>
      <c r="I135" s="249"/>
      <c r="J135" s="478"/>
      <c r="K135" s="264"/>
      <c r="L135" s="249"/>
      <c r="M135" s="478"/>
      <c r="N135" s="264"/>
      <c r="O135" s="249"/>
      <c r="P135" s="249"/>
      <c r="Q135" s="478"/>
      <c r="R135" s="478"/>
      <c r="S135" s="249"/>
      <c r="T135" s="267"/>
      <c r="U135" s="267"/>
      <c r="V135" s="267"/>
      <c r="W135" s="249"/>
      <c r="X135" s="249"/>
      <c r="Y135" s="249"/>
      <c r="Z135" s="250"/>
      <c r="AA135" s="266"/>
      <c r="AB135" s="250"/>
      <c r="AC135" s="250"/>
      <c r="AD135" s="250"/>
      <c r="AE135" s="249"/>
      <c r="AF135" s="249"/>
      <c r="AG135" s="249"/>
      <c r="AH135" s="249"/>
      <c r="AI135" s="249"/>
      <c r="AJ135" s="249"/>
      <c r="AK135" s="249"/>
      <c r="AL135" s="249"/>
      <c r="AM135" s="249"/>
      <c r="AN135" s="249"/>
      <c r="AO135" s="249"/>
      <c r="AP135" s="249"/>
    </row>
    <row r="136" spans="1:42" s="66" customFormat="1" x14ac:dyDescent="0.25">
      <c r="A136" s="264"/>
      <c r="B136" s="264"/>
      <c r="C136" s="264"/>
      <c r="D136" s="264"/>
      <c r="E136" s="264"/>
      <c r="F136" s="264"/>
      <c r="G136" s="264"/>
      <c r="H136" s="264"/>
      <c r="I136" s="249"/>
      <c r="J136" s="478"/>
      <c r="K136" s="264"/>
      <c r="L136" s="249"/>
      <c r="M136" s="478"/>
      <c r="N136" s="264"/>
      <c r="O136" s="249"/>
      <c r="P136" s="249"/>
      <c r="Q136" s="478"/>
      <c r="R136" s="478"/>
      <c r="S136" s="249"/>
      <c r="T136" s="267"/>
      <c r="U136" s="267"/>
      <c r="V136" s="267"/>
      <c r="W136" s="249"/>
      <c r="X136" s="249"/>
      <c r="Y136" s="249"/>
      <c r="Z136" s="250"/>
      <c r="AA136" s="266"/>
      <c r="AB136" s="250"/>
      <c r="AC136" s="250"/>
      <c r="AD136" s="250"/>
      <c r="AE136" s="249"/>
      <c r="AF136" s="249"/>
      <c r="AG136" s="249"/>
      <c r="AH136" s="249"/>
      <c r="AI136" s="249"/>
      <c r="AJ136" s="249"/>
      <c r="AK136" s="249"/>
      <c r="AL136" s="249"/>
      <c r="AM136" s="249"/>
      <c r="AN136" s="249"/>
      <c r="AO136" s="249"/>
      <c r="AP136" s="249"/>
    </row>
    <row r="137" spans="1:42" s="66" customFormat="1" x14ac:dyDescent="0.25">
      <c r="A137" s="264"/>
      <c r="B137" s="264"/>
      <c r="C137" s="264"/>
      <c r="D137" s="264"/>
      <c r="E137" s="264"/>
      <c r="F137" s="264"/>
      <c r="G137" s="264"/>
      <c r="H137" s="264"/>
      <c r="I137" s="249"/>
      <c r="J137" s="478"/>
      <c r="K137" s="264"/>
      <c r="L137" s="249"/>
      <c r="M137" s="478"/>
      <c r="N137" s="264"/>
      <c r="O137" s="249"/>
      <c r="P137" s="249"/>
      <c r="Q137" s="478"/>
      <c r="R137" s="478"/>
      <c r="S137" s="249"/>
      <c r="T137" s="267"/>
      <c r="U137" s="267"/>
      <c r="V137" s="267"/>
      <c r="W137" s="249"/>
      <c r="X137" s="249"/>
      <c r="Y137" s="249"/>
      <c r="Z137" s="250"/>
      <c r="AA137" s="266"/>
      <c r="AB137" s="250"/>
      <c r="AC137" s="250"/>
      <c r="AD137" s="250"/>
      <c r="AE137" s="249"/>
      <c r="AF137" s="249"/>
      <c r="AG137" s="249"/>
      <c r="AH137" s="249"/>
      <c r="AI137" s="249"/>
      <c r="AJ137" s="249"/>
      <c r="AK137" s="249"/>
      <c r="AL137" s="249"/>
      <c r="AM137" s="249"/>
      <c r="AN137" s="249"/>
      <c r="AO137" s="249"/>
      <c r="AP137" s="249"/>
    </row>
    <row r="138" spans="1:42" s="66" customFormat="1" x14ac:dyDescent="0.25">
      <c r="A138" s="264"/>
      <c r="B138" s="264"/>
      <c r="C138" s="264"/>
      <c r="D138" s="264"/>
      <c r="E138" s="264"/>
      <c r="F138" s="264"/>
      <c r="G138" s="264"/>
      <c r="H138" s="264"/>
      <c r="I138" s="249"/>
      <c r="J138" s="478"/>
      <c r="K138" s="264"/>
      <c r="L138" s="249"/>
      <c r="M138" s="478"/>
      <c r="N138" s="264"/>
      <c r="O138" s="249"/>
      <c r="P138" s="249"/>
      <c r="Q138" s="478"/>
      <c r="R138" s="478"/>
      <c r="S138" s="249"/>
      <c r="T138" s="267"/>
      <c r="U138" s="267"/>
      <c r="V138" s="267"/>
      <c r="W138" s="249"/>
      <c r="X138" s="249"/>
      <c r="Y138" s="249"/>
      <c r="Z138" s="250"/>
      <c r="AA138" s="266"/>
      <c r="AB138" s="250"/>
      <c r="AC138" s="250"/>
      <c r="AD138" s="250"/>
      <c r="AE138" s="249"/>
      <c r="AF138" s="249"/>
      <c r="AG138" s="249"/>
      <c r="AH138" s="249"/>
      <c r="AI138" s="249"/>
      <c r="AJ138" s="249"/>
      <c r="AK138" s="249"/>
      <c r="AL138" s="249"/>
      <c r="AM138" s="249"/>
      <c r="AN138" s="249"/>
      <c r="AO138" s="249"/>
      <c r="AP138" s="249"/>
    </row>
    <row r="139" spans="1:42" s="66" customFormat="1" x14ac:dyDescent="0.25">
      <c r="A139" s="264"/>
      <c r="B139" s="264"/>
      <c r="C139" s="264"/>
      <c r="D139" s="264"/>
      <c r="E139" s="264"/>
      <c r="F139" s="264"/>
      <c r="G139" s="264"/>
      <c r="H139" s="264"/>
      <c r="I139" s="249"/>
      <c r="J139" s="478"/>
      <c r="K139" s="264"/>
      <c r="L139" s="249"/>
      <c r="M139" s="478"/>
      <c r="N139" s="264"/>
      <c r="O139" s="249"/>
      <c r="P139" s="249"/>
      <c r="Q139" s="478"/>
      <c r="R139" s="478"/>
      <c r="S139" s="249"/>
      <c r="T139" s="267"/>
      <c r="U139" s="267"/>
      <c r="V139" s="267"/>
      <c r="W139" s="249"/>
      <c r="X139" s="249"/>
      <c r="Y139" s="249"/>
      <c r="Z139" s="250"/>
      <c r="AA139" s="266"/>
      <c r="AB139" s="250"/>
      <c r="AC139" s="250"/>
      <c r="AD139" s="250"/>
      <c r="AE139" s="249"/>
      <c r="AF139" s="249"/>
      <c r="AG139" s="249"/>
      <c r="AH139" s="249"/>
      <c r="AI139" s="249"/>
      <c r="AJ139" s="249"/>
      <c r="AK139" s="249"/>
      <c r="AL139" s="249"/>
      <c r="AM139" s="249"/>
      <c r="AN139" s="249"/>
      <c r="AO139" s="249"/>
      <c r="AP139" s="249"/>
    </row>
    <row r="140" spans="1:42" s="66" customFormat="1" x14ac:dyDescent="0.25">
      <c r="A140" s="264"/>
      <c r="B140" s="264"/>
      <c r="C140" s="264"/>
      <c r="D140" s="264"/>
      <c r="E140" s="264"/>
      <c r="F140" s="264"/>
      <c r="G140" s="264"/>
      <c r="H140" s="264"/>
      <c r="I140" s="249"/>
      <c r="J140" s="478"/>
      <c r="K140" s="264"/>
      <c r="L140" s="249"/>
      <c r="M140" s="478"/>
      <c r="N140" s="264"/>
      <c r="O140" s="249"/>
      <c r="P140" s="249"/>
      <c r="Q140" s="478"/>
      <c r="R140" s="478"/>
      <c r="S140" s="249"/>
      <c r="T140" s="267"/>
      <c r="U140" s="267"/>
      <c r="V140" s="267"/>
      <c r="W140" s="249"/>
      <c r="X140" s="249"/>
      <c r="Y140" s="249"/>
      <c r="Z140" s="250"/>
      <c r="AA140" s="266"/>
      <c r="AB140" s="250"/>
      <c r="AC140" s="250"/>
      <c r="AD140" s="250"/>
      <c r="AE140" s="249"/>
      <c r="AF140" s="249"/>
      <c r="AG140" s="249"/>
      <c r="AH140" s="249"/>
      <c r="AI140" s="249"/>
      <c r="AJ140" s="249"/>
      <c r="AK140" s="249"/>
      <c r="AL140" s="249"/>
      <c r="AM140" s="249"/>
      <c r="AN140" s="249"/>
      <c r="AO140" s="249"/>
      <c r="AP140" s="249"/>
    </row>
    <row r="141" spans="1:42" s="66" customFormat="1" x14ac:dyDescent="0.25">
      <c r="A141" s="264"/>
      <c r="B141" s="264"/>
      <c r="C141" s="264"/>
      <c r="D141" s="264"/>
      <c r="E141" s="264"/>
      <c r="F141" s="264"/>
      <c r="G141" s="264"/>
      <c r="H141" s="264"/>
      <c r="I141" s="249"/>
      <c r="J141" s="478"/>
      <c r="K141" s="264"/>
      <c r="L141" s="249"/>
      <c r="M141" s="478"/>
      <c r="N141" s="264"/>
      <c r="O141" s="249"/>
      <c r="P141" s="249"/>
      <c r="Q141" s="478"/>
      <c r="R141" s="478"/>
      <c r="S141" s="249"/>
      <c r="T141" s="267"/>
      <c r="U141" s="267"/>
      <c r="V141" s="267"/>
      <c r="W141" s="249"/>
      <c r="X141" s="249"/>
      <c r="Y141" s="249"/>
      <c r="Z141" s="250"/>
      <c r="AA141" s="266"/>
      <c r="AB141" s="250"/>
      <c r="AC141" s="250"/>
      <c r="AD141" s="250"/>
      <c r="AE141" s="249"/>
      <c r="AF141" s="249"/>
      <c r="AG141" s="249"/>
      <c r="AH141" s="249"/>
      <c r="AI141" s="249"/>
      <c r="AJ141" s="249"/>
      <c r="AK141" s="249"/>
      <c r="AL141" s="249"/>
      <c r="AM141" s="249"/>
      <c r="AN141" s="249"/>
      <c r="AO141" s="249"/>
      <c r="AP141" s="249"/>
    </row>
    <row r="142" spans="1:42" s="66" customFormat="1" x14ac:dyDescent="0.25">
      <c r="A142" s="264"/>
      <c r="B142" s="264"/>
      <c r="C142" s="264"/>
      <c r="D142" s="264"/>
      <c r="E142" s="264"/>
      <c r="F142" s="264"/>
      <c r="G142" s="264"/>
      <c r="H142" s="264"/>
      <c r="I142" s="249"/>
      <c r="J142" s="478"/>
      <c r="K142" s="264"/>
      <c r="L142" s="249"/>
      <c r="M142" s="478"/>
      <c r="N142" s="264"/>
      <c r="O142" s="249"/>
      <c r="P142" s="249"/>
      <c r="Q142" s="478"/>
      <c r="R142" s="478"/>
      <c r="S142" s="249"/>
      <c r="T142" s="267"/>
      <c r="U142" s="267"/>
      <c r="V142" s="267"/>
      <c r="W142" s="249"/>
      <c r="X142" s="249"/>
      <c r="Y142" s="249"/>
      <c r="Z142" s="250"/>
      <c r="AA142" s="266"/>
      <c r="AB142" s="250"/>
      <c r="AC142" s="250"/>
      <c r="AD142" s="250"/>
      <c r="AE142" s="249"/>
      <c r="AF142" s="249"/>
      <c r="AG142" s="249"/>
      <c r="AH142" s="249"/>
      <c r="AI142" s="249"/>
      <c r="AJ142" s="249"/>
      <c r="AK142" s="249"/>
      <c r="AL142" s="249"/>
      <c r="AM142" s="249"/>
      <c r="AN142" s="249"/>
      <c r="AO142" s="249"/>
      <c r="AP142" s="249"/>
    </row>
    <row r="143" spans="1:42" s="66" customFormat="1" x14ac:dyDescent="0.25">
      <c r="A143" s="264"/>
      <c r="B143" s="264"/>
      <c r="C143" s="264"/>
      <c r="D143" s="264"/>
      <c r="E143" s="264"/>
      <c r="F143" s="264"/>
      <c r="G143" s="264"/>
      <c r="H143" s="264"/>
      <c r="I143" s="249"/>
      <c r="J143" s="478"/>
      <c r="K143" s="264"/>
      <c r="L143" s="249"/>
      <c r="M143" s="478"/>
      <c r="N143" s="264"/>
      <c r="O143" s="249"/>
      <c r="P143" s="249"/>
      <c r="Q143" s="478"/>
      <c r="R143" s="478"/>
      <c r="S143" s="249"/>
      <c r="T143" s="267"/>
      <c r="U143" s="267"/>
      <c r="V143" s="267"/>
      <c r="W143" s="249"/>
      <c r="X143" s="249"/>
      <c r="Y143" s="249"/>
      <c r="Z143" s="250"/>
      <c r="AA143" s="266"/>
      <c r="AB143" s="250"/>
      <c r="AC143" s="250"/>
      <c r="AD143" s="250"/>
      <c r="AE143" s="249"/>
      <c r="AF143" s="249"/>
      <c r="AG143" s="249"/>
      <c r="AH143" s="249"/>
      <c r="AI143" s="249"/>
      <c r="AJ143" s="249"/>
      <c r="AK143" s="249"/>
      <c r="AL143" s="249"/>
      <c r="AM143" s="249"/>
      <c r="AN143" s="249"/>
      <c r="AO143" s="249"/>
      <c r="AP143" s="249"/>
    </row>
    <row r="144" spans="1:42" s="66" customFormat="1" x14ac:dyDescent="0.25">
      <c r="A144" s="264"/>
      <c r="B144" s="264"/>
      <c r="C144" s="264"/>
      <c r="D144" s="264"/>
      <c r="E144" s="264"/>
      <c r="F144" s="264"/>
      <c r="G144" s="264"/>
      <c r="H144" s="264"/>
      <c r="I144" s="249"/>
      <c r="J144" s="478"/>
      <c r="K144" s="264"/>
      <c r="L144" s="249"/>
      <c r="M144" s="478"/>
      <c r="N144" s="264"/>
      <c r="O144" s="249"/>
      <c r="P144" s="249"/>
      <c r="Q144" s="478"/>
      <c r="R144" s="478"/>
      <c r="S144" s="249"/>
      <c r="T144" s="267"/>
      <c r="U144" s="267"/>
      <c r="V144" s="267"/>
      <c r="W144" s="249"/>
      <c r="X144" s="249"/>
      <c r="Y144" s="249"/>
      <c r="Z144" s="250"/>
      <c r="AA144" s="266"/>
      <c r="AB144" s="250"/>
      <c r="AC144" s="250"/>
      <c r="AD144" s="250"/>
      <c r="AE144" s="249"/>
      <c r="AF144" s="249"/>
      <c r="AG144" s="249"/>
      <c r="AH144" s="249"/>
      <c r="AI144" s="249"/>
      <c r="AJ144" s="249"/>
      <c r="AK144" s="249"/>
      <c r="AL144" s="249"/>
      <c r="AM144" s="249"/>
      <c r="AN144" s="249"/>
      <c r="AO144" s="249"/>
      <c r="AP144" s="249"/>
    </row>
    <row r="145" spans="1:42" s="66" customFormat="1" x14ac:dyDescent="0.25">
      <c r="A145" s="264"/>
      <c r="B145" s="264"/>
      <c r="C145" s="264"/>
      <c r="D145" s="264"/>
      <c r="E145" s="264"/>
      <c r="F145" s="264"/>
      <c r="G145" s="264"/>
      <c r="H145" s="264"/>
      <c r="I145" s="249"/>
      <c r="J145" s="478"/>
      <c r="K145" s="264"/>
      <c r="L145" s="249"/>
      <c r="M145" s="478"/>
      <c r="N145" s="264"/>
      <c r="O145" s="249"/>
      <c r="P145" s="249"/>
      <c r="Q145" s="478"/>
      <c r="R145" s="478"/>
      <c r="S145" s="249"/>
      <c r="T145" s="267"/>
      <c r="U145" s="267"/>
      <c r="V145" s="267"/>
      <c r="W145" s="249"/>
      <c r="X145" s="249"/>
      <c r="Y145" s="249"/>
      <c r="Z145" s="250"/>
      <c r="AA145" s="266"/>
      <c r="AB145" s="250"/>
      <c r="AC145" s="250"/>
      <c r="AD145" s="250"/>
      <c r="AE145" s="249"/>
      <c r="AF145" s="249"/>
      <c r="AG145" s="249"/>
      <c r="AH145" s="249"/>
      <c r="AI145" s="249"/>
      <c r="AJ145" s="249"/>
      <c r="AK145" s="249"/>
      <c r="AL145" s="249"/>
      <c r="AM145" s="249"/>
      <c r="AN145" s="249"/>
      <c r="AO145" s="249"/>
      <c r="AP145" s="249"/>
    </row>
    <row r="146" spans="1:42" s="66" customFormat="1" x14ac:dyDescent="0.25">
      <c r="A146" s="264"/>
      <c r="B146" s="264"/>
      <c r="C146" s="264"/>
      <c r="D146" s="264"/>
      <c r="E146" s="264"/>
      <c r="F146" s="264"/>
      <c r="G146" s="264"/>
      <c r="H146" s="264"/>
      <c r="I146" s="249"/>
      <c r="J146" s="478"/>
      <c r="K146" s="264"/>
      <c r="L146" s="249"/>
      <c r="M146" s="478"/>
      <c r="N146" s="264"/>
      <c r="O146" s="249"/>
      <c r="P146" s="249"/>
      <c r="Q146" s="478"/>
      <c r="R146" s="478"/>
      <c r="S146" s="249"/>
      <c r="T146" s="267"/>
      <c r="U146" s="267"/>
      <c r="V146" s="267"/>
      <c r="W146" s="249"/>
      <c r="X146" s="249"/>
      <c r="Y146" s="249"/>
      <c r="Z146" s="250"/>
      <c r="AA146" s="266"/>
      <c r="AB146" s="250"/>
      <c r="AC146" s="250"/>
      <c r="AD146" s="250"/>
      <c r="AE146" s="249"/>
      <c r="AF146" s="249"/>
      <c r="AG146" s="249"/>
      <c r="AH146" s="249"/>
      <c r="AI146" s="249"/>
      <c r="AJ146" s="249"/>
      <c r="AK146" s="249"/>
      <c r="AL146" s="249"/>
      <c r="AM146" s="249"/>
      <c r="AN146" s="249"/>
      <c r="AO146" s="249"/>
      <c r="AP146" s="249"/>
    </row>
    <row r="147" spans="1:42" s="66" customFormat="1" x14ac:dyDescent="0.25">
      <c r="A147" s="264"/>
      <c r="B147" s="264"/>
      <c r="C147" s="264"/>
      <c r="D147" s="264"/>
      <c r="E147" s="264"/>
      <c r="F147" s="264"/>
      <c r="G147" s="264"/>
      <c r="H147" s="264"/>
      <c r="I147" s="249"/>
      <c r="J147" s="478"/>
      <c r="K147" s="264"/>
      <c r="L147" s="249"/>
      <c r="M147" s="478"/>
      <c r="N147" s="264"/>
      <c r="O147" s="249"/>
      <c r="P147" s="249"/>
      <c r="Q147" s="478"/>
      <c r="R147" s="478"/>
      <c r="S147" s="249"/>
      <c r="T147" s="267"/>
      <c r="U147" s="267"/>
      <c r="V147" s="267"/>
      <c r="W147" s="249"/>
      <c r="X147" s="249"/>
      <c r="Y147" s="249"/>
      <c r="Z147" s="250"/>
      <c r="AA147" s="266"/>
      <c r="AB147" s="250"/>
      <c r="AC147" s="250"/>
      <c r="AD147" s="250"/>
      <c r="AE147" s="249"/>
      <c r="AF147" s="249"/>
      <c r="AG147" s="249"/>
      <c r="AH147" s="249"/>
      <c r="AI147" s="249"/>
      <c r="AJ147" s="249"/>
      <c r="AK147" s="249"/>
      <c r="AL147" s="249"/>
      <c r="AM147" s="249"/>
      <c r="AN147" s="249"/>
      <c r="AO147" s="249"/>
      <c r="AP147" s="249"/>
    </row>
    <row r="148" spans="1:42" s="66" customFormat="1" x14ac:dyDescent="0.25">
      <c r="A148" s="264"/>
      <c r="B148" s="264"/>
      <c r="C148" s="264"/>
      <c r="D148" s="264"/>
      <c r="E148" s="264"/>
      <c r="F148" s="264"/>
      <c r="G148" s="264"/>
      <c r="H148" s="264"/>
      <c r="I148" s="249"/>
      <c r="J148" s="478"/>
      <c r="K148" s="264"/>
      <c r="L148" s="249"/>
      <c r="M148" s="478"/>
      <c r="N148" s="264"/>
      <c r="O148" s="249"/>
      <c r="P148" s="249"/>
      <c r="Q148" s="478"/>
      <c r="R148" s="478"/>
      <c r="S148" s="249"/>
      <c r="T148" s="267"/>
      <c r="U148" s="267"/>
      <c r="V148" s="267"/>
      <c r="W148" s="249"/>
      <c r="X148" s="249"/>
      <c r="Y148" s="249"/>
      <c r="Z148" s="250"/>
      <c r="AA148" s="266"/>
      <c r="AB148" s="250"/>
      <c r="AC148" s="250"/>
      <c r="AD148" s="250"/>
      <c r="AE148" s="249"/>
      <c r="AF148" s="249"/>
      <c r="AG148" s="249"/>
      <c r="AH148" s="249"/>
      <c r="AI148" s="249"/>
      <c r="AJ148" s="249"/>
      <c r="AK148" s="249"/>
      <c r="AL148" s="249"/>
      <c r="AM148" s="249"/>
      <c r="AN148" s="249"/>
      <c r="AO148" s="249"/>
      <c r="AP148" s="249"/>
    </row>
    <row r="149" spans="1:42" s="66" customFormat="1" x14ac:dyDescent="0.25">
      <c r="A149" s="264"/>
      <c r="B149" s="264"/>
      <c r="C149" s="264"/>
      <c r="D149" s="264"/>
      <c r="E149" s="264"/>
      <c r="F149" s="264"/>
      <c r="G149" s="264"/>
      <c r="H149" s="264"/>
      <c r="I149" s="249"/>
      <c r="J149" s="478"/>
      <c r="K149" s="264"/>
      <c r="L149" s="249"/>
      <c r="M149" s="478"/>
      <c r="N149" s="264"/>
      <c r="O149" s="249"/>
      <c r="P149" s="249"/>
      <c r="Q149" s="478"/>
      <c r="R149" s="478"/>
      <c r="S149" s="249"/>
      <c r="T149" s="267"/>
      <c r="U149" s="267"/>
      <c r="V149" s="267"/>
      <c r="W149" s="249"/>
      <c r="X149" s="249"/>
      <c r="Y149" s="249"/>
      <c r="Z149" s="250"/>
      <c r="AA149" s="266"/>
      <c r="AB149" s="250"/>
      <c r="AC149" s="250"/>
      <c r="AD149" s="250"/>
      <c r="AE149" s="249"/>
      <c r="AF149" s="249"/>
      <c r="AG149" s="249"/>
      <c r="AH149" s="249"/>
      <c r="AI149" s="249"/>
      <c r="AJ149" s="249"/>
      <c r="AK149" s="249"/>
      <c r="AL149" s="249"/>
      <c r="AM149" s="249"/>
      <c r="AN149" s="249"/>
      <c r="AO149" s="249"/>
      <c r="AP149" s="249"/>
    </row>
    <row r="150" spans="1:42" s="66" customFormat="1" x14ac:dyDescent="0.25">
      <c r="A150" s="264"/>
      <c r="B150" s="264"/>
      <c r="C150" s="264"/>
      <c r="D150" s="264"/>
      <c r="E150" s="264"/>
      <c r="F150" s="264"/>
      <c r="G150" s="264"/>
      <c r="H150" s="264"/>
      <c r="I150" s="249"/>
      <c r="J150" s="478"/>
      <c r="K150" s="264"/>
      <c r="L150" s="249"/>
      <c r="M150" s="478"/>
      <c r="N150" s="264"/>
      <c r="O150" s="249"/>
      <c r="P150" s="249"/>
      <c r="Q150" s="478"/>
      <c r="R150" s="478"/>
      <c r="S150" s="249"/>
      <c r="T150" s="267"/>
      <c r="U150" s="267"/>
      <c r="V150" s="267"/>
      <c r="W150" s="249"/>
      <c r="X150" s="249"/>
      <c r="Y150" s="249"/>
      <c r="Z150" s="250"/>
      <c r="AA150" s="266"/>
      <c r="AB150" s="250"/>
      <c r="AC150" s="250"/>
      <c r="AD150" s="250"/>
      <c r="AE150" s="249"/>
      <c r="AF150" s="249"/>
      <c r="AG150" s="249"/>
      <c r="AH150" s="249"/>
      <c r="AI150" s="249"/>
      <c r="AJ150" s="249"/>
      <c r="AK150" s="249"/>
      <c r="AL150" s="249"/>
      <c r="AM150" s="249"/>
      <c r="AN150" s="249"/>
      <c r="AO150" s="249"/>
      <c r="AP150" s="249"/>
    </row>
    <row r="151" spans="1:42" s="66" customFormat="1" x14ac:dyDescent="0.25">
      <c r="A151" s="264"/>
      <c r="B151" s="264"/>
      <c r="C151" s="264"/>
      <c r="D151" s="264"/>
      <c r="E151" s="264"/>
      <c r="F151" s="264"/>
      <c r="G151" s="264"/>
      <c r="H151" s="264"/>
      <c r="I151" s="249"/>
      <c r="J151" s="478"/>
      <c r="K151" s="264"/>
      <c r="L151" s="249"/>
      <c r="M151" s="478"/>
      <c r="N151" s="264"/>
      <c r="O151" s="249"/>
      <c r="P151" s="249"/>
      <c r="Q151" s="478"/>
      <c r="R151" s="478"/>
      <c r="S151" s="249"/>
      <c r="T151" s="267"/>
      <c r="U151" s="267"/>
      <c r="V151" s="267"/>
      <c r="W151" s="249"/>
      <c r="X151" s="249"/>
      <c r="Y151" s="249"/>
      <c r="Z151" s="250"/>
      <c r="AA151" s="266"/>
      <c r="AB151" s="250"/>
      <c r="AC151" s="250"/>
      <c r="AD151" s="250"/>
      <c r="AE151" s="249"/>
      <c r="AF151" s="249"/>
      <c r="AG151" s="249"/>
      <c r="AH151" s="249"/>
      <c r="AI151" s="249"/>
      <c r="AJ151" s="249"/>
      <c r="AK151" s="249"/>
      <c r="AL151" s="249"/>
      <c r="AM151" s="249"/>
      <c r="AN151" s="249"/>
      <c r="AO151" s="249"/>
      <c r="AP151" s="249"/>
    </row>
    <row r="152" spans="1:42" s="66" customFormat="1" x14ac:dyDescent="0.25">
      <c r="A152" s="264"/>
      <c r="B152" s="264"/>
      <c r="C152" s="264"/>
      <c r="D152" s="264"/>
      <c r="E152" s="264"/>
      <c r="F152" s="264"/>
      <c r="G152" s="264"/>
      <c r="H152" s="264"/>
      <c r="I152" s="249"/>
      <c r="J152" s="478"/>
      <c r="K152" s="264"/>
      <c r="L152" s="249"/>
      <c r="M152" s="478"/>
      <c r="N152" s="264"/>
      <c r="O152" s="249"/>
      <c r="P152" s="249"/>
      <c r="Q152" s="478"/>
      <c r="R152" s="478"/>
      <c r="S152" s="249"/>
      <c r="T152" s="267"/>
      <c r="U152" s="267"/>
      <c r="V152" s="267"/>
      <c r="W152" s="249"/>
      <c r="X152" s="249"/>
      <c r="Y152" s="249"/>
      <c r="Z152" s="250"/>
      <c r="AA152" s="266"/>
      <c r="AB152" s="250"/>
      <c r="AC152" s="250"/>
      <c r="AD152" s="250"/>
      <c r="AE152" s="249"/>
      <c r="AF152" s="249"/>
      <c r="AG152" s="249"/>
      <c r="AH152" s="249"/>
      <c r="AI152" s="249"/>
      <c r="AJ152" s="249"/>
      <c r="AK152" s="249"/>
      <c r="AL152" s="249"/>
      <c r="AM152" s="249"/>
      <c r="AN152" s="249"/>
      <c r="AO152" s="249"/>
      <c r="AP152" s="249"/>
    </row>
    <row r="153" spans="1:42" s="66" customFormat="1" x14ac:dyDescent="0.25">
      <c r="A153" s="264"/>
      <c r="B153" s="264"/>
      <c r="C153" s="264"/>
      <c r="D153" s="264"/>
      <c r="E153" s="264"/>
      <c r="F153" s="264"/>
      <c r="G153" s="264"/>
      <c r="H153" s="264"/>
      <c r="I153" s="249"/>
      <c r="J153" s="478"/>
      <c r="K153" s="264"/>
      <c r="L153" s="249"/>
      <c r="M153" s="478"/>
      <c r="N153" s="264"/>
      <c r="O153" s="249"/>
      <c r="P153" s="249"/>
      <c r="Q153" s="478"/>
      <c r="R153" s="478"/>
      <c r="S153" s="249"/>
      <c r="T153" s="267"/>
      <c r="U153" s="267"/>
      <c r="V153" s="267"/>
      <c r="W153" s="249"/>
      <c r="X153" s="249"/>
      <c r="Y153" s="249"/>
      <c r="Z153" s="250"/>
      <c r="AA153" s="266"/>
      <c r="AB153" s="250"/>
      <c r="AC153" s="250"/>
      <c r="AD153" s="250"/>
      <c r="AE153" s="249"/>
      <c r="AF153" s="249"/>
      <c r="AG153" s="249"/>
      <c r="AH153" s="249"/>
      <c r="AI153" s="249"/>
      <c r="AJ153" s="249"/>
      <c r="AK153" s="249"/>
      <c r="AL153" s="249"/>
      <c r="AM153" s="249"/>
      <c r="AN153" s="249"/>
      <c r="AO153" s="249"/>
      <c r="AP153" s="249"/>
    </row>
    <row r="154" spans="1:42" s="66" customFormat="1" x14ac:dyDescent="0.25">
      <c r="A154" s="264"/>
      <c r="B154" s="264"/>
      <c r="C154" s="264"/>
      <c r="D154" s="264"/>
      <c r="E154" s="264"/>
      <c r="F154" s="264"/>
      <c r="G154" s="264"/>
      <c r="H154" s="264"/>
      <c r="I154" s="249"/>
      <c r="J154" s="478"/>
      <c r="K154" s="264"/>
      <c r="L154" s="249"/>
      <c r="M154" s="478"/>
      <c r="N154" s="264"/>
      <c r="O154" s="249"/>
      <c r="P154" s="249"/>
      <c r="Q154" s="478"/>
      <c r="R154" s="478"/>
      <c r="S154" s="249"/>
      <c r="T154" s="267"/>
      <c r="U154" s="267"/>
      <c r="V154" s="267"/>
      <c r="W154" s="249"/>
      <c r="X154" s="249"/>
      <c r="Y154" s="249"/>
      <c r="Z154" s="250"/>
      <c r="AA154" s="266"/>
      <c r="AB154" s="250"/>
      <c r="AC154" s="250"/>
      <c r="AD154" s="250"/>
      <c r="AE154" s="249"/>
      <c r="AF154" s="249"/>
      <c r="AG154" s="249"/>
      <c r="AH154" s="249"/>
      <c r="AI154" s="249"/>
      <c r="AJ154" s="249"/>
      <c r="AK154" s="249"/>
      <c r="AL154" s="249"/>
      <c r="AM154" s="249"/>
      <c r="AN154" s="249"/>
      <c r="AO154" s="249"/>
      <c r="AP154" s="249"/>
    </row>
    <row r="155" spans="1:42" s="66" customFormat="1" x14ac:dyDescent="0.25">
      <c r="A155" s="264"/>
      <c r="B155" s="264"/>
      <c r="C155" s="264"/>
      <c r="D155" s="264"/>
      <c r="E155" s="264"/>
      <c r="F155" s="264"/>
      <c r="G155" s="264"/>
      <c r="H155" s="264"/>
      <c r="I155" s="249"/>
      <c r="J155" s="478"/>
      <c r="K155" s="264"/>
      <c r="L155" s="249"/>
      <c r="M155" s="478"/>
      <c r="N155" s="264"/>
      <c r="O155" s="249"/>
      <c r="P155" s="249"/>
      <c r="Q155" s="478"/>
      <c r="R155" s="478"/>
      <c r="S155" s="249"/>
      <c r="T155" s="267"/>
      <c r="U155" s="267"/>
      <c r="V155" s="267"/>
      <c r="W155" s="249"/>
      <c r="X155" s="249"/>
      <c r="Y155" s="249"/>
      <c r="Z155" s="250"/>
      <c r="AA155" s="266"/>
      <c r="AB155" s="250"/>
      <c r="AC155" s="250"/>
      <c r="AD155" s="250"/>
      <c r="AE155" s="249"/>
      <c r="AF155" s="249"/>
      <c r="AG155" s="249"/>
      <c r="AH155" s="249"/>
      <c r="AI155" s="249"/>
      <c r="AJ155" s="249"/>
      <c r="AK155" s="249"/>
      <c r="AL155" s="249"/>
      <c r="AM155" s="249"/>
      <c r="AN155" s="249"/>
      <c r="AO155" s="249"/>
      <c r="AP155" s="249"/>
    </row>
    <row r="156" spans="1:42" s="66" customFormat="1" x14ac:dyDescent="0.25">
      <c r="A156" s="264"/>
      <c r="B156" s="264"/>
      <c r="C156" s="264"/>
      <c r="D156" s="264"/>
      <c r="E156" s="264"/>
      <c r="F156" s="264"/>
      <c r="G156" s="264"/>
      <c r="H156" s="264"/>
      <c r="I156" s="249"/>
      <c r="J156" s="478"/>
      <c r="K156" s="264"/>
      <c r="L156" s="249"/>
      <c r="M156" s="478"/>
      <c r="N156" s="264"/>
      <c r="O156" s="249"/>
      <c r="P156" s="249"/>
      <c r="Q156" s="478"/>
      <c r="R156" s="478"/>
      <c r="S156" s="249"/>
      <c r="T156" s="267"/>
      <c r="U156" s="267"/>
      <c r="V156" s="267"/>
      <c r="W156" s="249"/>
      <c r="X156" s="249"/>
      <c r="Y156" s="249"/>
      <c r="Z156" s="250"/>
      <c r="AA156" s="266"/>
      <c r="AB156" s="250"/>
      <c r="AC156" s="250"/>
      <c r="AD156" s="250"/>
      <c r="AE156" s="249"/>
      <c r="AF156" s="249"/>
      <c r="AG156" s="249"/>
      <c r="AH156" s="249"/>
      <c r="AI156" s="249"/>
      <c r="AJ156" s="249"/>
      <c r="AK156" s="249"/>
      <c r="AL156" s="249"/>
      <c r="AM156" s="249"/>
      <c r="AN156" s="249"/>
      <c r="AO156" s="249"/>
      <c r="AP156" s="249"/>
    </row>
    <row r="157" spans="1:42" s="66" customFormat="1" x14ac:dyDescent="0.25">
      <c r="A157" s="264"/>
      <c r="B157" s="264"/>
      <c r="C157" s="264"/>
      <c r="D157" s="264"/>
      <c r="E157" s="264"/>
      <c r="F157" s="264"/>
      <c r="G157" s="264"/>
      <c r="H157" s="264"/>
      <c r="I157" s="249"/>
      <c r="J157" s="478"/>
      <c r="K157" s="264"/>
      <c r="L157" s="249"/>
      <c r="M157" s="478"/>
      <c r="N157" s="264"/>
      <c r="O157" s="249"/>
      <c r="P157" s="249"/>
      <c r="Q157" s="478"/>
      <c r="R157" s="478"/>
      <c r="S157" s="249"/>
      <c r="T157" s="267"/>
      <c r="U157" s="267"/>
      <c r="V157" s="267"/>
      <c r="W157" s="249"/>
      <c r="X157" s="249"/>
      <c r="Y157" s="249"/>
      <c r="Z157" s="250"/>
      <c r="AA157" s="266"/>
      <c r="AB157" s="250"/>
      <c r="AC157" s="250"/>
      <c r="AD157" s="250"/>
      <c r="AE157" s="249"/>
      <c r="AF157" s="249"/>
      <c r="AG157" s="249"/>
      <c r="AH157" s="249"/>
      <c r="AI157" s="249"/>
      <c r="AJ157" s="249"/>
      <c r="AK157" s="249"/>
      <c r="AL157" s="249"/>
      <c r="AM157" s="249"/>
      <c r="AN157" s="249"/>
      <c r="AO157" s="249"/>
      <c r="AP157" s="249"/>
    </row>
    <row r="158" spans="1:42" s="66" customFormat="1" x14ac:dyDescent="0.25">
      <c r="A158" s="264"/>
      <c r="B158" s="264"/>
      <c r="C158" s="264"/>
      <c r="D158" s="264"/>
      <c r="E158" s="264"/>
      <c r="F158" s="264"/>
      <c r="G158" s="264"/>
      <c r="H158" s="264"/>
      <c r="I158" s="249"/>
      <c r="J158" s="478"/>
      <c r="K158" s="264"/>
      <c r="L158" s="249"/>
      <c r="M158" s="478"/>
      <c r="N158" s="264"/>
      <c r="O158" s="249"/>
      <c r="P158" s="249"/>
      <c r="Q158" s="478"/>
      <c r="R158" s="478"/>
      <c r="S158" s="249"/>
      <c r="T158" s="267"/>
      <c r="U158" s="267"/>
      <c r="V158" s="267"/>
      <c r="W158" s="249"/>
      <c r="X158" s="249"/>
      <c r="Y158" s="249"/>
      <c r="Z158" s="250"/>
      <c r="AA158" s="266"/>
      <c r="AB158" s="250"/>
      <c r="AC158" s="250"/>
      <c r="AD158" s="250"/>
      <c r="AE158" s="249"/>
      <c r="AF158" s="249"/>
      <c r="AG158" s="249"/>
      <c r="AH158" s="249"/>
      <c r="AI158" s="249"/>
      <c r="AJ158" s="249"/>
      <c r="AK158" s="249"/>
      <c r="AL158" s="249"/>
      <c r="AM158" s="249"/>
      <c r="AN158" s="249"/>
      <c r="AO158" s="249"/>
      <c r="AP158" s="249"/>
    </row>
    <row r="159" spans="1:42" s="66" customFormat="1" x14ac:dyDescent="0.25">
      <c r="A159" s="264"/>
      <c r="B159" s="264"/>
      <c r="C159" s="264"/>
      <c r="D159" s="264"/>
      <c r="E159" s="264"/>
      <c r="F159" s="264"/>
      <c r="G159" s="264"/>
      <c r="H159" s="264"/>
      <c r="I159" s="249"/>
      <c r="J159" s="478"/>
      <c r="K159" s="264"/>
      <c r="L159" s="249"/>
      <c r="M159" s="478"/>
      <c r="N159" s="264"/>
      <c r="O159" s="249"/>
      <c r="P159" s="249"/>
      <c r="Q159" s="478"/>
      <c r="R159" s="478"/>
      <c r="S159" s="249"/>
      <c r="T159" s="267"/>
      <c r="U159" s="267"/>
      <c r="V159" s="267"/>
      <c r="W159" s="249"/>
      <c r="X159" s="249"/>
      <c r="Y159" s="249"/>
      <c r="Z159" s="250"/>
      <c r="AA159" s="266"/>
      <c r="AB159" s="250"/>
      <c r="AC159" s="250"/>
      <c r="AD159" s="250"/>
      <c r="AE159" s="249"/>
      <c r="AF159" s="249"/>
      <c r="AG159" s="249"/>
      <c r="AH159" s="249"/>
      <c r="AI159" s="249"/>
      <c r="AJ159" s="249"/>
      <c r="AK159" s="249"/>
      <c r="AL159" s="249"/>
      <c r="AM159" s="249"/>
      <c r="AN159" s="249"/>
      <c r="AO159" s="249"/>
      <c r="AP159" s="249"/>
    </row>
    <row r="160" spans="1:42" s="66" customFormat="1" x14ac:dyDescent="0.25">
      <c r="A160" s="264"/>
      <c r="B160" s="264"/>
      <c r="C160" s="264"/>
      <c r="D160" s="264"/>
      <c r="E160" s="264"/>
      <c r="F160" s="264"/>
      <c r="G160" s="264"/>
      <c r="H160" s="264"/>
      <c r="I160" s="249"/>
      <c r="J160" s="478"/>
      <c r="K160" s="264"/>
      <c r="L160" s="249"/>
      <c r="M160" s="478"/>
      <c r="N160" s="264"/>
      <c r="O160" s="249"/>
      <c r="P160" s="249"/>
      <c r="Q160" s="478"/>
      <c r="R160" s="478"/>
      <c r="S160" s="249"/>
      <c r="T160" s="267"/>
      <c r="U160" s="267"/>
      <c r="V160" s="267"/>
      <c r="W160" s="249"/>
      <c r="X160" s="249"/>
      <c r="Y160" s="249"/>
      <c r="Z160" s="250"/>
      <c r="AA160" s="266"/>
      <c r="AB160" s="250"/>
      <c r="AC160" s="250"/>
      <c r="AD160" s="250"/>
      <c r="AE160" s="249"/>
      <c r="AF160" s="249"/>
      <c r="AG160" s="249"/>
      <c r="AH160" s="249"/>
      <c r="AI160" s="249"/>
      <c r="AJ160" s="249"/>
      <c r="AK160" s="249"/>
      <c r="AL160" s="249"/>
      <c r="AM160" s="249"/>
      <c r="AN160" s="249"/>
      <c r="AO160" s="249"/>
      <c r="AP160" s="249"/>
    </row>
    <row r="161" spans="1:42" s="66" customFormat="1" x14ac:dyDescent="0.25">
      <c r="A161" s="264"/>
      <c r="B161" s="264"/>
      <c r="C161" s="264"/>
      <c r="D161" s="264"/>
      <c r="E161" s="264"/>
      <c r="F161" s="264"/>
      <c r="G161" s="264"/>
      <c r="H161" s="264"/>
      <c r="I161" s="249"/>
      <c r="J161" s="478"/>
      <c r="K161" s="264"/>
      <c r="L161" s="249"/>
      <c r="M161" s="478"/>
      <c r="N161" s="264"/>
      <c r="O161" s="249"/>
      <c r="P161" s="249"/>
      <c r="Q161" s="478"/>
      <c r="R161" s="478"/>
      <c r="S161" s="249"/>
      <c r="T161" s="267"/>
      <c r="U161" s="267"/>
      <c r="V161" s="267"/>
      <c r="W161" s="249"/>
      <c r="X161" s="249"/>
      <c r="Y161" s="249"/>
      <c r="Z161" s="250"/>
      <c r="AA161" s="266"/>
      <c r="AB161" s="250"/>
      <c r="AC161" s="250"/>
      <c r="AD161" s="250"/>
      <c r="AE161" s="249"/>
      <c r="AF161" s="249"/>
      <c r="AG161" s="249"/>
      <c r="AH161" s="249"/>
      <c r="AI161" s="249"/>
      <c r="AJ161" s="249"/>
      <c r="AK161" s="249"/>
      <c r="AL161" s="249"/>
      <c r="AM161" s="249"/>
      <c r="AN161" s="249"/>
      <c r="AO161" s="249"/>
      <c r="AP161" s="249"/>
    </row>
    <row r="162" spans="1:42" s="66" customFormat="1" x14ac:dyDescent="0.25">
      <c r="A162" s="264"/>
      <c r="B162" s="264"/>
      <c r="C162" s="264"/>
      <c r="D162" s="264"/>
      <c r="E162" s="264"/>
      <c r="F162" s="264"/>
      <c r="G162" s="264"/>
      <c r="H162" s="264"/>
      <c r="I162" s="249"/>
      <c r="J162" s="478"/>
      <c r="K162" s="264"/>
      <c r="L162" s="249"/>
      <c r="M162" s="478"/>
      <c r="N162" s="264"/>
      <c r="O162" s="249"/>
      <c r="P162" s="249"/>
      <c r="Q162" s="478"/>
      <c r="R162" s="478"/>
      <c r="S162" s="249"/>
      <c r="T162" s="267"/>
      <c r="U162" s="267"/>
      <c r="V162" s="267"/>
      <c r="W162" s="249"/>
      <c r="X162" s="249"/>
      <c r="Y162" s="249"/>
      <c r="Z162" s="250"/>
      <c r="AA162" s="266"/>
      <c r="AB162" s="250"/>
      <c r="AC162" s="250"/>
      <c r="AD162" s="250"/>
      <c r="AE162" s="249"/>
      <c r="AF162" s="249"/>
      <c r="AG162" s="249"/>
      <c r="AH162" s="249"/>
      <c r="AI162" s="249"/>
      <c r="AJ162" s="249"/>
      <c r="AK162" s="249"/>
      <c r="AL162" s="249"/>
      <c r="AM162" s="249"/>
      <c r="AN162" s="249"/>
      <c r="AO162" s="249"/>
      <c r="AP162" s="249"/>
    </row>
    <row r="163" spans="1:42" s="66" customFormat="1" x14ac:dyDescent="0.25">
      <c r="A163" s="264"/>
      <c r="B163" s="264"/>
      <c r="C163" s="264"/>
      <c r="D163" s="264"/>
      <c r="E163" s="264"/>
      <c r="F163" s="264"/>
      <c r="G163" s="264"/>
      <c r="H163" s="264"/>
      <c r="I163" s="249"/>
      <c r="J163" s="478"/>
      <c r="K163" s="264"/>
      <c r="L163" s="249"/>
      <c r="M163" s="478"/>
      <c r="N163" s="264"/>
      <c r="O163" s="249"/>
      <c r="P163" s="249"/>
      <c r="Q163" s="478"/>
      <c r="R163" s="478"/>
      <c r="S163" s="249"/>
      <c r="T163" s="267"/>
      <c r="U163" s="267"/>
      <c r="V163" s="267"/>
      <c r="W163" s="249"/>
      <c r="X163" s="249"/>
      <c r="Y163" s="249"/>
      <c r="Z163" s="250"/>
      <c r="AA163" s="266"/>
      <c r="AB163" s="250"/>
      <c r="AC163" s="250"/>
      <c r="AD163" s="250"/>
      <c r="AE163" s="249"/>
      <c r="AF163" s="249"/>
      <c r="AG163" s="249"/>
      <c r="AH163" s="249"/>
      <c r="AI163" s="249"/>
      <c r="AJ163" s="249"/>
      <c r="AK163" s="249"/>
      <c r="AL163" s="249"/>
      <c r="AM163" s="249"/>
      <c r="AN163" s="249"/>
      <c r="AO163" s="249"/>
      <c r="AP163" s="249"/>
    </row>
    <row r="164" spans="1:42" s="66" customFormat="1" x14ac:dyDescent="0.25">
      <c r="A164" s="264"/>
      <c r="B164" s="264"/>
      <c r="C164" s="264"/>
      <c r="D164" s="264"/>
      <c r="E164" s="264"/>
      <c r="F164" s="264"/>
      <c r="G164" s="264"/>
      <c r="H164" s="264"/>
      <c r="I164" s="249"/>
      <c r="J164" s="478"/>
      <c r="K164" s="264"/>
      <c r="L164" s="249"/>
      <c r="M164" s="478"/>
      <c r="N164" s="264"/>
      <c r="O164" s="249"/>
      <c r="P164" s="249"/>
      <c r="Q164" s="478"/>
      <c r="R164" s="478"/>
      <c r="S164" s="249"/>
      <c r="T164" s="267"/>
      <c r="U164" s="267"/>
      <c r="V164" s="267"/>
      <c r="W164" s="249"/>
      <c r="X164" s="249"/>
      <c r="Y164" s="249"/>
      <c r="Z164" s="250"/>
      <c r="AA164" s="266"/>
      <c r="AB164" s="250"/>
      <c r="AC164" s="250"/>
      <c r="AD164" s="250"/>
      <c r="AE164" s="249"/>
      <c r="AF164" s="249"/>
      <c r="AG164" s="249"/>
      <c r="AH164" s="249"/>
      <c r="AI164" s="249"/>
      <c r="AJ164" s="249"/>
      <c r="AK164" s="249"/>
      <c r="AL164" s="249"/>
      <c r="AM164" s="249"/>
      <c r="AN164" s="249"/>
      <c r="AO164" s="249"/>
      <c r="AP164" s="249"/>
    </row>
    <row r="165" spans="1:42" s="66" customFormat="1" x14ac:dyDescent="0.25">
      <c r="A165" s="264"/>
      <c r="B165" s="264"/>
      <c r="C165" s="264"/>
      <c r="D165" s="264"/>
      <c r="E165" s="264"/>
      <c r="F165" s="264"/>
      <c r="G165" s="264"/>
      <c r="H165" s="264"/>
      <c r="I165" s="249"/>
      <c r="J165" s="478"/>
      <c r="K165" s="264"/>
      <c r="L165" s="249"/>
      <c r="M165" s="478"/>
      <c r="N165" s="264"/>
      <c r="O165" s="249"/>
      <c r="P165" s="249"/>
      <c r="Q165" s="478"/>
      <c r="R165" s="478"/>
      <c r="S165" s="249"/>
      <c r="T165" s="267"/>
      <c r="U165" s="267"/>
      <c r="V165" s="267"/>
      <c r="W165" s="249"/>
      <c r="X165" s="249"/>
      <c r="Y165" s="249"/>
      <c r="Z165" s="250"/>
      <c r="AA165" s="266"/>
      <c r="AB165" s="250"/>
      <c r="AC165" s="250"/>
      <c r="AD165" s="250"/>
      <c r="AE165" s="249"/>
      <c r="AF165" s="249"/>
      <c r="AG165" s="249"/>
      <c r="AH165" s="249"/>
      <c r="AI165" s="249"/>
      <c r="AJ165" s="249"/>
      <c r="AK165" s="249"/>
      <c r="AL165" s="249"/>
      <c r="AM165" s="249"/>
      <c r="AN165" s="249"/>
      <c r="AO165" s="249"/>
      <c r="AP165" s="249"/>
    </row>
    <row r="166" spans="1:42" s="66" customFormat="1" x14ac:dyDescent="0.25">
      <c r="A166" s="264"/>
      <c r="B166" s="264"/>
      <c r="C166" s="264"/>
      <c r="D166" s="264"/>
      <c r="E166" s="264"/>
      <c r="F166" s="264"/>
      <c r="G166" s="264"/>
      <c r="H166" s="264"/>
      <c r="I166" s="249"/>
      <c r="J166" s="478"/>
      <c r="K166" s="264"/>
      <c r="L166" s="249"/>
      <c r="M166" s="478"/>
      <c r="N166" s="264"/>
      <c r="O166" s="249"/>
      <c r="P166" s="249"/>
      <c r="Q166" s="478"/>
      <c r="R166" s="478"/>
      <c r="S166" s="249"/>
      <c r="T166" s="267"/>
      <c r="U166" s="267"/>
      <c r="V166" s="267"/>
      <c r="W166" s="249"/>
      <c r="X166" s="249"/>
      <c r="Y166" s="249"/>
      <c r="Z166" s="250"/>
      <c r="AA166" s="266"/>
      <c r="AB166" s="250"/>
      <c r="AC166" s="250"/>
      <c r="AD166" s="250"/>
      <c r="AE166" s="249"/>
      <c r="AF166" s="249"/>
      <c r="AG166" s="249"/>
      <c r="AH166" s="249"/>
      <c r="AI166" s="249"/>
      <c r="AJ166" s="249"/>
      <c r="AK166" s="249"/>
      <c r="AL166" s="249"/>
      <c r="AM166" s="249"/>
      <c r="AN166" s="249"/>
      <c r="AO166" s="249"/>
      <c r="AP166" s="249"/>
    </row>
    <row r="167" spans="1:42" s="66" customFormat="1" x14ac:dyDescent="0.25">
      <c r="A167" s="264"/>
      <c r="B167" s="264"/>
      <c r="C167" s="264"/>
      <c r="D167" s="264"/>
      <c r="E167" s="264"/>
      <c r="F167" s="264"/>
      <c r="G167" s="264"/>
      <c r="H167" s="264"/>
      <c r="I167" s="249"/>
      <c r="J167" s="478"/>
      <c r="K167" s="264"/>
      <c r="L167" s="249"/>
      <c r="M167" s="478"/>
      <c r="N167" s="264"/>
      <c r="O167" s="249"/>
      <c r="P167" s="249"/>
      <c r="Q167" s="478"/>
      <c r="R167" s="478"/>
      <c r="S167" s="249"/>
      <c r="T167" s="267"/>
      <c r="U167" s="267"/>
      <c r="V167" s="267"/>
      <c r="W167" s="249"/>
      <c r="X167" s="249"/>
      <c r="Y167" s="249"/>
      <c r="Z167" s="250"/>
      <c r="AA167" s="266"/>
      <c r="AB167" s="250"/>
      <c r="AC167" s="250"/>
      <c r="AD167" s="250"/>
      <c r="AE167" s="249"/>
      <c r="AF167" s="249"/>
      <c r="AG167" s="249"/>
      <c r="AH167" s="249"/>
      <c r="AI167" s="249"/>
      <c r="AJ167" s="249"/>
      <c r="AK167" s="249"/>
      <c r="AL167" s="249"/>
      <c r="AM167" s="249"/>
      <c r="AN167" s="249"/>
      <c r="AO167" s="249"/>
      <c r="AP167" s="249"/>
    </row>
    <row r="168" spans="1:42" s="66" customFormat="1" x14ac:dyDescent="0.25">
      <c r="A168" s="264"/>
      <c r="B168" s="264"/>
      <c r="C168" s="264"/>
      <c r="D168" s="264"/>
      <c r="E168" s="264"/>
      <c r="F168" s="264"/>
      <c r="G168" s="264"/>
      <c r="H168" s="264"/>
      <c r="I168" s="249"/>
      <c r="J168" s="478"/>
      <c r="K168" s="264"/>
      <c r="L168" s="249"/>
      <c r="M168" s="478"/>
      <c r="N168" s="264"/>
      <c r="O168" s="249"/>
      <c r="P168" s="249"/>
      <c r="Q168" s="478"/>
      <c r="R168" s="478"/>
      <c r="S168" s="249"/>
      <c r="T168" s="267"/>
      <c r="U168" s="267"/>
      <c r="V168" s="267"/>
      <c r="W168" s="249"/>
      <c r="X168" s="249"/>
      <c r="Y168" s="249"/>
      <c r="Z168" s="250"/>
      <c r="AA168" s="266"/>
      <c r="AB168" s="250"/>
      <c r="AC168" s="250"/>
      <c r="AD168" s="250"/>
      <c r="AE168" s="249"/>
      <c r="AF168" s="249"/>
      <c r="AG168" s="249"/>
      <c r="AH168" s="249"/>
      <c r="AI168" s="249"/>
      <c r="AJ168" s="249"/>
      <c r="AK168" s="249"/>
      <c r="AL168" s="249"/>
      <c r="AM168" s="249"/>
      <c r="AN168" s="249"/>
      <c r="AO168" s="249"/>
      <c r="AP168" s="249"/>
    </row>
    <row r="169" spans="1:42" s="66" customFormat="1" x14ac:dyDescent="0.25">
      <c r="A169" s="264"/>
      <c r="B169" s="264"/>
      <c r="C169" s="264"/>
      <c r="D169" s="264"/>
      <c r="E169" s="264"/>
      <c r="F169" s="264"/>
      <c r="G169" s="264"/>
      <c r="H169" s="264"/>
      <c r="I169" s="249"/>
      <c r="J169" s="478"/>
      <c r="K169" s="264"/>
      <c r="L169" s="249"/>
      <c r="M169" s="478"/>
      <c r="N169" s="264"/>
      <c r="O169" s="249"/>
      <c r="P169" s="249"/>
      <c r="Q169" s="478"/>
      <c r="R169" s="478"/>
      <c r="S169" s="249"/>
      <c r="T169" s="267"/>
      <c r="U169" s="267"/>
      <c r="V169" s="267"/>
      <c r="W169" s="249"/>
      <c r="X169" s="249"/>
      <c r="Y169" s="249"/>
      <c r="Z169" s="250"/>
      <c r="AA169" s="266"/>
      <c r="AB169" s="250"/>
      <c r="AC169" s="250"/>
      <c r="AD169" s="250"/>
      <c r="AE169" s="249"/>
      <c r="AF169" s="249"/>
      <c r="AG169" s="249"/>
      <c r="AH169" s="249"/>
      <c r="AI169" s="249"/>
      <c r="AJ169" s="249"/>
      <c r="AK169" s="249"/>
      <c r="AL169" s="249"/>
      <c r="AM169" s="249"/>
      <c r="AN169" s="249"/>
      <c r="AO169" s="249"/>
      <c r="AP169" s="249"/>
    </row>
    <row r="170" spans="1:42" s="66" customFormat="1" x14ac:dyDescent="0.25">
      <c r="A170" s="264"/>
      <c r="B170" s="264"/>
      <c r="C170" s="264"/>
      <c r="D170" s="264"/>
      <c r="E170" s="264"/>
      <c r="F170" s="264"/>
      <c r="G170" s="264"/>
      <c r="H170" s="264"/>
      <c r="I170" s="249"/>
      <c r="J170" s="478"/>
      <c r="K170" s="264"/>
      <c r="L170" s="249"/>
      <c r="M170" s="478"/>
      <c r="N170" s="264"/>
      <c r="O170" s="249"/>
      <c r="P170" s="249"/>
      <c r="Q170" s="478"/>
      <c r="R170" s="478"/>
      <c r="S170" s="249"/>
      <c r="T170" s="267"/>
      <c r="U170" s="267"/>
      <c r="V170" s="267"/>
      <c r="W170" s="249"/>
      <c r="X170" s="249"/>
      <c r="Y170" s="249"/>
      <c r="Z170" s="250"/>
      <c r="AA170" s="266"/>
      <c r="AB170" s="250"/>
      <c r="AC170" s="250"/>
      <c r="AD170" s="250"/>
      <c r="AE170" s="249"/>
      <c r="AF170" s="249"/>
      <c r="AG170" s="249"/>
      <c r="AH170" s="249"/>
      <c r="AI170" s="249"/>
      <c r="AJ170" s="249"/>
      <c r="AK170" s="249"/>
      <c r="AL170" s="249"/>
      <c r="AM170" s="249"/>
      <c r="AN170" s="249"/>
      <c r="AO170" s="249"/>
      <c r="AP170" s="249"/>
    </row>
    <row r="171" spans="1:42" s="66" customFormat="1" x14ac:dyDescent="0.25">
      <c r="A171" s="264"/>
      <c r="B171" s="264"/>
      <c r="C171" s="264"/>
      <c r="D171" s="264"/>
      <c r="E171" s="264"/>
      <c r="F171" s="264"/>
      <c r="G171" s="264"/>
      <c r="H171" s="264"/>
      <c r="I171" s="249"/>
      <c r="J171" s="478"/>
      <c r="K171" s="264"/>
      <c r="L171" s="249"/>
      <c r="M171" s="478"/>
      <c r="N171" s="264"/>
      <c r="O171" s="249"/>
      <c r="P171" s="249"/>
      <c r="Q171" s="478"/>
      <c r="R171" s="478"/>
      <c r="S171" s="249"/>
      <c r="T171" s="267"/>
      <c r="U171" s="267"/>
      <c r="V171" s="267"/>
      <c r="W171" s="249"/>
      <c r="X171" s="249"/>
      <c r="Y171" s="249"/>
      <c r="Z171" s="250"/>
      <c r="AA171" s="266"/>
      <c r="AB171" s="250"/>
      <c r="AC171" s="250"/>
      <c r="AD171" s="250"/>
      <c r="AE171" s="249"/>
      <c r="AF171" s="249"/>
      <c r="AG171" s="249"/>
      <c r="AH171" s="249"/>
      <c r="AI171" s="249"/>
      <c r="AJ171" s="249"/>
      <c r="AK171" s="249"/>
      <c r="AL171" s="249"/>
      <c r="AM171" s="249"/>
      <c r="AN171" s="249"/>
      <c r="AO171" s="249"/>
      <c r="AP171" s="249"/>
    </row>
    <row r="172" spans="1:42" s="66" customFormat="1" x14ac:dyDescent="0.25">
      <c r="A172" s="264"/>
      <c r="B172" s="264"/>
      <c r="C172" s="264"/>
      <c r="D172" s="264"/>
      <c r="E172" s="264"/>
      <c r="F172" s="264"/>
      <c r="G172" s="264"/>
      <c r="H172" s="264"/>
      <c r="I172" s="249"/>
      <c r="J172" s="478"/>
      <c r="K172" s="264"/>
      <c r="L172" s="249"/>
      <c r="M172" s="478"/>
      <c r="N172" s="264"/>
      <c r="O172" s="249"/>
      <c r="P172" s="249"/>
      <c r="Q172" s="478"/>
      <c r="R172" s="478"/>
      <c r="S172" s="249"/>
      <c r="T172" s="267"/>
      <c r="U172" s="267"/>
      <c r="V172" s="267"/>
      <c r="W172" s="249"/>
      <c r="X172" s="249"/>
      <c r="Y172" s="249"/>
      <c r="Z172" s="250"/>
      <c r="AA172" s="266"/>
      <c r="AB172" s="250"/>
      <c r="AC172" s="250"/>
      <c r="AD172" s="250"/>
      <c r="AE172" s="249"/>
      <c r="AF172" s="249"/>
      <c r="AG172" s="249"/>
      <c r="AH172" s="249"/>
      <c r="AI172" s="249"/>
      <c r="AJ172" s="249"/>
      <c r="AK172" s="249"/>
      <c r="AL172" s="249"/>
      <c r="AM172" s="249"/>
      <c r="AN172" s="249"/>
      <c r="AO172" s="249"/>
      <c r="AP172" s="249"/>
    </row>
    <row r="173" spans="1:42" s="66" customFormat="1" x14ac:dyDescent="0.25">
      <c r="A173" s="264"/>
      <c r="B173" s="264"/>
      <c r="C173" s="264"/>
      <c r="D173" s="264"/>
      <c r="E173" s="264"/>
      <c r="F173" s="264"/>
      <c r="G173" s="264"/>
      <c r="H173" s="264"/>
      <c r="I173" s="249"/>
      <c r="J173" s="478"/>
      <c r="K173" s="264"/>
      <c r="L173" s="249"/>
      <c r="M173" s="478"/>
      <c r="N173" s="264"/>
      <c r="O173" s="249"/>
      <c r="P173" s="249"/>
      <c r="Q173" s="478"/>
      <c r="R173" s="478"/>
      <c r="S173" s="249"/>
      <c r="T173" s="267"/>
      <c r="U173" s="267"/>
      <c r="V173" s="267"/>
      <c r="W173" s="249"/>
      <c r="X173" s="249"/>
      <c r="Y173" s="249"/>
      <c r="Z173" s="250"/>
      <c r="AA173" s="266"/>
      <c r="AB173" s="250"/>
      <c r="AC173" s="250"/>
      <c r="AD173" s="250"/>
      <c r="AE173" s="249"/>
      <c r="AF173" s="249"/>
      <c r="AG173" s="249"/>
      <c r="AH173" s="249"/>
      <c r="AI173" s="249"/>
      <c r="AJ173" s="249"/>
      <c r="AK173" s="249"/>
      <c r="AL173" s="249"/>
      <c r="AM173" s="249"/>
      <c r="AN173" s="249"/>
      <c r="AO173" s="249"/>
      <c r="AP173" s="249"/>
    </row>
    <row r="174" spans="1:42" s="66" customFormat="1" x14ac:dyDescent="0.25">
      <c r="A174" s="264"/>
      <c r="B174" s="264"/>
      <c r="C174" s="264"/>
      <c r="D174" s="264"/>
      <c r="E174" s="264"/>
      <c r="F174" s="264"/>
      <c r="G174" s="264"/>
      <c r="H174" s="264"/>
      <c r="I174" s="249"/>
      <c r="J174" s="478"/>
      <c r="K174" s="264"/>
      <c r="L174" s="249"/>
      <c r="M174" s="478"/>
      <c r="N174" s="264"/>
      <c r="O174" s="249"/>
      <c r="P174" s="249"/>
      <c r="Q174" s="478"/>
      <c r="R174" s="478"/>
      <c r="S174" s="249"/>
      <c r="T174" s="267"/>
      <c r="U174" s="267"/>
      <c r="V174" s="267"/>
      <c r="W174" s="249"/>
      <c r="X174" s="249"/>
      <c r="Y174" s="249"/>
      <c r="Z174" s="250"/>
      <c r="AA174" s="266"/>
      <c r="AB174" s="250"/>
      <c r="AC174" s="250"/>
      <c r="AD174" s="250"/>
      <c r="AE174" s="249"/>
      <c r="AF174" s="249"/>
      <c r="AG174" s="249"/>
      <c r="AH174" s="249"/>
      <c r="AI174" s="249"/>
      <c r="AJ174" s="249"/>
      <c r="AK174" s="249"/>
      <c r="AL174" s="249"/>
      <c r="AM174" s="249"/>
      <c r="AN174" s="249"/>
      <c r="AO174" s="249"/>
      <c r="AP174" s="249"/>
    </row>
    <row r="175" spans="1:42" s="66" customFormat="1" x14ac:dyDescent="0.25">
      <c r="A175" s="264"/>
      <c r="B175" s="264"/>
      <c r="C175" s="264"/>
      <c r="D175" s="264"/>
      <c r="E175" s="264"/>
      <c r="F175" s="264"/>
      <c r="G175" s="264"/>
      <c r="H175" s="264"/>
      <c r="I175" s="249"/>
      <c r="J175" s="478"/>
      <c r="K175" s="264"/>
      <c r="L175" s="249"/>
      <c r="M175" s="478"/>
      <c r="N175" s="264"/>
      <c r="O175" s="249"/>
      <c r="P175" s="249"/>
      <c r="Q175" s="478"/>
      <c r="R175" s="478"/>
      <c r="S175" s="249"/>
      <c r="T175" s="267"/>
      <c r="U175" s="267"/>
      <c r="V175" s="267"/>
      <c r="W175" s="249"/>
      <c r="X175" s="249"/>
      <c r="Y175" s="249"/>
      <c r="Z175" s="250"/>
      <c r="AA175" s="266"/>
      <c r="AB175" s="250"/>
      <c r="AC175" s="250"/>
      <c r="AD175" s="250"/>
      <c r="AE175" s="249"/>
      <c r="AF175" s="249"/>
      <c r="AG175" s="249"/>
      <c r="AH175" s="249"/>
      <c r="AI175" s="249"/>
      <c r="AJ175" s="249"/>
      <c r="AK175" s="249"/>
      <c r="AL175" s="249"/>
      <c r="AM175" s="249"/>
      <c r="AN175" s="249"/>
      <c r="AO175" s="249"/>
      <c r="AP175" s="249"/>
    </row>
    <row r="176" spans="1:42" s="66" customFormat="1" x14ac:dyDescent="0.25">
      <c r="A176" s="264"/>
      <c r="B176" s="264"/>
      <c r="C176" s="264"/>
      <c r="D176" s="264"/>
      <c r="E176" s="264"/>
      <c r="F176" s="264"/>
      <c r="G176" s="264"/>
      <c r="H176" s="264"/>
      <c r="I176" s="249"/>
      <c r="J176" s="478"/>
      <c r="K176" s="264"/>
      <c r="L176" s="249"/>
      <c r="M176" s="478"/>
      <c r="N176" s="264"/>
      <c r="O176" s="249"/>
      <c r="P176" s="249"/>
      <c r="Q176" s="478"/>
      <c r="R176" s="478"/>
      <c r="S176" s="249"/>
      <c r="T176" s="267"/>
      <c r="U176" s="267"/>
      <c r="V176" s="267"/>
      <c r="W176" s="249"/>
      <c r="X176" s="249"/>
      <c r="Y176" s="249"/>
      <c r="Z176" s="250"/>
      <c r="AA176" s="266"/>
      <c r="AB176" s="250"/>
      <c r="AC176" s="250"/>
      <c r="AD176" s="250"/>
      <c r="AE176" s="249"/>
      <c r="AF176" s="249"/>
      <c r="AG176" s="249"/>
      <c r="AH176" s="249"/>
      <c r="AI176" s="249"/>
      <c r="AJ176" s="249"/>
      <c r="AK176" s="249"/>
      <c r="AL176" s="249"/>
      <c r="AM176" s="249"/>
      <c r="AN176" s="249"/>
      <c r="AO176" s="249"/>
      <c r="AP176" s="249"/>
    </row>
    <row r="177" spans="1:42" s="66" customFormat="1" x14ac:dyDescent="0.25">
      <c r="A177" s="264"/>
      <c r="B177" s="264"/>
      <c r="C177" s="264"/>
      <c r="D177" s="264"/>
      <c r="E177" s="264"/>
      <c r="F177" s="264"/>
      <c r="G177" s="264"/>
      <c r="H177" s="264"/>
      <c r="I177" s="249"/>
      <c r="J177" s="478"/>
      <c r="K177" s="264"/>
      <c r="L177" s="249"/>
      <c r="M177" s="478"/>
      <c r="N177" s="264"/>
      <c r="O177" s="249"/>
      <c r="P177" s="249"/>
      <c r="Q177" s="478"/>
      <c r="R177" s="478"/>
      <c r="S177" s="249"/>
      <c r="T177" s="267"/>
      <c r="U177" s="267"/>
      <c r="V177" s="267"/>
      <c r="W177" s="249"/>
      <c r="X177" s="249"/>
      <c r="Y177" s="249"/>
      <c r="Z177" s="250"/>
      <c r="AA177" s="266"/>
      <c r="AB177" s="250"/>
      <c r="AC177" s="250"/>
      <c r="AD177" s="250"/>
      <c r="AE177" s="249"/>
      <c r="AF177" s="249"/>
      <c r="AG177" s="249"/>
      <c r="AH177" s="249"/>
      <c r="AI177" s="249"/>
      <c r="AJ177" s="249"/>
      <c r="AK177" s="249"/>
      <c r="AL177" s="249"/>
      <c r="AM177" s="249"/>
      <c r="AN177" s="249"/>
      <c r="AO177" s="249"/>
      <c r="AP177" s="249"/>
    </row>
    <row r="178" spans="1:42" s="66" customFormat="1" x14ac:dyDescent="0.25">
      <c r="A178" s="264"/>
      <c r="B178" s="264"/>
      <c r="C178" s="264"/>
      <c r="D178" s="264"/>
      <c r="E178" s="264"/>
      <c r="F178" s="264"/>
      <c r="G178" s="264"/>
      <c r="H178" s="264"/>
      <c r="I178" s="249"/>
      <c r="J178" s="478"/>
      <c r="K178" s="264"/>
      <c r="L178" s="249"/>
      <c r="M178" s="478"/>
      <c r="N178" s="264"/>
      <c r="O178" s="249"/>
      <c r="P178" s="249"/>
      <c r="Q178" s="478"/>
      <c r="R178" s="478"/>
      <c r="S178" s="249"/>
      <c r="T178" s="267"/>
      <c r="U178" s="267"/>
      <c r="V178" s="267"/>
      <c r="W178" s="249"/>
      <c r="X178" s="249"/>
      <c r="Y178" s="249"/>
      <c r="Z178" s="250"/>
      <c r="AA178" s="266"/>
      <c r="AB178" s="250"/>
      <c r="AC178" s="250"/>
      <c r="AD178" s="250"/>
      <c r="AE178" s="249"/>
      <c r="AF178" s="249"/>
      <c r="AG178" s="249"/>
      <c r="AH178" s="249"/>
      <c r="AI178" s="249"/>
      <c r="AJ178" s="249"/>
      <c r="AK178" s="249"/>
      <c r="AL178" s="249"/>
      <c r="AM178" s="249"/>
      <c r="AN178" s="249"/>
      <c r="AO178" s="249"/>
      <c r="AP178" s="249"/>
    </row>
    <row r="179" spans="1:42" s="66" customFormat="1" x14ac:dyDescent="0.25">
      <c r="A179" s="264"/>
      <c r="B179" s="264"/>
      <c r="C179" s="264"/>
      <c r="D179" s="264"/>
      <c r="E179" s="264"/>
      <c r="F179" s="264"/>
      <c r="G179" s="264"/>
      <c r="H179" s="264"/>
      <c r="I179" s="249"/>
      <c r="J179" s="478"/>
      <c r="K179" s="264"/>
      <c r="L179" s="249"/>
      <c r="M179" s="478"/>
      <c r="N179" s="264"/>
      <c r="O179" s="249"/>
      <c r="P179" s="249"/>
      <c r="Q179" s="478"/>
      <c r="R179" s="478"/>
      <c r="S179" s="249"/>
      <c r="T179" s="267"/>
      <c r="U179" s="267"/>
      <c r="V179" s="267"/>
      <c r="W179" s="249"/>
      <c r="X179" s="249"/>
      <c r="Y179" s="249"/>
      <c r="Z179" s="250"/>
      <c r="AA179" s="266"/>
      <c r="AB179" s="250"/>
      <c r="AC179" s="250"/>
      <c r="AD179" s="250"/>
      <c r="AE179" s="249"/>
      <c r="AF179" s="249"/>
      <c r="AG179" s="249"/>
      <c r="AH179" s="249"/>
      <c r="AI179" s="249"/>
      <c r="AJ179" s="249"/>
      <c r="AK179" s="249"/>
      <c r="AL179" s="249"/>
      <c r="AM179" s="249"/>
      <c r="AN179" s="249"/>
      <c r="AO179" s="249"/>
      <c r="AP179" s="249"/>
    </row>
    <row r="180" spans="1:42" s="66" customFormat="1" x14ac:dyDescent="0.25">
      <c r="A180" s="264"/>
      <c r="B180" s="264"/>
      <c r="C180" s="264"/>
      <c r="D180" s="264"/>
      <c r="E180" s="264"/>
      <c r="F180" s="264"/>
      <c r="G180" s="264"/>
      <c r="H180" s="264"/>
      <c r="I180" s="249"/>
      <c r="J180" s="478"/>
      <c r="K180" s="264"/>
      <c r="L180" s="249"/>
      <c r="M180" s="478"/>
      <c r="N180" s="264"/>
      <c r="O180" s="249"/>
      <c r="P180" s="249"/>
      <c r="Q180" s="478"/>
      <c r="R180" s="478"/>
      <c r="S180" s="249"/>
      <c r="T180" s="267"/>
      <c r="U180" s="267"/>
      <c r="V180" s="267"/>
      <c r="W180" s="249"/>
      <c r="X180" s="249"/>
      <c r="Y180" s="249"/>
      <c r="Z180" s="250"/>
      <c r="AA180" s="266"/>
      <c r="AB180" s="250"/>
      <c r="AC180" s="250"/>
      <c r="AD180" s="250"/>
      <c r="AE180" s="249"/>
      <c r="AF180" s="249"/>
      <c r="AG180" s="249"/>
      <c r="AH180" s="249"/>
      <c r="AI180" s="249"/>
      <c r="AJ180" s="249"/>
      <c r="AK180" s="249"/>
      <c r="AL180" s="249"/>
      <c r="AM180" s="249"/>
      <c r="AN180" s="249"/>
      <c r="AO180" s="249"/>
      <c r="AP180" s="249"/>
    </row>
    <row r="181" spans="1:42" s="66" customFormat="1" x14ac:dyDescent="0.25">
      <c r="A181" s="264"/>
      <c r="B181" s="264"/>
      <c r="C181" s="264"/>
      <c r="D181" s="264"/>
      <c r="E181" s="264"/>
      <c r="F181" s="264"/>
      <c r="G181" s="264"/>
      <c r="H181" s="264"/>
      <c r="I181" s="249"/>
      <c r="J181" s="478"/>
      <c r="K181" s="264"/>
      <c r="L181" s="249"/>
      <c r="M181" s="478"/>
      <c r="N181" s="264"/>
      <c r="O181" s="249"/>
      <c r="P181" s="249"/>
      <c r="Q181" s="478"/>
      <c r="R181" s="478"/>
      <c r="S181" s="249"/>
      <c r="T181" s="267"/>
      <c r="U181" s="267"/>
      <c r="V181" s="267"/>
      <c r="W181" s="249"/>
      <c r="X181" s="249"/>
      <c r="Y181" s="249"/>
      <c r="Z181" s="250"/>
      <c r="AA181" s="266"/>
      <c r="AB181" s="250"/>
      <c r="AC181" s="250"/>
      <c r="AD181" s="250"/>
      <c r="AE181" s="249"/>
      <c r="AF181" s="249"/>
      <c r="AG181" s="249"/>
      <c r="AH181" s="249"/>
      <c r="AI181" s="249"/>
      <c r="AJ181" s="249"/>
      <c r="AK181" s="249"/>
      <c r="AL181" s="249"/>
      <c r="AM181" s="249"/>
      <c r="AN181" s="249"/>
      <c r="AO181" s="249"/>
      <c r="AP181" s="249"/>
    </row>
    <row r="182" spans="1:42" s="66" customFormat="1" x14ac:dyDescent="0.25">
      <c r="A182" s="264"/>
      <c r="B182" s="264"/>
      <c r="C182" s="264"/>
      <c r="D182" s="264"/>
      <c r="E182" s="264"/>
      <c r="F182" s="264"/>
      <c r="G182" s="264"/>
      <c r="H182" s="264"/>
      <c r="I182" s="249"/>
      <c r="J182" s="478"/>
      <c r="K182" s="264"/>
      <c r="L182" s="249"/>
      <c r="M182" s="478"/>
      <c r="N182" s="264"/>
      <c r="O182" s="249"/>
      <c r="P182" s="249"/>
      <c r="Q182" s="478"/>
      <c r="R182" s="478"/>
      <c r="S182" s="249"/>
      <c r="T182" s="267"/>
      <c r="U182" s="267"/>
      <c r="V182" s="267"/>
      <c r="W182" s="249"/>
      <c r="X182" s="249"/>
      <c r="Y182" s="249"/>
      <c r="Z182" s="250"/>
      <c r="AA182" s="266"/>
      <c r="AB182" s="250"/>
      <c r="AC182" s="250"/>
      <c r="AD182" s="250"/>
      <c r="AE182" s="249"/>
      <c r="AF182" s="249"/>
      <c r="AG182" s="249"/>
      <c r="AH182" s="249"/>
      <c r="AI182" s="249"/>
      <c r="AJ182" s="249"/>
      <c r="AK182" s="249"/>
      <c r="AL182" s="249"/>
      <c r="AM182" s="249"/>
      <c r="AN182" s="249"/>
      <c r="AO182" s="249"/>
      <c r="AP182" s="249"/>
    </row>
    <row r="183" spans="1:42" s="66" customFormat="1" x14ac:dyDescent="0.25">
      <c r="A183" s="264"/>
      <c r="B183" s="264"/>
      <c r="C183" s="264"/>
      <c r="D183" s="264"/>
      <c r="E183" s="264"/>
      <c r="F183" s="264"/>
      <c r="G183" s="264"/>
      <c r="H183" s="264"/>
      <c r="I183" s="249"/>
      <c r="J183" s="478"/>
      <c r="K183" s="264"/>
      <c r="L183" s="249"/>
      <c r="M183" s="478"/>
      <c r="N183" s="264"/>
      <c r="O183" s="249"/>
      <c r="P183" s="249"/>
      <c r="Q183" s="478"/>
      <c r="R183" s="478"/>
      <c r="S183" s="249"/>
      <c r="T183" s="267"/>
      <c r="U183" s="267"/>
      <c r="V183" s="267"/>
      <c r="W183" s="249"/>
      <c r="X183" s="249"/>
      <c r="Y183" s="249"/>
      <c r="Z183" s="250"/>
      <c r="AA183" s="266"/>
      <c r="AB183" s="250"/>
      <c r="AC183" s="250"/>
      <c r="AD183" s="250"/>
      <c r="AE183" s="249"/>
      <c r="AF183" s="249"/>
      <c r="AG183" s="249"/>
      <c r="AH183" s="249"/>
      <c r="AI183" s="249"/>
      <c r="AJ183" s="249"/>
      <c r="AK183" s="249"/>
      <c r="AL183" s="249"/>
      <c r="AM183" s="249"/>
      <c r="AN183" s="249"/>
      <c r="AO183" s="249"/>
      <c r="AP183" s="249"/>
    </row>
    <row r="184" spans="1:42" s="66" customFormat="1" x14ac:dyDescent="0.25">
      <c r="A184" s="264"/>
      <c r="B184" s="264"/>
      <c r="C184" s="264"/>
      <c r="D184" s="264"/>
      <c r="E184" s="264"/>
      <c r="F184" s="264"/>
      <c r="G184" s="264"/>
      <c r="H184" s="264"/>
      <c r="I184" s="249"/>
      <c r="J184" s="478"/>
      <c r="K184" s="264"/>
      <c r="L184" s="249"/>
      <c r="M184" s="478"/>
      <c r="N184" s="264"/>
      <c r="O184" s="249"/>
      <c r="P184" s="249"/>
      <c r="Q184" s="478"/>
      <c r="R184" s="478"/>
      <c r="S184" s="249"/>
      <c r="T184" s="267"/>
      <c r="U184" s="267"/>
      <c r="V184" s="267"/>
      <c r="W184" s="249"/>
      <c r="X184" s="249"/>
      <c r="Y184" s="249"/>
      <c r="Z184" s="250"/>
      <c r="AA184" s="266"/>
      <c r="AB184" s="250"/>
      <c r="AC184" s="250"/>
      <c r="AD184" s="250"/>
      <c r="AE184" s="249"/>
      <c r="AF184" s="249"/>
      <c r="AG184" s="249"/>
      <c r="AH184" s="249"/>
      <c r="AI184" s="249"/>
      <c r="AJ184" s="249"/>
      <c r="AK184" s="249"/>
      <c r="AL184" s="249"/>
      <c r="AM184" s="249"/>
      <c r="AN184" s="249"/>
      <c r="AO184" s="249"/>
      <c r="AP184" s="249"/>
    </row>
    <row r="185" spans="1:42" s="66" customFormat="1" x14ac:dyDescent="0.25">
      <c r="A185" s="264"/>
      <c r="B185" s="264"/>
      <c r="C185" s="264"/>
      <c r="D185" s="264"/>
      <c r="E185" s="264"/>
      <c r="F185" s="264"/>
      <c r="G185" s="264"/>
      <c r="H185" s="264"/>
      <c r="I185" s="249"/>
      <c r="J185" s="478"/>
      <c r="K185" s="264"/>
      <c r="L185" s="249"/>
      <c r="M185" s="478"/>
      <c r="N185" s="264"/>
      <c r="O185" s="249"/>
      <c r="P185" s="249"/>
      <c r="Q185" s="478"/>
      <c r="R185" s="478"/>
      <c r="S185" s="249"/>
      <c r="T185" s="267"/>
      <c r="U185" s="267"/>
      <c r="V185" s="267"/>
      <c r="W185" s="249"/>
      <c r="X185" s="249"/>
      <c r="Y185" s="249"/>
      <c r="Z185" s="250"/>
      <c r="AA185" s="266"/>
      <c r="AB185" s="250"/>
      <c r="AC185" s="250"/>
      <c r="AD185" s="250"/>
      <c r="AE185" s="249"/>
      <c r="AF185" s="249"/>
      <c r="AG185" s="249"/>
      <c r="AH185" s="249"/>
      <c r="AI185" s="249"/>
      <c r="AJ185" s="249"/>
      <c r="AK185" s="249"/>
      <c r="AL185" s="249"/>
      <c r="AM185" s="249"/>
      <c r="AN185" s="249"/>
      <c r="AO185" s="249"/>
      <c r="AP185" s="249"/>
    </row>
    <row r="186" spans="1:42" s="66" customFormat="1" x14ac:dyDescent="0.25">
      <c r="A186" s="264"/>
      <c r="B186" s="264"/>
      <c r="C186" s="264"/>
      <c r="D186" s="264"/>
      <c r="E186" s="264"/>
      <c r="F186" s="264"/>
      <c r="G186" s="264"/>
      <c r="H186" s="264"/>
      <c r="I186" s="249"/>
      <c r="J186" s="478"/>
      <c r="K186" s="264"/>
      <c r="L186" s="249"/>
      <c r="M186" s="478"/>
      <c r="N186" s="264"/>
      <c r="O186" s="249"/>
      <c r="P186" s="249"/>
      <c r="Q186" s="478"/>
      <c r="R186" s="478"/>
      <c r="S186" s="249"/>
      <c r="T186" s="267"/>
      <c r="U186" s="267"/>
      <c r="V186" s="267"/>
      <c r="W186" s="249"/>
      <c r="X186" s="249"/>
      <c r="Y186" s="249"/>
      <c r="Z186" s="250"/>
      <c r="AA186" s="266"/>
      <c r="AB186" s="250"/>
      <c r="AC186" s="250"/>
      <c r="AD186" s="250"/>
      <c r="AE186" s="249"/>
      <c r="AF186" s="249"/>
      <c r="AG186" s="249"/>
      <c r="AH186" s="249"/>
      <c r="AI186" s="249"/>
      <c r="AJ186" s="249"/>
      <c r="AK186" s="249"/>
      <c r="AL186" s="249"/>
      <c r="AM186" s="249"/>
      <c r="AN186" s="249"/>
      <c r="AO186" s="249"/>
      <c r="AP186" s="249"/>
    </row>
    <row r="187" spans="1:42" s="66" customFormat="1" x14ac:dyDescent="0.25">
      <c r="A187" s="264"/>
      <c r="B187" s="264"/>
      <c r="C187" s="264"/>
      <c r="D187" s="264"/>
      <c r="E187" s="264"/>
      <c r="F187" s="264"/>
      <c r="G187" s="264"/>
      <c r="H187" s="264"/>
      <c r="I187" s="249"/>
      <c r="J187" s="478"/>
      <c r="K187" s="264"/>
      <c r="L187" s="249"/>
      <c r="M187" s="478"/>
      <c r="N187" s="264"/>
      <c r="O187" s="249"/>
      <c r="P187" s="249"/>
      <c r="Q187" s="478"/>
      <c r="R187" s="478"/>
      <c r="S187" s="249"/>
      <c r="T187" s="267"/>
      <c r="U187" s="267"/>
      <c r="V187" s="267"/>
      <c r="W187" s="249"/>
      <c r="X187" s="249"/>
      <c r="Y187" s="249"/>
      <c r="Z187" s="250"/>
      <c r="AA187" s="266"/>
      <c r="AB187" s="250"/>
      <c r="AC187" s="250"/>
      <c r="AD187" s="250"/>
      <c r="AE187" s="249"/>
      <c r="AF187" s="249"/>
      <c r="AG187" s="249"/>
      <c r="AH187" s="249"/>
      <c r="AI187" s="249"/>
      <c r="AJ187" s="249"/>
      <c r="AK187" s="249"/>
      <c r="AL187" s="249"/>
      <c r="AM187" s="249"/>
      <c r="AN187" s="249"/>
      <c r="AO187" s="249"/>
      <c r="AP187" s="249"/>
    </row>
    <row r="188" spans="1:42" s="66" customFormat="1" x14ac:dyDescent="0.25">
      <c r="A188" s="264"/>
      <c r="B188" s="264"/>
      <c r="C188" s="264"/>
      <c r="D188" s="264"/>
      <c r="E188" s="264"/>
      <c r="F188" s="264"/>
      <c r="G188" s="264"/>
      <c r="H188" s="264"/>
      <c r="I188" s="249"/>
      <c r="J188" s="478"/>
      <c r="K188" s="264"/>
      <c r="L188" s="249"/>
      <c r="M188" s="478"/>
      <c r="N188" s="264"/>
      <c r="O188" s="249"/>
      <c r="P188" s="249"/>
      <c r="Q188" s="478"/>
      <c r="R188" s="478"/>
      <c r="S188" s="249"/>
      <c r="T188" s="267"/>
      <c r="U188" s="267"/>
      <c r="V188" s="267"/>
      <c r="W188" s="249"/>
      <c r="X188" s="249"/>
      <c r="Y188" s="249"/>
      <c r="Z188" s="250"/>
      <c r="AA188" s="266"/>
      <c r="AB188" s="250"/>
      <c r="AC188" s="250"/>
      <c r="AD188" s="250"/>
      <c r="AE188" s="249"/>
      <c r="AF188" s="249"/>
      <c r="AG188" s="249"/>
      <c r="AH188" s="249"/>
      <c r="AI188" s="249"/>
      <c r="AJ188" s="249"/>
      <c r="AK188" s="249"/>
      <c r="AL188" s="249"/>
      <c r="AM188" s="249"/>
      <c r="AN188" s="249"/>
      <c r="AO188" s="249"/>
      <c r="AP188" s="249"/>
    </row>
    <row r="189" spans="1:42" s="66" customFormat="1" x14ac:dyDescent="0.25">
      <c r="A189" s="264"/>
      <c r="B189" s="264"/>
      <c r="C189" s="264"/>
      <c r="D189" s="264"/>
      <c r="E189" s="264"/>
      <c r="F189" s="264"/>
      <c r="G189" s="264"/>
      <c r="H189" s="264"/>
      <c r="I189" s="249"/>
      <c r="J189" s="478"/>
      <c r="K189" s="264"/>
      <c r="L189" s="249"/>
      <c r="M189" s="478"/>
      <c r="N189" s="264"/>
      <c r="O189" s="249"/>
      <c r="P189" s="249"/>
      <c r="Q189" s="478"/>
      <c r="R189" s="478"/>
      <c r="S189" s="249"/>
      <c r="T189" s="267"/>
      <c r="U189" s="267"/>
      <c r="V189" s="267"/>
      <c r="W189" s="249"/>
      <c r="X189" s="249"/>
      <c r="Y189" s="249"/>
      <c r="Z189" s="250"/>
      <c r="AA189" s="266"/>
      <c r="AB189" s="250"/>
      <c r="AC189" s="250"/>
      <c r="AD189" s="250"/>
      <c r="AE189" s="249"/>
      <c r="AF189" s="249"/>
      <c r="AG189" s="249"/>
      <c r="AH189" s="249"/>
      <c r="AI189" s="249"/>
      <c r="AJ189" s="249"/>
      <c r="AK189" s="249"/>
      <c r="AL189" s="249"/>
      <c r="AM189" s="249"/>
      <c r="AN189" s="249"/>
      <c r="AO189" s="249"/>
      <c r="AP189" s="249"/>
    </row>
    <row r="190" spans="1:42" s="66" customFormat="1" x14ac:dyDescent="0.25">
      <c r="A190" s="264"/>
      <c r="B190" s="264"/>
      <c r="C190" s="264"/>
      <c r="D190" s="264"/>
      <c r="E190" s="264"/>
      <c r="F190" s="264"/>
      <c r="G190" s="264"/>
      <c r="H190" s="264"/>
      <c r="I190" s="249"/>
      <c r="J190" s="478"/>
      <c r="K190" s="264"/>
      <c r="L190" s="249"/>
      <c r="M190" s="478"/>
      <c r="N190" s="264"/>
      <c r="O190" s="249"/>
      <c r="P190" s="249"/>
      <c r="Q190" s="478"/>
      <c r="R190" s="478"/>
      <c r="S190" s="249"/>
      <c r="T190" s="267"/>
      <c r="U190" s="267"/>
      <c r="V190" s="267"/>
      <c r="W190" s="249"/>
      <c r="X190" s="249"/>
      <c r="Y190" s="249"/>
      <c r="Z190" s="250"/>
      <c r="AA190" s="266"/>
      <c r="AB190" s="250"/>
      <c r="AC190" s="250"/>
      <c r="AD190" s="250"/>
      <c r="AE190" s="249"/>
      <c r="AF190" s="249"/>
      <c r="AG190" s="249"/>
      <c r="AH190" s="249"/>
      <c r="AI190" s="249"/>
      <c r="AJ190" s="249"/>
      <c r="AK190" s="249"/>
      <c r="AL190" s="249"/>
      <c r="AM190" s="249"/>
      <c r="AN190" s="249"/>
      <c r="AO190" s="249"/>
      <c r="AP190" s="249"/>
    </row>
    <row r="191" spans="1:42" s="66" customFormat="1" x14ac:dyDescent="0.25">
      <c r="A191" s="264"/>
      <c r="B191" s="264"/>
      <c r="C191" s="264"/>
      <c r="D191" s="264"/>
      <c r="E191" s="264"/>
      <c r="F191" s="264"/>
      <c r="G191" s="264"/>
      <c r="H191" s="264"/>
      <c r="I191" s="249"/>
      <c r="J191" s="478"/>
      <c r="K191" s="264"/>
      <c r="L191" s="249"/>
      <c r="M191" s="478"/>
      <c r="N191" s="264"/>
      <c r="O191" s="249"/>
      <c r="P191" s="249"/>
      <c r="Q191" s="478"/>
      <c r="R191" s="478"/>
      <c r="S191" s="249"/>
      <c r="T191" s="267"/>
      <c r="U191" s="267"/>
      <c r="V191" s="267"/>
      <c r="W191" s="249"/>
      <c r="X191" s="249"/>
      <c r="Y191" s="249"/>
      <c r="Z191" s="250"/>
      <c r="AA191" s="266"/>
      <c r="AB191" s="250"/>
      <c r="AC191" s="250"/>
      <c r="AD191" s="250"/>
      <c r="AE191" s="249"/>
      <c r="AF191" s="249"/>
      <c r="AG191" s="249"/>
      <c r="AH191" s="249"/>
      <c r="AI191" s="249"/>
      <c r="AJ191" s="249"/>
      <c r="AK191" s="249"/>
      <c r="AL191" s="249"/>
      <c r="AM191" s="249"/>
      <c r="AN191" s="249"/>
      <c r="AO191" s="249"/>
      <c r="AP191" s="249"/>
    </row>
    <row r="192" spans="1:42" s="66" customFormat="1" x14ac:dyDescent="0.25">
      <c r="A192" s="264"/>
      <c r="B192" s="264"/>
      <c r="C192" s="264"/>
      <c r="D192" s="264"/>
      <c r="E192" s="264"/>
      <c r="F192" s="264"/>
      <c r="G192" s="264"/>
      <c r="H192" s="264"/>
      <c r="I192" s="249"/>
      <c r="J192" s="478"/>
      <c r="K192" s="264"/>
      <c r="L192" s="249"/>
      <c r="M192" s="478"/>
      <c r="N192" s="264"/>
      <c r="O192" s="249"/>
      <c r="P192" s="249"/>
      <c r="Q192" s="478"/>
      <c r="R192" s="478"/>
      <c r="S192" s="249"/>
      <c r="T192" s="267"/>
      <c r="U192" s="267"/>
      <c r="V192" s="267"/>
      <c r="W192" s="249"/>
      <c r="X192" s="249"/>
      <c r="Y192" s="249"/>
      <c r="Z192" s="250"/>
      <c r="AA192" s="266"/>
      <c r="AB192" s="250"/>
      <c r="AC192" s="250"/>
      <c r="AD192" s="250"/>
      <c r="AE192" s="249"/>
      <c r="AF192" s="249"/>
      <c r="AG192" s="249"/>
      <c r="AH192" s="249"/>
      <c r="AI192" s="249"/>
      <c r="AJ192" s="249"/>
      <c r="AK192" s="249"/>
      <c r="AL192" s="249"/>
      <c r="AM192" s="249"/>
      <c r="AN192" s="249"/>
      <c r="AO192" s="249"/>
      <c r="AP192" s="249"/>
    </row>
    <row r="193" spans="1:42" s="66" customFormat="1" x14ac:dyDescent="0.25">
      <c r="A193" s="264"/>
      <c r="B193" s="264"/>
      <c r="C193" s="264"/>
      <c r="D193" s="264"/>
      <c r="E193" s="264"/>
      <c r="F193" s="264"/>
      <c r="G193" s="264"/>
      <c r="H193" s="264"/>
      <c r="I193" s="249"/>
      <c r="J193" s="478"/>
      <c r="K193" s="264"/>
      <c r="L193" s="249"/>
      <c r="M193" s="478"/>
      <c r="N193" s="264"/>
      <c r="O193" s="249"/>
      <c r="P193" s="249"/>
      <c r="Q193" s="478"/>
      <c r="R193" s="478"/>
      <c r="S193" s="249"/>
      <c r="T193" s="267"/>
      <c r="U193" s="267"/>
      <c r="V193" s="267"/>
      <c r="W193" s="249"/>
      <c r="X193" s="249"/>
      <c r="Y193" s="249"/>
      <c r="Z193" s="250"/>
      <c r="AA193" s="266"/>
      <c r="AB193" s="250"/>
      <c r="AC193" s="250"/>
      <c r="AD193" s="250"/>
      <c r="AE193" s="249"/>
      <c r="AF193" s="249"/>
      <c r="AG193" s="249"/>
      <c r="AH193" s="249"/>
      <c r="AI193" s="249"/>
      <c r="AJ193" s="249"/>
      <c r="AK193" s="249"/>
      <c r="AL193" s="249"/>
      <c r="AM193" s="249"/>
      <c r="AN193" s="249"/>
      <c r="AO193" s="249"/>
      <c r="AP193" s="249"/>
    </row>
    <row r="194" spans="1:42" s="66" customFormat="1" x14ac:dyDescent="0.25">
      <c r="A194" s="264"/>
      <c r="B194" s="264"/>
      <c r="C194" s="264"/>
      <c r="D194" s="264"/>
      <c r="E194" s="264"/>
      <c r="F194" s="264"/>
      <c r="G194" s="264"/>
      <c r="H194" s="264"/>
      <c r="I194" s="249"/>
      <c r="J194" s="478"/>
      <c r="K194" s="264"/>
      <c r="L194" s="249"/>
      <c r="M194" s="478"/>
      <c r="N194" s="264"/>
      <c r="O194" s="249"/>
      <c r="P194" s="249"/>
      <c r="Q194" s="478"/>
      <c r="R194" s="478"/>
      <c r="S194" s="249"/>
      <c r="T194" s="267"/>
      <c r="U194" s="267"/>
      <c r="V194" s="267"/>
      <c r="W194" s="249"/>
      <c r="X194" s="249"/>
      <c r="Y194" s="249"/>
      <c r="Z194" s="250"/>
      <c r="AA194" s="266"/>
      <c r="AB194" s="250"/>
      <c r="AC194" s="250"/>
      <c r="AD194" s="250"/>
      <c r="AE194" s="249"/>
      <c r="AF194" s="249"/>
      <c r="AG194" s="249"/>
      <c r="AH194" s="249"/>
      <c r="AI194" s="249"/>
      <c r="AJ194" s="249"/>
      <c r="AK194" s="249"/>
      <c r="AL194" s="249"/>
      <c r="AM194" s="249"/>
      <c r="AN194" s="249"/>
      <c r="AO194" s="249"/>
      <c r="AP194" s="249"/>
    </row>
    <row r="195" spans="1:42" s="66" customFormat="1" x14ac:dyDescent="0.25">
      <c r="A195" s="264"/>
      <c r="B195" s="264"/>
      <c r="C195" s="264"/>
      <c r="D195" s="264"/>
      <c r="E195" s="264"/>
      <c r="F195" s="264"/>
      <c r="G195" s="264"/>
      <c r="H195" s="264"/>
      <c r="I195" s="249"/>
      <c r="J195" s="478"/>
      <c r="K195" s="264"/>
      <c r="L195" s="249"/>
      <c r="M195" s="478"/>
      <c r="N195" s="264"/>
      <c r="O195" s="249"/>
      <c r="P195" s="249"/>
      <c r="Q195" s="478"/>
      <c r="R195" s="478"/>
      <c r="S195" s="249"/>
      <c r="T195" s="267"/>
      <c r="U195" s="267"/>
      <c r="V195" s="267"/>
      <c r="W195" s="249"/>
      <c r="X195" s="249"/>
      <c r="Y195" s="249"/>
      <c r="Z195" s="250"/>
      <c r="AA195" s="266"/>
      <c r="AB195" s="250"/>
      <c r="AC195" s="250"/>
      <c r="AD195" s="250"/>
      <c r="AE195" s="249"/>
      <c r="AF195" s="249"/>
      <c r="AG195" s="249"/>
      <c r="AH195" s="249"/>
      <c r="AI195" s="249"/>
      <c r="AJ195" s="249"/>
      <c r="AK195" s="249"/>
      <c r="AL195" s="249"/>
      <c r="AM195" s="249"/>
      <c r="AN195" s="249"/>
      <c r="AO195" s="249"/>
      <c r="AP195" s="249"/>
    </row>
    <row r="196" spans="1:42" s="66" customFormat="1" x14ac:dyDescent="0.25">
      <c r="A196" s="264"/>
      <c r="B196" s="264"/>
      <c r="C196" s="264"/>
      <c r="D196" s="264"/>
      <c r="E196" s="264"/>
      <c r="F196" s="264"/>
      <c r="G196" s="264"/>
      <c r="H196" s="264"/>
      <c r="I196" s="249"/>
      <c r="J196" s="478"/>
      <c r="K196" s="264"/>
      <c r="L196" s="249"/>
      <c r="M196" s="478"/>
      <c r="N196" s="264"/>
      <c r="O196" s="249"/>
      <c r="P196" s="249"/>
      <c r="Q196" s="478"/>
      <c r="R196" s="478"/>
      <c r="S196" s="249"/>
      <c r="T196" s="267"/>
      <c r="U196" s="267"/>
      <c r="V196" s="267"/>
      <c r="W196" s="249"/>
      <c r="X196" s="249"/>
      <c r="Y196" s="249"/>
      <c r="Z196" s="250"/>
      <c r="AA196" s="266"/>
      <c r="AB196" s="250"/>
      <c r="AC196" s="250"/>
      <c r="AD196" s="250"/>
      <c r="AE196" s="249"/>
      <c r="AF196" s="249"/>
      <c r="AG196" s="249"/>
      <c r="AH196" s="249"/>
      <c r="AI196" s="249"/>
      <c r="AJ196" s="249"/>
      <c r="AK196" s="249"/>
      <c r="AL196" s="249"/>
      <c r="AM196" s="249"/>
      <c r="AN196" s="249"/>
      <c r="AO196" s="249"/>
      <c r="AP196" s="249"/>
    </row>
    <row r="197" spans="1:42" s="66" customFormat="1" x14ac:dyDescent="0.25">
      <c r="A197" s="264"/>
      <c r="B197" s="264"/>
      <c r="C197" s="264"/>
      <c r="D197" s="264"/>
      <c r="E197" s="264"/>
      <c r="F197" s="264"/>
      <c r="G197" s="264"/>
      <c r="H197" s="264"/>
      <c r="I197" s="249"/>
      <c r="J197" s="478"/>
      <c r="K197" s="264"/>
      <c r="L197" s="249"/>
      <c r="M197" s="478"/>
      <c r="N197" s="264"/>
      <c r="O197" s="249"/>
      <c r="P197" s="249"/>
      <c r="Q197" s="478"/>
      <c r="R197" s="478"/>
      <c r="S197" s="249"/>
      <c r="T197" s="267"/>
      <c r="U197" s="267"/>
      <c r="V197" s="267"/>
      <c r="W197" s="249"/>
      <c r="X197" s="249"/>
      <c r="Y197" s="249"/>
      <c r="Z197" s="250"/>
      <c r="AA197" s="266"/>
      <c r="AB197" s="250"/>
      <c r="AC197" s="250"/>
      <c r="AD197" s="250"/>
      <c r="AE197" s="249"/>
      <c r="AF197" s="249"/>
      <c r="AG197" s="249"/>
      <c r="AH197" s="249"/>
      <c r="AI197" s="249"/>
      <c r="AJ197" s="249"/>
      <c r="AK197" s="249"/>
      <c r="AL197" s="249"/>
      <c r="AM197" s="249"/>
      <c r="AN197" s="249"/>
      <c r="AO197" s="249"/>
      <c r="AP197" s="249"/>
    </row>
    <row r="198" spans="1:42" s="66" customFormat="1" x14ac:dyDescent="0.25">
      <c r="A198" s="264"/>
      <c r="B198" s="264"/>
      <c r="C198" s="264"/>
      <c r="D198" s="264"/>
      <c r="E198" s="264"/>
      <c r="F198" s="264"/>
      <c r="G198" s="264"/>
      <c r="H198" s="264"/>
      <c r="I198" s="249"/>
      <c r="J198" s="478"/>
      <c r="K198" s="264"/>
      <c r="L198" s="249"/>
      <c r="M198" s="478"/>
      <c r="N198" s="264"/>
      <c r="O198" s="249"/>
      <c r="P198" s="249"/>
      <c r="Q198" s="478"/>
      <c r="R198" s="478"/>
      <c r="S198" s="249"/>
      <c r="T198" s="267"/>
      <c r="U198" s="267"/>
      <c r="V198" s="267"/>
      <c r="W198" s="249"/>
      <c r="X198" s="249"/>
      <c r="Y198" s="249"/>
      <c r="Z198" s="250"/>
      <c r="AA198" s="266"/>
      <c r="AB198" s="250"/>
      <c r="AC198" s="250"/>
      <c r="AD198" s="250"/>
      <c r="AE198" s="249"/>
      <c r="AF198" s="249"/>
      <c r="AG198" s="249"/>
      <c r="AH198" s="249"/>
      <c r="AI198" s="249"/>
      <c r="AJ198" s="249"/>
      <c r="AK198" s="249"/>
      <c r="AL198" s="249"/>
      <c r="AM198" s="249"/>
      <c r="AN198" s="249"/>
      <c r="AO198" s="249"/>
      <c r="AP198" s="249"/>
    </row>
    <row r="199" spans="1:42" s="66" customFormat="1" x14ac:dyDescent="0.25">
      <c r="A199" s="264"/>
      <c r="B199" s="264"/>
      <c r="C199" s="264"/>
      <c r="D199" s="264"/>
      <c r="E199" s="264"/>
      <c r="F199" s="264"/>
      <c r="G199" s="264"/>
      <c r="H199" s="264"/>
      <c r="I199" s="249"/>
      <c r="J199" s="478"/>
      <c r="K199" s="264"/>
      <c r="L199" s="249"/>
      <c r="M199" s="478"/>
      <c r="N199" s="264"/>
      <c r="O199" s="249"/>
      <c r="P199" s="249"/>
      <c r="Q199" s="478"/>
      <c r="R199" s="478"/>
      <c r="S199" s="249"/>
      <c r="T199" s="267"/>
      <c r="U199" s="267"/>
      <c r="V199" s="267"/>
      <c r="W199" s="249"/>
      <c r="X199" s="249"/>
      <c r="Y199" s="249"/>
      <c r="Z199" s="250"/>
      <c r="AA199" s="266"/>
      <c r="AB199" s="250"/>
      <c r="AC199" s="250"/>
      <c r="AD199" s="250"/>
      <c r="AE199" s="249"/>
      <c r="AF199" s="249"/>
      <c r="AG199" s="249"/>
      <c r="AH199" s="249"/>
      <c r="AI199" s="249"/>
      <c r="AJ199" s="249"/>
      <c r="AK199" s="249"/>
      <c r="AL199" s="249"/>
      <c r="AM199" s="249"/>
      <c r="AN199" s="249"/>
      <c r="AO199" s="249"/>
      <c r="AP199" s="249"/>
    </row>
    <row r="200" spans="1:42" s="66" customFormat="1" x14ac:dyDescent="0.25">
      <c r="A200" s="264"/>
      <c r="B200" s="264"/>
      <c r="C200" s="264"/>
      <c r="D200" s="264"/>
      <c r="E200" s="264"/>
      <c r="F200" s="264"/>
      <c r="G200" s="264"/>
      <c r="H200" s="264"/>
      <c r="I200" s="249"/>
      <c r="J200" s="478"/>
      <c r="K200" s="264"/>
      <c r="L200" s="249"/>
      <c r="M200" s="478"/>
      <c r="N200" s="264"/>
      <c r="O200" s="249"/>
      <c r="P200" s="249"/>
      <c r="Q200" s="478"/>
      <c r="R200" s="478"/>
      <c r="S200" s="249"/>
      <c r="T200" s="267"/>
      <c r="U200" s="267"/>
      <c r="V200" s="267"/>
      <c r="W200" s="249"/>
      <c r="X200" s="249"/>
      <c r="Y200" s="249"/>
      <c r="Z200" s="250"/>
      <c r="AA200" s="266"/>
      <c r="AB200" s="250"/>
      <c r="AC200" s="250"/>
      <c r="AD200" s="250"/>
      <c r="AE200" s="249"/>
      <c r="AF200" s="249"/>
      <c r="AG200" s="249"/>
      <c r="AH200" s="249"/>
      <c r="AI200" s="249"/>
      <c r="AJ200" s="249"/>
      <c r="AK200" s="249"/>
      <c r="AL200" s="249"/>
      <c r="AM200" s="249"/>
      <c r="AN200" s="249"/>
      <c r="AO200" s="249"/>
      <c r="AP200" s="249"/>
    </row>
    <row r="201" spans="1:42" s="66" customFormat="1" x14ac:dyDescent="0.25">
      <c r="A201" s="264"/>
      <c r="B201" s="264"/>
      <c r="C201" s="264"/>
      <c r="D201" s="264"/>
      <c r="E201" s="264"/>
      <c r="F201" s="264"/>
      <c r="G201" s="264"/>
      <c r="H201" s="264"/>
      <c r="I201" s="249"/>
      <c r="J201" s="478"/>
      <c r="K201" s="264"/>
      <c r="L201" s="249"/>
      <c r="M201" s="478"/>
      <c r="N201" s="264"/>
      <c r="O201" s="249"/>
      <c r="P201" s="249"/>
      <c r="Q201" s="478"/>
      <c r="R201" s="478"/>
      <c r="S201" s="249"/>
      <c r="T201" s="267"/>
      <c r="U201" s="267"/>
      <c r="V201" s="267"/>
      <c r="W201" s="249"/>
      <c r="X201" s="249"/>
      <c r="Y201" s="249"/>
      <c r="Z201" s="250"/>
      <c r="AA201" s="266"/>
      <c r="AB201" s="250"/>
      <c r="AC201" s="250"/>
      <c r="AD201" s="250"/>
      <c r="AE201" s="249"/>
      <c r="AF201" s="249"/>
      <c r="AG201" s="249"/>
      <c r="AH201" s="249"/>
      <c r="AI201" s="249"/>
      <c r="AJ201" s="249"/>
      <c r="AK201" s="249"/>
      <c r="AL201" s="249"/>
      <c r="AM201" s="249"/>
      <c r="AN201" s="249"/>
      <c r="AO201" s="249"/>
      <c r="AP201" s="249"/>
    </row>
    <row r="202" spans="1:42" s="66" customFormat="1" x14ac:dyDescent="0.25">
      <c r="A202" s="264"/>
      <c r="B202" s="264"/>
      <c r="C202" s="264"/>
      <c r="D202" s="264"/>
      <c r="E202" s="264"/>
      <c r="F202" s="264"/>
      <c r="G202" s="264"/>
      <c r="H202" s="264"/>
      <c r="I202" s="249"/>
      <c r="J202" s="478"/>
      <c r="K202" s="264"/>
      <c r="L202" s="249"/>
      <c r="M202" s="478"/>
      <c r="N202" s="264"/>
      <c r="O202" s="249"/>
      <c r="P202" s="249"/>
      <c r="Q202" s="478"/>
      <c r="R202" s="478"/>
      <c r="S202" s="249"/>
      <c r="T202" s="267"/>
      <c r="U202" s="267"/>
      <c r="V202" s="267"/>
      <c r="W202" s="249"/>
      <c r="X202" s="249"/>
      <c r="Y202" s="249"/>
      <c r="Z202" s="250"/>
      <c r="AA202" s="266"/>
      <c r="AB202" s="250"/>
      <c r="AC202" s="250"/>
      <c r="AD202" s="250"/>
      <c r="AE202" s="249"/>
      <c r="AF202" s="249"/>
      <c r="AG202" s="249"/>
      <c r="AH202" s="249"/>
      <c r="AI202" s="249"/>
      <c r="AJ202" s="249"/>
      <c r="AK202" s="249"/>
      <c r="AL202" s="249"/>
      <c r="AM202" s="249"/>
      <c r="AN202" s="249"/>
      <c r="AO202" s="249"/>
      <c r="AP202" s="249"/>
    </row>
    <row r="203" spans="1:42" s="66" customFormat="1" x14ac:dyDescent="0.25">
      <c r="A203" s="264"/>
      <c r="B203" s="264"/>
      <c r="C203" s="264"/>
      <c r="D203" s="264"/>
      <c r="E203" s="264"/>
      <c r="F203" s="264"/>
      <c r="G203" s="264"/>
      <c r="H203" s="264"/>
      <c r="I203" s="249"/>
      <c r="J203" s="478"/>
      <c r="K203" s="264"/>
      <c r="L203" s="249"/>
      <c r="M203" s="478"/>
      <c r="N203" s="264"/>
      <c r="O203" s="249"/>
      <c r="P203" s="249"/>
      <c r="Q203" s="478"/>
      <c r="R203" s="478"/>
      <c r="S203" s="249"/>
      <c r="T203" s="267"/>
      <c r="U203" s="267"/>
      <c r="V203" s="267"/>
      <c r="W203" s="249"/>
      <c r="X203" s="249"/>
      <c r="Y203" s="249"/>
      <c r="Z203" s="250"/>
      <c r="AA203" s="266"/>
      <c r="AB203" s="250"/>
      <c r="AC203" s="250"/>
      <c r="AD203" s="250"/>
      <c r="AE203" s="249"/>
      <c r="AF203" s="249"/>
      <c r="AG203" s="249"/>
      <c r="AH203" s="249"/>
      <c r="AI203" s="249"/>
      <c r="AJ203" s="249"/>
      <c r="AK203" s="249"/>
      <c r="AL203" s="249"/>
      <c r="AM203" s="249"/>
      <c r="AN203" s="249"/>
      <c r="AO203" s="249"/>
      <c r="AP203" s="249"/>
    </row>
    <row r="204" spans="1:42" s="66" customFormat="1" x14ac:dyDescent="0.25">
      <c r="A204" s="264"/>
      <c r="B204" s="264"/>
      <c r="C204" s="264"/>
      <c r="D204" s="264"/>
      <c r="E204" s="264"/>
      <c r="F204" s="264"/>
      <c r="G204" s="264"/>
      <c r="H204" s="264"/>
      <c r="I204" s="249"/>
      <c r="J204" s="478"/>
      <c r="K204" s="264"/>
      <c r="L204" s="249"/>
      <c r="M204" s="478"/>
      <c r="N204" s="264"/>
      <c r="O204" s="249"/>
      <c r="P204" s="249"/>
      <c r="Q204" s="478"/>
      <c r="R204" s="478"/>
      <c r="S204" s="249"/>
      <c r="T204" s="267"/>
      <c r="U204" s="267"/>
      <c r="V204" s="267"/>
      <c r="W204" s="249"/>
      <c r="X204" s="249"/>
      <c r="Y204" s="249"/>
      <c r="Z204" s="250"/>
      <c r="AA204" s="266"/>
      <c r="AB204" s="250"/>
      <c r="AC204" s="250"/>
      <c r="AD204" s="250"/>
      <c r="AE204" s="249"/>
      <c r="AF204" s="249"/>
      <c r="AG204" s="249"/>
      <c r="AH204" s="249"/>
      <c r="AI204" s="249"/>
      <c r="AJ204" s="249"/>
      <c r="AK204" s="249"/>
      <c r="AL204" s="249"/>
      <c r="AM204" s="249"/>
      <c r="AN204" s="249"/>
      <c r="AO204" s="249"/>
      <c r="AP204" s="249"/>
    </row>
    <row r="205" spans="1:42" s="66" customFormat="1" x14ac:dyDescent="0.25">
      <c r="A205" s="264"/>
      <c r="B205" s="264"/>
      <c r="C205" s="264"/>
      <c r="D205" s="264"/>
      <c r="E205" s="264"/>
      <c r="F205" s="264"/>
      <c r="G205" s="264"/>
      <c r="H205" s="264"/>
      <c r="I205" s="249"/>
      <c r="J205" s="478"/>
      <c r="K205" s="264"/>
      <c r="L205" s="249"/>
      <c r="M205" s="478"/>
      <c r="N205" s="264"/>
      <c r="O205" s="249"/>
      <c r="P205" s="249"/>
      <c r="Q205" s="478"/>
      <c r="R205" s="478"/>
      <c r="S205" s="249"/>
      <c r="T205" s="267"/>
      <c r="U205" s="267"/>
      <c r="V205" s="267"/>
      <c r="W205" s="249"/>
      <c r="X205" s="249"/>
      <c r="Y205" s="249"/>
      <c r="Z205" s="250"/>
      <c r="AA205" s="266"/>
      <c r="AB205" s="250"/>
      <c r="AC205" s="250"/>
      <c r="AD205" s="250"/>
      <c r="AE205" s="249"/>
      <c r="AF205" s="249"/>
      <c r="AG205" s="249"/>
      <c r="AH205" s="249"/>
      <c r="AI205" s="249"/>
      <c r="AJ205" s="249"/>
      <c r="AK205" s="249"/>
      <c r="AL205" s="249"/>
      <c r="AM205" s="249"/>
      <c r="AN205" s="249"/>
      <c r="AO205" s="249"/>
      <c r="AP205" s="249"/>
    </row>
    <row r="206" spans="1:42" s="66" customFormat="1" x14ac:dyDescent="0.25">
      <c r="A206" s="264"/>
      <c r="B206" s="264"/>
      <c r="C206" s="264"/>
      <c r="D206" s="264"/>
      <c r="E206" s="264"/>
      <c r="F206" s="264"/>
      <c r="G206" s="264"/>
      <c r="H206" s="264"/>
      <c r="I206" s="249"/>
      <c r="J206" s="478"/>
      <c r="K206" s="264"/>
      <c r="L206" s="249"/>
      <c r="M206" s="478"/>
      <c r="N206" s="264"/>
      <c r="O206" s="249"/>
      <c r="P206" s="249"/>
      <c r="Q206" s="478"/>
      <c r="R206" s="478"/>
      <c r="S206" s="249"/>
      <c r="T206" s="267"/>
      <c r="U206" s="267"/>
      <c r="V206" s="267"/>
      <c r="W206" s="249"/>
      <c r="X206" s="249"/>
      <c r="Y206" s="249"/>
      <c r="Z206" s="250"/>
      <c r="AA206" s="266"/>
      <c r="AB206" s="250"/>
      <c r="AC206" s="250"/>
      <c r="AD206" s="250"/>
      <c r="AE206" s="249"/>
      <c r="AF206" s="249"/>
      <c r="AG206" s="249"/>
      <c r="AH206" s="249"/>
      <c r="AI206" s="249"/>
      <c r="AJ206" s="249"/>
      <c r="AK206" s="249"/>
      <c r="AL206" s="249"/>
      <c r="AM206" s="249"/>
      <c r="AN206" s="249"/>
      <c r="AO206" s="249"/>
      <c r="AP206" s="249"/>
    </row>
    <row r="207" spans="1:42" s="66" customFormat="1" x14ac:dyDescent="0.25">
      <c r="A207" s="264"/>
      <c r="B207" s="264"/>
      <c r="C207" s="264"/>
      <c r="D207" s="264"/>
      <c r="E207" s="264"/>
      <c r="F207" s="264"/>
      <c r="G207" s="264"/>
      <c r="H207" s="264"/>
      <c r="I207" s="249"/>
      <c r="J207" s="478"/>
      <c r="K207" s="264"/>
      <c r="L207" s="249"/>
      <c r="M207" s="478"/>
      <c r="N207" s="264"/>
      <c r="O207" s="249"/>
      <c r="P207" s="249"/>
      <c r="Q207" s="478"/>
      <c r="R207" s="478"/>
      <c r="S207" s="249"/>
      <c r="T207" s="267"/>
      <c r="U207" s="267"/>
      <c r="V207" s="267"/>
      <c r="W207" s="249"/>
      <c r="X207" s="249"/>
      <c r="Y207" s="249"/>
      <c r="Z207" s="250"/>
      <c r="AA207" s="266"/>
      <c r="AB207" s="250"/>
      <c r="AC207" s="250"/>
      <c r="AD207" s="250"/>
      <c r="AE207" s="249"/>
      <c r="AF207" s="249"/>
      <c r="AG207" s="249"/>
      <c r="AH207" s="249"/>
      <c r="AI207" s="249"/>
      <c r="AJ207" s="249"/>
      <c r="AK207" s="249"/>
      <c r="AL207" s="249"/>
      <c r="AM207" s="249"/>
      <c r="AN207" s="249"/>
      <c r="AO207" s="249"/>
      <c r="AP207" s="249"/>
    </row>
    <row r="208" spans="1:42" s="66" customFormat="1" x14ac:dyDescent="0.25">
      <c r="A208" s="264"/>
      <c r="B208" s="264"/>
      <c r="C208" s="264"/>
      <c r="D208" s="264"/>
      <c r="E208" s="264"/>
      <c r="F208" s="264"/>
      <c r="G208" s="264"/>
      <c r="H208" s="264"/>
      <c r="I208" s="249"/>
      <c r="J208" s="478"/>
      <c r="K208" s="264"/>
      <c r="L208" s="249"/>
      <c r="M208" s="478"/>
      <c r="N208" s="264"/>
      <c r="O208" s="249"/>
      <c r="P208" s="249"/>
      <c r="Q208" s="478"/>
      <c r="R208" s="478"/>
      <c r="S208" s="249"/>
      <c r="T208" s="267"/>
      <c r="U208" s="267"/>
      <c r="V208" s="267"/>
      <c r="W208" s="249"/>
      <c r="X208" s="249"/>
      <c r="Y208" s="249"/>
      <c r="Z208" s="250"/>
      <c r="AA208" s="266"/>
      <c r="AB208" s="250"/>
      <c r="AC208" s="250"/>
      <c r="AD208" s="250"/>
      <c r="AE208" s="249"/>
      <c r="AF208" s="249"/>
      <c r="AG208" s="249"/>
      <c r="AH208" s="249"/>
      <c r="AI208" s="249"/>
      <c r="AJ208" s="249"/>
      <c r="AK208" s="249"/>
      <c r="AL208" s="249"/>
      <c r="AM208" s="249"/>
      <c r="AN208" s="249"/>
      <c r="AO208" s="249"/>
      <c r="AP208" s="249"/>
    </row>
    <row r="209" spans="1:42" s="66" customFormat="1" x14ac:dyDescent="0.25">
      <c r="A209" s="264"/>
      <c r="B209" s="264"/>
      <c r="C209" s="264"/>
      <c r="D209" s="264"/>
      <c r="E209" s="264"/>
      <c r="F209" s="264"/>
      <c r="G209" s="264"/>
      <c r="H209" s="264"/>
      <c r="I209" s="249"/>
      <c r="J209" s="478"/>
      <c r="K209" s="264"/>
      <c r="L209" s="249"/>
      <c r="M209" s="478"/>
      <c r="N209" s="264"/>
      <c r="O209" s="249"/>
      <c r="P209" s="249"/>
      <c r="Q209" s="478"/>
      <c r="R209" s="478"/>
      <c r="S209" s="249"/>
      <c r="T209" s="267"/>
      <c r="U209" s="267"/>
      <c r="V209" s="267"/>
      <c r="W209" s="249"/>
      <c r="X209" s="249"/>
      <c r="Y209" s="249"/>
      <c r="Z209" s="250"/>
      <c r="AA209" s="266"/>
      <c r="AB209" s="250"/>
      <c r="AC209" s="250"/>
      <c r="AD209" s="250"/>
      <c r="AE209" s="249"/>
      <c r="AF209" s="249"/>
      <c r="AG209" s="249"/>
      <c r="AH209" s="249"/>
      <c r="AI209" s="249"/>
      <c r="AJ209" s="249"/>
      <c r="AK209" s="249"/>
      <c r="AL209" s="249"/>
      <c r="AM209" s="249"/>
      <c r="AN209" s="249"/>
      <c r="AO209" s="249"/>
      <c r="AP209" s="249"/>
    </row>
    <row r="210" spans="1:42" s="66" customFormat="1" x14ac:dyDescent="0.25">
      <c r="A210" s="264"/>
      <c r="B210" s="264"/>
      <c r="C210" s="264"/>
      <c r="D210" s="264"/>
      <c r="E210" s="264"/>
      <c r="F210" s="264"/>
      <c r="G210" s="264"/>
      <c r="H210" s="264"/>
      <c r="I210" s="249"/>
      <c r="J210" s="478"/>
      <c r="K210" s="264"/>
      <c r="L210" s="249"/>
      <c r="M210" s="478"/>
      <c r="N210" s="264"/>
      <c r="O210" s="249"/>
      <c r="P210" s="249"/>
      <c r="Q210" s="478"/>
      <c r="R210" s="478"/>
      <c r="S210" s="249"/>
      <c r="T210" s="267"/>
      <c r="U210" s="267"/>
      <c r="V210" s="267"/>
      <c r="W210" s="249"/>
      <c r="X210" s="249"/>
      <c r="Y210" s="249"/>
      <c r="Z210" s="250"/>
      <c r="AA210" s="266"/>
      <c r="AB210" s="250"/>
      <c r="AC210" s="250"/>
      <c r="AD210" s="250"/>
      <c r="AE210" s="249"/>
      <c r="AF210" s="249"/>
      <c r="AG210" s="249"/>
      <c r="AH210" s="249"/>
      <c r="AI210" s="249"/>
      <c r="AJ210" s="249"/>
      <c r="AK210" s="249"/>
      <c r="AL210" s="249"/>
      <c r="AM210" s="249"/>
      <c r="AN210" s="249"/>
      <c r="AO210" s="249"/>
      <c r="AP210" s="249"/>
    </row>
    <row r="211" spans="1:42" s="66" customFormat="1" x14ac:dyDescent="0.25">
      <c r="A211" s="264"/>
      <c r="B211" s="264"/>
      <c r="C211" s="264"/>
      <c r="D211" s="264"/>
      <c r="E211" s="264"/>
      <c r="F211" s="264"/>
      <c r="G211" s="264"/>
      <c r="H211" s="264"/>
      <c r="I211" s="249"/>
      <c r="J211" s="478"/>
      <c r="K211" s="264"/>
      <c r="L211" s="249"/>
      <c r="M211" s="478"/>
      <c r="N211" s="264"/>
      <c r="O211" s="249"/>
      <c r="P211" s="249"/>
      <c r="Q211" s="478"/>
      <c r="R211" s="478"/>
      <c r="S211" s="249"/>
      <c r="T211" s="267"/>
      <c r="U211" s="267"/>
      <c r="V211" s="267"/>
      <c r="W211" s="249"/>
      <c r="X211" s="249"/>
      <c r="Y211" s="249"/>
      <c r="Z211" s="250"/>
      <c r="AA211" s="266"/>
      <c r="AB211" s="250"/>
      <c r="AC211" s="250"/>
      <c r="AD211" s="250"/>
      <c r="AE211" s="249"/>
      <c r="AF211" s="249"/>
      <c r="AG211" s="249"/>
      <c r="AH211" s="249"/>
      <c r="AI211" s="249"/>
      <c r="AJ211" s="249"/>
      <c r="AK211" s="249"/>
      <c r="AL211" s="249"/>
      <c r="AM211" s="249"/>
      <c r="AN211" s="249"/>
      <c r="AO211" s="249"/>
      <c r="AP211" s="249"/>
    </row>
    <row r="212" spans="1:42" s="66" customFormat="1" x14ac:dyDescent="0.25">
      <c r="A212" s="264"/>
      <c r="B212" s="264"/>
      <c r="C212" s="264"/>
      <c r="D212" s="264"/>
      <c r="E212" s="264"/>
      <c r="F212" s="264"/>
      <c r="G212" s="264"/>
      <c r="H212" s="264"/>
      <c r="I212" s="249"/>
      <c r="J212" s="478"/>
      <c r="K212" s="264"/>
      <c r="L212" s="249"/>
      <c r="M212" s="478"/>
      <c r="N212" s="264"/>
      <c r="O212" s="249"/>
      <c r="P212" s="249"/>
      <c r="Q212" s="478"/>
      <c r="R212" s="478"/>
      <c r="S212" s="249"/>
      <c r="T212" s="267"/>
      <c r="U212" s="267"/>
      <c r="V212" s="267"/>
      <c r="W212" s="249"/>
      <c r="X212" s="249"/>
      <c r="Y212" s="249"/>
      <c r="Z212" s="250"/>
      <c r="AA212" s="266"/>
      <c r="AB212" s="250"/>
      <c r="AC212" s="250"/>
      <c r="AD212" s="250"/>
      <c r="AE212" s="249"/>
      <c r="AF212" s="249"/>
      <c r="AG212" s="249"/>
      <c r="AH212" s="249"/>
      <c r="AI212" s="249"/>
      <c r="AJ212" s="249"/>
      <c r="AK212" s="249"/>
      <c r="AL212" s="249"/>
      <c r="AM212" s="249"/>
      <c r="AN212" s="249"/>
      <c r="AO212" s="249"/>
      <c r="AP212" s="249"/>
    </row>
    <row r="213" spans="1:42" s="66" customFormat="1" x14ac:dyDescent="0.25">
      <c r="A213" s="264"/>
      <c r="B213" s="264"/>
      <c r="C213" s="264"/>
      <c r="D213" s="264"/>
      <c r="E213" s="264"/>
      <c r="F213" s="264"/>
      <c r="G213" s="264"/>
      <c r="H213" s="264"/>
      <c r="I213" s="249"/>
      <c r="J213" s="478"/>
      <c r="K213" s="264"/>
      <c r="L213" s="249"/>
      <c r="M213" s="478"/>
      <c r="N213" s="264"/>
      <c r="O213" s="249"/>
      <c r="P213" s="249"/>
      <c r="Q213" s="478"/>
      <c r="R213" s="478"/>
      <c r="S213" s="249"/>
      <c r="T213" s="267"/>
      <c r="U213" s="267"/>
      <c r="V213" s="267"/>
      <c r="W213" s="249"/>
      <c r="X213" s="249"/>
      <c r="Y213" s="249"/>
      <c r="Z213" s="250"/>
      <c r="AA213" s="266"/>
      <c r="AB213" s="250"/>
      <c r="AC213" s="250"/>
      <c r="AD213" s="250"/>
      <c r="AE213" s="249"/>
      <c r="AF213" s="249"/>
      <c r="AG213" s="249"/>
      <c r="AH213" s="249"/>
      <c r="AI213" s="249"/>
      <c r="AJ213" s="249"/>
      <c r="AK213" s="249"/>
      <c r="AL213" s="249"/>
      <c r="AM213" s="249"/>
      <c r="AN213" s="249"/>
      <c r="AO213" s="249"/>
      <c r="AP213" s="249"/>
    </row>
    <row r="214" spans="1:42" s="66" customFormat="1" x14ac:dyDescent="0.25">
      <c r="A214" s="264"/>
      <c r="B214" s="264"/>
      <c r="C214" s="264"/>
      <c r="D214" s="264"/>
      <c r="E214" s="264"/>
      <c r="F214" s="264"/>
      <c r="G214" s="264"/>
      <c r="H214" s="264"/>
      <c r="I214" s="249"/>
      <c r="J214" s="478"/>
      <c r="K214" s="264"/>
      <c r="L214" s="249"/>
      <c r="M214" s="478"/>
      <c r="N214" s="264"/>
      <c r="O214" s="249"/>
      <c r="P214" s="249"/>
      <c r="Q214" s="478"/>
      <c r="R214" s="478"/>
      <c r="S214" s="249"/>
      <c r="T214" s="267"/>
      <c r="U214" s="267"/>
      <c r="V214" s="267"/>
      <c r="W214" s="249"/>
      <c r="X214" s="249"/>
      <c r="Y214" s="249"/>
      <c r="Z214" s="250"/>
      <c r="AA214" s="266"/>
      <c r="AB214" s="250"/>
      <c r="AC214" s="250"/>
      <c r="AD214" s="250"/>
      <c r="AE214" s="249"/>
      <c r="AF214" s="249"/>
      <c r="AG214" s="249"/>
      <c r="AH214" s="249"/>
      <c r="AI214" s="249"/>
      <c r="AJ214" s="249"/>
      <c r="AK214" s="249"/>
      <c r="AL214" s="249"/>
      <c r="AM214" s="249"/>
      <c r="AN214" s="249"/>
      <c r="AO214" s="249"/>
      <c r="AP214" s="249"/>
    </row>
    <row r="215" spans="1:42" s="66" customFormat="1" x14ac:dyDescent="0.25">
      <c r="A215" s="264"/>
      <c r="B215" s="264"/>
      <c r="C215" s="264"/>
      <c r="D215" s="264"/>
      <c r="E215" s="264"/>
      <c r="F215" s="264"/>
      <c r="G215" s="264"/>
      <c r="H215" s="264"/>
      <c r="I215" s="249"/>
      <c r="J215" s="478"/>
      <c r="K215" s="264"/>
      <c r="L215" s="249"/>
      <c r="M215" s="478"/>
      <c r="N215" s="264"/>
      <c r="O215" s="249"/>
      <c r="P215" s="249"/>
      <c r="Q215" s="478"/>
      <c r="R215" s="478"/>
      <c r="S215" s="249"/>
      <c r="T215" s="267"/>
      <c r="U215" s="267"/>
      <c r="V215" s="267"/>
      <c r="W215" s="249"/>
      <c r="X215" s="249"/>
      <c r="Y215" s="249"/>
      <c r="Z215" s="250"/>
      <c r="AA215" s="266"/>
      <c r="AB215" s="250"/>
      <c r="AC215" s="250"/>
      <c r="AD215" s="250"/>
      <c r="AE215" s="249"/>
      <c r="AF215" s="249"/>
      <c r="AG215" s="249"/>
      <c r="AH215" s="249"/>
      <c r="AI215" s="249"/>
      <c r="AJ215" s="249"/>
      <c r="AK215" s="249"/>
      <c r="AL215" s="249"/>
      <c r="AM215" s="249"/>
      <c r="AN215" s="249"/>
      <c r="AO215" s="249"/>
      <c r="AP215" s="249"/>
    </row>
    <row r="216" spans="1:42" s="66" customFormat="1" x14ac:dyDescent="0.25">
      <c r="A216" s="264"/>
      <c r="B216" s="264"/>
      <c r="C216" s="264"/>
      <c r="D216" s="264"/>
      <c r="E216" s="264"/>
      <c r="F216" s="264"/>
      <c r="G216" s="264"/>
      <c r="H216" s="264"/>
      <c r="I216" s="249"/>
      <c r="J216" s="478"/>
      <c r="K216" s="264"/>
      <c r="L216" s="249"/>
      <c r="M216" s="478"/>
      <c r="N216" s="264"/>
      <c r="O216" s="249"/>
      <c r="P216" s="249"/>
      <c r="Q216" s="478"/>
      <c r="R216" s="478"/>
      <c r="S216" s="249"/>
      <c r="T216" s="267"/>
      <c r="U216" s="267"/>
      <c r="V216" s="267"/>
      <c r="W216" s="249"/>
      <c r="X216" s="249"/>
      <c r="Y216" s="249"/>
      <c r="Z216" s="250"/>
      <c r="AA216" s="266"/>
      <c r="AB216" s="250"/>
      <c r="AC216" s="250"/>
      <c r="AD216" s="250"/>
      <c r="AE216" s="249"/>
      <c r="AF216" s="249"/>
      <c r="AG216" s="249"/>
      <c r="AH216" s="249"/>
      <c r="AI216" s="249"/>
      <c r="AJ216" s="249"/>
      <c r="AK216" s="249"/>
      <c r="AL216" s="249"/>
      <c r="AM216" s="249"/>
      <c r="AN216" s="249"/>
      <c r="AO216" s="249"/>
      <c r="AP216" s="249"/>
    </row>
    <row r="217" spans="1:42" s="66" customFormat="1" x14ac:dyDescent="0.25">
      <c r="A217" s="264"/>
      <c r="B217" s="264"/>
      <c r="C217" s="264"/>
      <c r="D217" s="264"/>
      <c r="E217" s="264"/>
      <c r="F217" s="264"/>
      <c r="G217" s="264"/>
      <c r="H217" s="264"/>
      <c r="I217" s="249"/>
      <c r="J217" s="478"/>
      <c r="K217" s="264"/>
      <c r="L217" s="249"/>
      <c r="M217" s="478"/>
      <c r="N217" s="264"/>
      <c r="O217" s="249"/>
      <c r="P217" s="249"/>
      <c r="Q217" s="478"/>
      <c r="R217" s="478"/>
      <c r="S217" s="249"/>
      <c r="T217" s="267"/>
      <c r="U217" s="267"/>
      <c r="V217" s="267"/>
      <c r="W217" s="249"/>
      <c r="X217" s="249"/>
      <c r="Y217" s="249"/>
      <c r="Z217" s="250"/>
      <c r="AA217" s="266"/>
      <c r="AB217" s="250"/>
      <c r="AC217" s="250"/>
      <c r="AD217" s="250"/>
      <c r="AE217" s="249"/>
      <c r="AF217" s="249"/>
      <c r="AG217" s="249"/>
      <c r="AH217" s="249"/>
      <c r="AI217" s="249"/>
      <c r="AJ217" s="249"/>
      <c r="AK217" s="249"/>
      <c r="AL217" s="249"/>
      <c r="AM217" s="249"/>
      <c r="AN217" s="249"/>
      <c r="AO217" s="249"/>
      <c r="AP217" s="249"/>
    </row>
    <row r="218" spans="1:42" s="66" customFormat="1" x14ac:dyDescent="0.25">
      <c r="A218" s="264"/>
      <c r="B218" s="264"/>
      <c r="C218" s="264"/>
      <c r="D218" s="264"/>
      <c r="E218" s="264"/>
      <c r="F218" s="264"/>
      <c r="G218" s="264"/>
      <c r="H218" s="264"/>
      <c r="I218" s="249"/>
      <c r="J218" s="478"/>
      <c r="K218" s="264"/>
      <c r="L218" s="249"/>
      <c r="M218" s="478"/>
      <c r="N218" s="264"/>
      <c r="O218" s="249"/>
      <c r="P218" s="249"/>
      <c r="Q218" s="478"/>
      <c r="R218" s="478"/>
      <c r="S218" s="249"/>
      <c r="T218" s="267"/>
      <c r="U218" s="267"/>
      <c r="V218" s="267"/>
      <c r="W218" s="249"/>
      <c r="X218" s="249"/>
      <c r="Y218" s="249"/>
      <c r="Z218" s="250"/>
      <c r="AA218" s="266"/>
      <c r="AB218" s="250"/>
      <c r="AC218" s="250"/>
      <c r="AD218" s="250"/>
      <c r="AE218" s="249"/>
      <c r="AF218" s="249"/>
      <c r="AG218" s="249"/>
      <c r="AH218" s="249"/>
      <c r="AI218" s="249"/>
      <c r="AJ218" s="249"/>
      <c r="AK218" s="249"/>
      <c r="AL218" s="249"/>
      <c r="AM218" s="249"/>
      <c r="AN218" s="249"/>
      <c r="AO218" s="249"/>
      <c r="AP218" s="249"/>
    </row>
    <row r="219" spans="1:42" s="66" customFormat="1" x14ac:dyDescent="0.25">
      <c r="A219" s="264"/>
      <c r="B219" s="264"/>
      <c r="C219" s="264"/>
      <c r="D219" s="264"/>
      <c r="E219" s="264"/>
      <c r="F219" s="264"/>
      <c r="G219" s="264"/>
      <c r="H219" s="264"/>
      <c r="I219" s="249"/>
      <c r="J219" s="478"/>
      <c r="K219" s="264"/>
      <c r="L219" s="249"/>
      <c r="M219" s="478"/>
      <c r="N219" s="264"/>
      <c r="O219" s="249"/>
      <c r="P219" s="249"/>
      <c r="Q219" s="478"/>
      <c r="R219" s="478"/>
      <c r="S219" s="249"/>
      <c r="T219" s="267"/>
      <c r="U219" s="267"/>
      <c r="V219" s="267"/>
      <c r="W219" s="249"/>
      <c r="X219" s="249"/>
      <c r="Y219" s="249"/>
      <c r="Z219" s="250"/>
      <c r="AA219" s="266"/>
      <c r="AB219" s="250"/>
      <c r="AC219" s="250"/>
      <c r="AD219" s="250"/>
      <c r="AE219" s="249"/>
      <c r="AF219" s="249"/>
      <c r="AG219" s="249"/>
      <c r="AH219" s="249"/>
      <c r="AI219" s="249"/>
      <c r="AJ219" s="249"/>
      <c r="AK219" s="249"/>
      <c r="AL219" s="249"/>
      <c r="AM219" s="249"/>
      <c r="AN219" s="249"/>
      <c r="AO219" s="249"/>
      <c r="AP219" s="249"/>
    </row>
    <row r="220" spans="1:42" s="66" customFormat="1" x14ac:dyDescent="0.25">
      <c r="A220" s="264"/>
      <c r="B220" s="264"/>
      <c r="C220" s="264"/>
      <c r="D220" s="264"/>
      <c r="E220" s="264"/>
      <c r="F220" s="264"/>
      <c r="G220" s="264"/>
      <c r="H220" s="264"/>
      <c r="I220" s="249"/>
      <c r="J220" s="478"/>
      <c r="K220" s="264"/>
      <c r="L220" s="249"/>
      <c r="M220" s="478"/>
      <c r="N220" s="264"/>
      <c r="O220" s="249"/>
      <c r="P220" s="249"/>
      <c r="Q220" s="478"/>
      <c r="R220" s="478"/>
      <c r="S220" s="249"/>
      <c r="T220" s="267"/>
      <c r="U220" s="267"/>
      <c r="V220" s="267"/>
      <c r="W220" s="249"/>
      <c r="X220" s="249"/>
      <c r="Y220" s="249"/>
      <c r="Z220" s="250"/>
      <c r="AA220" s="266"/>
      <c r="AB220" s="250"/>
      <c r="AC220" s="250"/>
      <c r="AD220" s="250"/>
      <c r="AE220" s="249"/>
      <c r="AF220" s="249"/>
      <c r="AG220" s="249"/>
      <c r="AH220" s="249"/>
      <c r="AI220" s="249"/>
      <c r="AJ220" s="249"/>
      <c r="AK220" s="249"/>
      <c r="AL220" s="249"/>
      <c r="AM220" s="249"/>
      <c r="AN220" s="249"/>
      <c r="AO220" s="249"/>
      <c r="AP220" s="249"/>
    </row>
    <row r="221" spans="1:42" s="66" customFormat="1" x14ac:dyDescent="0.25">
      <c r="A221" s="264"/>
      <c r="B221" s="264"/>
      <c r="C221" s="264"/>
      <c r="D221" s="264"/>
      <c r="E221" s="264"/>
      <c r="F221" s="264"/>
      <c r="G221" s="264"/>
      <c r="H221" s="264"/>
      <c r="I221" s="249"/>
      <c r="J221" s="478"/>
      <c r="K221" s="264"/>
      <c r="L221" s="249"/>
      <c r="M221" s="478"/>
      <c r="N221" s="264"/>
      <c r="O221" s="249"/>
      <c r="P221" s="249"/>
      <c r="Q221" s="478"/>
      <c r="R221" s="478"/>
      <c r="S221" s="249"/>
      <c r="T221" s="267"/>
      <c r="U221" s="267"/>
      <c r="V221" s="267"/>
      <c r="W221" s="249"/>
      <c r="X221" s="249"/>
      <c r="Y221" s="249"/>
      <c r="Z221" s="250"/>
      <c r="AA221" s="266"/>
      <c r="AB221" s="250"/>
      <c r="AC221" s="250"/>
      <c r="AD221" s="250"/>
      <c r="AE221" s="249"/>
      <c r="AF221" s="249"/>
      <c r="AG221" s="249"/>
      <c r="AH221" s="249"/>
      <c r="AI221" s="249"/>
      <c r="AJ221" s="249"/>
      <c r="AK221" s="249"/>
      <c r="AL221" s="249"/>
      <c r="AM221" s="249"/>
      <c r="AN221" s="249"/>
      <c r="AO221" s="249"/>
      <c r="AP221" s="249"/>
    </row>
    <row r="222" spans="1:42" s="66" customFormat="1" x14ac:dyDescent="0.25">
      <c r="A222" s="264"/>
      <c r="B222" s="264"/>
      <c r="C222" s="264"/>
      <c r="D222" s="264"/>
      <c r="E222" s="264"/>
      <c r="F222" s="264"/>
      <c r="G222" s="264"/>
      <c r="H222" s="264"/>
      <c r="I222" s="249"/>
      <c r="J222" s="478"/>
      <c r="K222" s="264"/>
      <c r="L222" s="249"/>
      <c r="M222" s="478"/>
      <c r="N222" s="264"/>
      <c r="O222" s="249"/>
      <c r="P222" s="249"/>
      <c r="Q222" s="478"/>
      <c r="R222" s="478"/>
      <c r="S222" s="249"/>
      <c r="T222" s="267"/>
      <c r="U222" s="267"/>
      <c r="V222" s="267"/>
      <c r="W222" s="249"/>
      <c r="X222" s="249"/>
      <c r="Y222" s="249"/>
      <c r="Z222" s="250"/>
      <c r="AA222" s="266"/>
      <c r="AB222" s="250"/>
      <c r="AC222" s="250"/>
      <c r="AD222" s="250"/>
      <c r="AE222" s="249"/>
      <c r="AF222" s="249"/>
      <c r="AG222" s="249"/>
      <c r="AH222" s="249"/>
      <c r="AI222" s="249"/>
      <c r="AJ222" s="249"/>
      <c r="AK222" s="249"/>
      <c r="AL222" s="249"/>
      <c r="AM222" s="249"/>
      <c r="AN222" s="249"/>
      <c r="AO222" s="249"/>
      <c r="AP222" s="249"/>
    </row>
    <row r="223" spans="1:42" s="66" customFormat="1" x14ac:dyDescent="0.25">
      <c r="A223" s="264"/>
      <c r="B223" s="264"/>
      <c r="C223" s="264"/>
      <c r="D223" s="264"/>
      <c r="E223" s="264"/>
      <c r="F223" s="264"/>
      <c r="G223" s="264"/>
      <c r="H223" s="264"/>
      <c r="I223" s="249"/>
      <c r="J223" s="478"/>
      <c r="K223" s="264"/>
      <c r="L223" s="249"/>
      <c r="M223" s="478"/>
      <c r="N223" s="264"/>
      <c r="O223" s="249"/>
      <c r="P223" s="249"/>
      <c r="Q223" s="478"/>
      <c r="R223" s="478"/>
      <c r="S223" s="249"/>
      <c r="T223" s="267"/>
      <c r="U223" s="267"/>
      <c r="V223" s="267"/>
      <c r="W223" s="249"/>
      <c r="X223" s="249"/>
      <c r="Y223" s="249"/>
      <c r="Z223" s="250"/>
      <c r="AA223" s="266"/>
      <c r="AB223" s="250"/>
      <c r="AC223" s="250"/>
      <c r="AD223" s="250"/>
      <c r="AE223" s="249"/>
      <c r="AF223" s="249"/>
      <c r="AG223" s="249"/>
      <c r="AH223" s="249"/>
      <c r="AI223" s="249"/>
      <c r="AJ223" s="249"/>
      <c r="AK223" s="249"/>
      <c r="AL223" s="249"/>
      <c r="AM223" s="249"/>
      <c r="AN223" s="249"/>
      <c r="AO223" s="249"/>
      <c r="AP223" s="249"/>
    </row>
    <row r="224" spans="1:42" s="66" customFormat="1" x14ac:dyDescent="0.25">
      <c r="A224" s="264"/>
      <c r="B224" s="264"/>
      <c r="C224" s="264"/>
      <c r="D224" s="264"/>
      <c r="E224" s="264"/>
      <c r="F224" s="264"/>
      <c r="G224" s="264"/>
      <c r="H224" s="264"/>
      <c r="I224" s="249"/>
      <c r="J224" s="478"/>
      <c r="K224" s="264"/>
      <c r="L224" s="249"/>
      <c r="M224" s="478"/>
      <c r="N224" s="264"/>
      <c r="O224" s="249"/>
      <c r="P224" s="249"/>
      <c r="Q224" s="478"/>
      <c r="R224" s="478"/>
      <c r="S224" s="249"/>
      <c r="T224" s="267"/>
      <c r="U224" s="267"/>
      <c r="V224" s="267"/>
      <c r="W224" s="249"/>
      <c r="X224" s="249"/>
      <c r="Y224" s="249"/>
      <c r="Z224" s="250"/>
      <c r="AA224" s="266"/>
      <c r="AB224" s="250"/>
      <c r="AC224" s="250"/>
      <c r="AD224" s="250"/>
      <c r="AE224" s="249"/>
      <c r="AF224" s="249"/>
      <c r="AG224" s="249"/>
      <c r="AH224" s="249"/>
      <c r="AI224" s="249"/>
      <c r="AJ224" s="249"/>
      <c r="AK224" s="249"/>
      <c r="AL224" s="249"/>
      <c r="AM224" s="249"/>
      <c r="AN224" s="249"/>
      <c r="AO224" s="249"/>
      <c r="AP224" s="249"/>
    </row>
    <row r="225" spans="1:42" s="66" customFormat="1" x14ac:dyDescent="0.25">
      <c r="A225" s="264"/>
      <c r="B225" s="264"/>
      <c r="C225" s="264"/>
      <c r="D225" s="264"/>
      <c r="E225" s="264"/>
      <c r="F225" s="264"/>
      <c r="G225" s="264"/>
      <c r="H225" s="264"/>
      <c r="I225" s="249"/>
      <c r="J225" s="478"/>
      <c r="K225" s="264"/>
      <c r="L225" s="249"/>
      <c r="M225" s="478"/>
      <c r="N225" s="264"/>
      <c r="O225" s="249"/>
      <c r="P225" s="249"/>
      <c r="Q225" s="478"/>
      <c r="R225" s="478"/>
      <c r="S225" s="249"/>
      <c r="T225" s="267"/>
      <c r="U225" s="267"/>
      <c r="V225" s="267"/>
      <c r="W225" s="249"/>
      <c r="X225" s="249"/>
      <c r="Y225" s="249"/>
      <c r="Z225" s="250"/>
      <c r="AA225" s="266"/>
      <c r="AB225" s="250"/>
      <c r="AC225" s="250"/>
      <c r="AD225" s="250"/>
      <c r="AE225" s="249"/>
      <c r="AF225" s="249"/>
      <c r="AG225" s="249"/>
      <c r="AH225" s="249"/>
      <c r="AI225" s="249"/>
      <c r="AJ225" s="249"/>
      <c r="AK225" s="249"/>
      <c r="AL225" s="249"/>
      <c r="AM225" s="249"/>
      <c r="AN225" s="249"/>
      <c r="AO225" s="249"/>
      <c r="AP225" s="249"/>
    </row>
    <row r="226" spans="1:42" s="66" customFormat="1" x14ac:dyDescent="0.25">
      <c r="A226" s="264"/>
      <c r="B226" s="264"/>
      <c r="C226" s="264"/>
      <c r="D226" s="264"/>
      <c r="E226" s="264"/>
      <c r="F226" s="264"/>
      <c r="G226" s="264"/>
      <c r="H226" s="264"/>
      <c r="I226" s="249"/>
      <c r="J226" s="478"/>
      <c r="K226" s="264"/>
      <c r="L226" s="249"/>
      <c r="M226" s="478"/>
      <c r="N226" s="264"/>
      <c r="O226" s="249"/>
      <c r="P226" s="249"/>
      <c r="Q226" s="478"/>
      <c r="R226" s="478"/>
      <c r="S226" s="249"/>
      <c r="T226" s="267"/>
      <c r="U226" s="267"/>
      <c r="V226" s="267"/>
      <c r="W226" s="249"/>
      <c r="X226" s="249"/>
      <c r="Y226" s="249"/>
      <c r="Z226" s="250"/>
      <c r="AA226" s="266"/>
      <c r="AB226" s="250"/>
      <c r="AC226" s="250"/>
      <c r="AD226" s="250"/>
      <c r="AE226" s="249"/>
      <c r="AF226" s="249"/>
      <c r="AG226" s="249"/>
      <c r="AH226" s="249"/>
      <c r="AI226" s="249"/>
      <c r="AJ226" s="249"/>
      <c r="AK226" s="249"/>
      <c r="AL226" s="249"/>
      <c r="AM226" s="249"/>
      <c r="AN226" s="249"/>
      <c r="AO226" s="249"/>
      <c r="AP226" s="249"/>
    </row>
    <row r="227" spans="1:42" s="66" customFormat="1" x14ac:dyDescent="0.25">
      <c r="A227" s="264"/>
      <c r="B227" s="264"/>
      <c r="C227" s="264"/>
      <c r="D227" s="264"/>
      <c r="E227" s="264"/>
      <c r="F227" s="264"/>
      <c r="G227" s="264"/>
      <c r="H227" s="264"/>
      <c r="I227" s="249"/>
      <c r="J227" s="478"/>
      <c r="K227" s="264"/>
      <c r="L227" s="249"/>
      <c r="M227" s="478"/>
      <c r="N227" s="264"/>
      <c r="O227" s="249"/>
      <c r="P227" s="249"/>
      <c r="Q227" s="478"/>
      <c r="R227" s="478"/>
      <c r="S227" s="249"/>
      <c r="T227" s="267"/>
      <c r="U227" s="267"/>
      <c r="V227" s="267"/>
      <c r="W227" s="249"/>
      <c r="X227" s="249"/>
      <c r="Y227" s="249"/>
      <c r="Z227" s="250"/>
      <c r="AA227" s="266"/>
      <c r="AB227" s="250"/>
      <c r="AC227" s="250"/>
      <c r="AD227" s="250"/>
      <c r="AE227" s="249"/>
      <c r="AF227" s="249"/>
      <c r="AG227" s="249"/>
      <c r="AH227" s="249"/>
      <c r="AI227" s="249"/>
      <c r="AJ227" s="249"/>
      <c r="AK227" s="249"/>
      <c r="AL227" s="249"/>
      <c r="AM227" s="249"/>
      <c r="AN227" s="249"/>
      <c r="AO227" s="249"/>
      <c r="AP227" s="249"/>
    </row>
    <row r="228" spans="1:42" s="66" customFormat="1" x14ac:dyDescent="0.25">
      <c r="A228" s="264"/>
      <c r="B228" s="264"/>
      <c r="C228" s="264"/>
      <c r="D228" s="264"/>
      <c r="E228" s="264"/>
      <c r="F228" s="264"/>
      <c r="G228" s="264"/>
      <c r="H228" s="264"/>
      <c r="I228" s="249"/>
      <c r="J228" s="478"/>
      <c r="K228" s="264"/>
      <c r="L228" s="249"/>
      <c r="M228" s="478"/>
      <c r="N228" s="264"/>
      <c r="O228" s="249"/>
      <c r="P228" s="249"/>
      <c r="Q228" s="478"/>
      <c r="R228" s="478"/>
      <c r="S228" s="249"/>
      <c r="T228" s="267"/>
      <c r="U228" s="267"/>
      <c r="V228" s="267"/>
      <c r="W228" s="249"/>
      <c r="X228" s="249"/>
      <c r="Y228" s="249"/>
      <c r="Z228" s="250"/>
      <c r="AA228" s="266"/>
      <c r="AB228" s="250"/>
      <c r="AC228" s="250"/>
      <c r="AD228" s="250"/>
      <c r="AE228" s="249"/>
      <c r="AF228" s="249"/>
      <c r="AG228" s="249"/>
      <c r="AH228" s="249"/>
      <c r="AI228" s="249"/>
      <c r="AJ228" s="249"/>
      <c r="AK228" s="249"/>
      <c r="AL228" s="249"/>
      <c r="AM228" s="249"/>
      <c r="AN228" s="249"/>
      <c r="AO228" s="249"/>
      <c r="AP228" s="249"/>
    </row>
    <row r="229" spans="1:42" s="66" customFormat="1" x14ac:dyDescent="0.25">
      <c r="A229" s="264"/>
      <c r="B229" s="264"/>
      <c r="C229" s="264"/>
      <c r="D229" s="264"/>
      <c r="E229" s="264"/>
      <c r="F229" s="264"/>
      <c r="G229" s="264"/>
      <c r="H229" s="264"/>
      <c r="I229" s="249"/>
      <c r="J229" s="478"/>
      <c r="K229" s="264"/>
      <c r="L229" s="249"/>
      <c r="M229" s="478"/>
      <c r="N229" s="264"/>
      <c r="O229" s="249"/>
      <c r="P229" s="249"/>
      <c r="Q229" s="478"/>
      <c r="R229" s="478"/>
      <c r="S229" s="249"/>
      <c r="T229" s="267"/>
      <c r="U229" s="267"/>
      <c r="V229" s="267"/>
      <c r="W229" s="249"/>
      <c r="X229" s="249"/>
      <c r="Y229" s="249"/>
      <c r="Z229" s="250"/>
      <c r="AA229" s="266"/>
      <c r="AB229" s="250"/>
      <c r="AC229" s="250"/>
      <c r="AD229" s="250"/>
      <c r="AE229" s="249"/>
      <c r="AF229" s="249"/>
      <c r="AG229" s="249"/>
      <c r="AH229" s="249"/>
      <c r="AI229" s="249"/>
      <c r="AJ229" s="249"/>
      <c r="AK229" s="249"/>
      <c r="AL229" s="249"/>
      <c r="AM229" s="249"/>
      <c r="AN229" s="249"/>
      <c r="AO229" s="249"/>
      <c r="AP229" s="249"/>
    </row>
    <row r="230" spans="1:42" s="66" customFormat="1" x14ac:dyDescent="0.25">
      <c r="A230" s="264"/>
      <c r="B230" s="264"/>
      <c r="C230" s="264"/>
      <c r="D230" s="264"/>
      <c r="E230" s="264"/>
      <c r="F230" s="264"/>
      <c r="G230" s="264"/>
      <c r="H230" s="264"/>
      <c r="I230" s="249"/>
      <c r="J230" s="478"/>
      <c r="K230" s="264"/>
      <c r="L230" s="249"/>
      <c r="M230" s="478"/>
      <c r="N230" s="264"/>
      <c r="O230" s="249"/>
      <c r="P230" s="249"/>
      <c r="Q230" s="478"/>
      <c r="R230" s="478"/>
      <c r="S230" s="249"/>
      <c r="T230" s="267"/>
      <c r="U230" s="267"/>
      <c r="V230" s="267"/>
      <c r="W230" s="249"/>
      <c r="X230" s="249"/>
      <c r="Y230" s="249"/>
      <c r="Z230" s="250"/>
      <c r="AA230" s="266"/>
      <c r="AB230" s="250"/>
      <c r="AC230" s="250"/>
      <c r="AD230" s="250"/>
      <c r="AE230" s="249"/>
      <c r="AF230" s="249"/>
      <c r="AG230" s="249"/>
      <c r="AH230" s="249"/>
      <c r="AI230" s="249"/>
      <c r="AJ230" s="249"/>
      <c r="AK230" s="249"/>
      <c r="AL230" s="249"/>
      <c r="AM230" s="249"/>
      <c r="AN230" s="249"/>
      <c r="AO230" s="249"/>
      <c r="AP230" s="249"/>
    </row>
    <row r="231" spans="1:42" s="66" customFormat="1" x14ac:dyDescent="0.25">
      <c r="A231" s="264"/>
      <c r="B231" s="264"/>
      <c r="C231" s="264"/>
      <c r="D231" s="264"/>
      <c r="E231" s="264"/>
      <c r="F231" s="264"/>
      <c r="G231" s="264"/>
      <c r="H231" s="264"/>
      <c r="I231" s="249"/>
      <c r="J231" s="478"/>
      <c r="K231" s="264"/>
      <c r="L231" s="249"/>
      <c r="M231" s="478"/>
      <c r="N231" s="264"/>
      <c r="O231" s="249"/>
      <c r="P231" s="249"/>
      <c r="Q231" s="478"/>
      <c r="R231" s="478"/>
      <c r="S231" s="249"/>
      <c r="T231" s="267"/>
      <c r="U231" s="267"/>
      <c r="V231" s="267"/>
      <c r="W231" s="249"/>
      <c r="X231" s="249"/>
      <c r="Y231" s="249"/>
      <c r="Z231" s="250"/>
      <c r="AA231" s="266"/>
      <c r="AB231" s="250"/>
      <c r="AC231" s="250"/>
      <c r="AD231" s="250"/>
      <c r="AE231" s="249"/>
      <c r="AF231" s="249"/>
      <c r="AG231" s="249"/>
      <c r="AH231" s="249"/>
      <c r="AI231" s="249"/>
      <c r="AJ231" s="249"/>
      <c r="AK231" s="249"/>
      <c r="AL231" s="249"/>
      <c r="AM231" s="249"/>
      <c r="AN231" s="249"/>
      <c r="AO231" s="249"/>
      <c r="AP231" s="249"/>
    </row>
    <row r="232" spans="1:42" s="66" customFormat="1" x14ac:dyDescent="0.25">
      <c r="A232" s="264"/>
      <c r="B232" s="264"/>
      <c r="C232" s="264"/>
      <c r="D232" s="264"/>
      <c r="E232" s="264"/>
      <c r="F232" s="264"/>
      <c r="G232" s="264"/>
      <c r="H232" s="264"/>
      <c r="I232" s="249"/>
      <c r="J232" s="478"/>
      <c r="K232" s="264"/>
      <c r="L232" s="249"/>
      <c r="M232" s="478"/>
      <c r="N232" s="264"/>
      <c r="O232" s="249"/>
      <c r="P232" s="249"/>
      <c r="Q232" s="478"/>
      <c r="R232" s="478"/>
      <c r="S232" s="249"/>
      <c r="T232" s="267"/>
      <c r="U232" s="267"/>
      <c r="V232" s="267"/>
      <c r="W232" s="249"/>
      <c r="X232" s="249"/>
      <c r="Y232" s="249"/>
      <c r="Z232" s="250"/>
      <c r="AA232" s="266"/>
      <c r="AB232" s="250"/>
      <c r="AC232" s="250"/>
      <c r="AD232" s="250"/>
      <c r="AE232" s="249"/>
      <c r="AF232" s="249"/>
      <c r="AG232" s="249"/>
      <c r="AH232" s="249"/>
      <c r="AI232" s="249"/>
      <c r="AJ232" s="249"/>
      <c r="AK232" s="249"/>
      <c r="AL232" s="249"/>
      <c r="AM232" s="249"/>
      <c r="AN232" s="249"/>
      <c r="AO232" s="249"/>
      <c r="AP232" s="249"/>
    </row>
    <row r="233" spans="1:42" s="66" customFormat="1" x14ac:dyDescent="0.25">
      <c r="A233" s="264"/>
      <c r="B233" s="264"/>
      <c r="C233" s="264"/>
      <c r="D233" s="264"/>
      <c r="E233" s="264"/>
      <c r="F233" s="264"/>
      <c r="G233" s="264"/>
      <c r="H233" s="264"/>
      <c r="I233" s="249"/>
      <c r="J233" s="478"/>
      <c r="K233" s="264"/>
      <c r="L233" s="249"/>
      <c r="M233" s="478"/>
      <c r="N233" s="264"/>
      <c r="O233" s="249"/>
      <c r="P233" s="249"/>
      <c r="Q233" s="478"/>
      <c r="R233" s="478"/>
      <c r="S233" s="249"/>
      <c r="T233" s="267"/>
      <c r="U233" s="267"/>
      <c r="V233" s="267"/>
      <c r="W233" s="249"/>
      <c r="X233" s="249"/>
      <c r="Y233" s="249"/>
      <c r="Z233" s="250"/>
      <c r="AA233" s="266"/>
      <c r="AB233" s="250"/>
      <c r="AC233" s="250"/>
      <c r="AD233" s="250"/>
      <c r="AE233" s="249"/>
      <c r="AF233" s="249"/>
      <c r="AG233" s="249"/>
      <c r="AH233" s="249"/>
      <c r="AI233" s="249"/>
      <c r="AJ233" s="249"/>
      <c r="AK233" s="249"/>
      <c r="AL233" s="249"/>
      <c r="AM233" s="249"/>
      <c r="AN233" s="249"/>
      <c r="AO233" s="249"/>
      <c r="AP233" s="249"/>
    </row>
    <row r="234" spans="1:42" s="66" customFormat="1" x14ac:dyDescent="0.25">
      <c r="A234" s="264"/>
      <c r="B234" s="264"/>
      <c r="C234" s="264"/>
      <c r="D234" s="264"/>
      <c r="E234" s="264"/>
      <c r="F234" s="264"/>
      <c r="G234" s="264"/>
      <c r="H234" s="264"/>
      <c r="I234" s="249"/>
      <c r="J234" s="478"/>
      <c r="K234" s="264"/>
      <c r="L234" s="249"/>
      <c r="M234" s="478"/>
      <c r="N234" s="264"/>
      <c r="O234" s="249"/>
      <c r="P234" s="249"/>
      <c r="Q234" s="478"/>
      <c r="R234" s="478"/>
      <c r="S234" s="249"/>
      <c r="T234" s="267"/>
      <c r="U234" s="267"/>
      <c r="V234" s="267"/>
      <c r="W234" s="249"/>
      <c r="X234" s="249"/>
      <c r="Y234" s="249"/>
      <c r="Z234" s="250"/>
      <c r="AA234" s="266"/>
      <c r="AB234" s="250"/>
      <c r="AC234" s="250"/>
      <c r="AD234" s="250"/>
      <c r="AE234" s="249"/>
      <c r="AF234" s="249"/>
      <c r="AG234" s="249"/>
      <c r="AH234" s="249"/>
      <c r="AI234" s="249"/>
      <c r="AJ234" s="249"/>
      <c r="AK234" s="249"/>
      <c r="AL234" s="249"/>
      <c r="AM234" s="249"/>
      <c r="AN234" s="249"/>
      <c r="AO234" s="249"/>
      <c r="AP234" s="249"/>
    </row>
    <row r="235" spans="1:42" s="66" customFormat="1" x14ac:dyDescent="0.25">
      <c r="A235" s="264"/>
      <c r="B235" s="264"/>
      <c r="C235" s="264"/>
      <c r="D235" s="264"/>
      <c r="E235" s="264"/>
      <c r="F235" s="264"/>
      <c r="G235" s="264"/>
      <c r="H235" s="264"/>
      <c r="I235" s="249"/>
      <c r="J235" s="478"/>
      <c r="K235" s="264"/>
      <c r="L235" s="249"/>
      <c r="M235" s="478"/>
      <c r="N235" s="264"/>
      <c r="O235" s="249"/>
      <c r="P235" s="249"/>
      <c r="Q235" s="478"/>
      <c r="R235" s="478"/>
      <c r="S235" s="249"/>
      <c r="T235" s="267"/>
      <c r="U235" s="267"/>
      <c r="V235" s="267"/>
      <c r="W235" s="249"/>
      <c r="X235" s="249"/>
      <c r="Y235" s="249"/>
      <c r="Z235" s="250"/>
      <c r="AA235" s="266"/>
      <c r="AB235" s="250"/>
      <c r="AC235" s="250"/>
      <c r="AD235" s="250"/>
      <c r="AE235" s="249"/>
      <c r="AF235" s="249"/>
      <c r="AG235" s="249"/>
      <c r="AH235" s="249"/>
      <c r="AI235" s="249"/>
      <c r="AJ235" s="249"/>
      <c r="AK235" s="249"/>
      <c r="AL235" s="249"/>
      <c r="AM235" s="249"/>
      <c r="AN235" s="249"/>
      <c r="AO235" s="249"/>
      <c r="AP235" s="249"/>
    </row>
    <row r="236" spans="1:42" s="66" customFormat="1" x14ac:dyDescent="0.25">
      <c r="A236" s="264"/>
      <c r="B236" s="264"/>
      <c r="C236" s="264"/>
      <c r="D236" s="264"/>
      <c r="E236" s="264"/>
      <c r="F236" s="264"/>
      <c r="G236" s="264"/>
      <c r="H236" s="264"/>
      <c r="I236" s="249"/>
      <c r="J236" s="478"/>
      <c r="K236" s="264"/>
      <c r="L236" s="249"/>
      <c r="M236" s="478"/>
      <c r="N236" s="264"/>
      <c r="O236" s="249"/>
      <c r="P236" s="249"/>
      <c r="Q236" s="478"/>
      <c r="R236" s="478"/>
      <c r="S236" s="249"/>
      <c r="T236" s="267"/>
      <c r="U236" s="267"/>
      <c r="V236" s="267"/>
      <c r="W236" s="249"/>
      <c r="X236" s="249"/>
      <c r="Y236" s="249"/>
      <c r="Z236" s="250"/>
      <c r="AA236" s="266"/>
      <c r="AB236" s="250"/>
      <c r="AC236" s="250"/>
      <c r="AD236" s="250"/>
      <c r="AE236" s="249"/>
      <c r="AF236" s="249"/>
      <c r="AG236" s="249"/>
      <c r="AH236" s="249"/>
      <c r="AI236" s="249"/>
      <c r="AJ236" s="249"/>
      <c r="AK236" s="249"/>
      <c r="AL236" s="249"/>
      <c r="AM236" s="249"/>
      <c r="AN236" s="249"/>
      <c r="AO236" s="249"/>
      <c r="AP236" s="249"/>
    </row>
    <row r="237" spans="1:42" s="66" customFormat="1" x14ac:dyDescent="0.25">
      <c r="A237" s="264"/>
      <c r="B237" s="264"/>
      <c r="C237" s="264"/>
      <c r="D237" s="264"/>
      <c r="E237" s="264"/>
      <c r="F237" s="264"/>
      <c r="G237" s="264"/>
      <c r="H237" s="264"/>
      <c r="I237" s="249"/>
      <c r="J237" s="478"/>
      <c r="K237" s="264"/>
      <c r="L237" s="249"/>
      <c r="M237" s="478"/>
      <c r="N237" s="264"/>
      <c r="O237" s="249"/>
      <c r="P237" s="249"/>
      <c r="Q237" s="478"/>
      <c r="R237" s="478"/>
      <c r="S237" s="249"/>
      <c r="T237" s="267"/>
      <c r="U237" s="267"/>
      <c r="V237" s="267"/>
      <c r="W237" s="249"/>
      <c r="X237" s="249"/>
      <c r="Y237" s="249"/>
      <c r="Z237" s="250"/>
      <c r="AA237" s="266"/>
      <c r="AB237" s="250"/>
      <c r="AC237" s="250"/>
      <c r="AD237" s="250"/>
      <c r="AE237" s="249"/>
      <c r="AF237" s="249"/>
      <c r="AG237" s="249"/>
      <c r="AH237" s="249"/>
      <c r="AI237" s="249"/>
      <c r="AJ237" s="249"/>
      <c r="AK237" s="249"/>
      <c r="AL237" s="249"/>
      <c r="AM237" s="249"/>
      <c r="AN237" s="249"/>
      <c r="AO237" s="249"/>
      <c r="AP237" s="249"/>
    </row>
    <row r="238" spans="1:42" s="66" customFormat="1" x14ac:dyDescent="0.25">
      <c r="A238" s="264"/>
      <c r="B238" s="264"/>
      <c r="C238" s="264"/>
      <c r="D238" s="264"/>
      <c r="E238" s="264"/>
      <c r="F238" s="264"/>
      <c r="G238" s="264"/>
      <c r="H238" s="264"/>
      <c r="I238" s="249"/>
      <c r="J238" s="478"/>
      <c r="K238" s="264"/>
      <c r="L238" s="249"/>
      <c r="M238" s="478"/>
      <c r="N238" s="264"/>
      <c r="O238" s="249"/>
      <c r="P238" s="249"/>
      <c r="Q238" s="478"/>
      <c r="R238" s="478"/>
      <c r="S238" s="249"/>
      <c r="T238" s="267"/>
      <c r="U238" s="267"/>
      <c r="V238" s="267"/>
      <c r="W238" s="249"/>
      <c r="X238" s="249"/>
      <c r="Y238" s="249"/>
      <c r="Z238" s="250"/>
      <c r="AA238" s="266"/>
      <c r="AB238" s="250"/>
      <c r="AC238" s="250"/>
      <c r="AD238" s="250"/>
      <c r="AE238" s="249"/>
      <c r="AF238" s="249"/>
      <c r="AG238" s="249"/>
      <c r="AH238" s="249"/>
      <c r="AI238" s="249"/>
      <c r="AJ238" s="249"/>
      <c r="AK238" s="249"/>
      <c r="AL238" s="249"/>
      <c r="AM238" s="249"/>
      <c r="AN238" s="249"/>
      <c r="AO238" s="249"/>
      <c r="AP238" s="249"/>
    </row>
    <row r="239" spans="1:42" s="66" customFormat="1" x14ac:dyDescent="0.25">
      <c r="A239" s="264"/>
      <c r="B239" s="264"/>
      <c r="C239" s="264"/>
      <c r="D239" s="264"/>
      <c r="E239" s="264"/>
      <c r="F239" s="264"/>
      <c r="G239" s="264"/>
      <c r="H239" s="264"/>
      <c r="I239" s="249"/>
      <c r="J239" s="478"/>
      <c r="K239" s="264"/>
      <c r="L239" s="249"/>
      <c r="M239" s="478"/>
      <c r="N239" s="264"/>
      <c r="O239" s="249"/>
      <c r="P239" s="249"/>
      <c r="Q239" s="478"/>
      <c r="R239" s="478"/>
      <c r="S239" s="249"/>
      <c r="T239" s="267"/>
      <c r="U239" s="267"/>
      <c r="V239" s="267"/>
      <c r="W239" s="249"/>
      <c r="X239" s="249"/>
      <c r="Y239" s="249"/>
      <c r="Z239" s="250"/>
      <c r="AA239" s="266"/>
      <c r="AB239" s="250"/>
      <c r="AC239" s="250"/>
      <c r="AD239" s="250"/>
      <c r="AE239" s="249"/>
      <c r="AF239" s="249"/>
      <c r="AG239" s="249"/>
      <c r="AH239" s="249"/>
      <c r="AI239" s="249"/>
      <c r="AJ239" s="249"/>
      <c r="AK239" s="249"/>
      <c r="AL239" s="249"/>
      <c r="AM239" s="249"/>
      <c r="AN239" s="249"/>
      <c r="AO239" s="249"/>
      <c r="AP239" s="249"/>
    </row>
    <row r="240" spans="1:42" s="66" customFormat="1" x14ac:dyDescent="0.25">
      <c r="A240" s="264"/>
      <c r="B240" s="264"/>
      <c r="C240" s="264"/>
      <c r="D240" s="264"/>
      <c r="E240" s="264"/>
      <c r="F240" s="264"/>
      <c r="G240" s="264"/>
      <c r="H240" s="264"/>
      <c r="I240" s="249"/>
      <c r="J240" s="478"/>
      <c r="K240" s="264"/>
      <c r="L240" s="249"/>
      <c r="M240" s="478"/>
      <c r="N240" s="264"/>
      <c r="O240" s="249"/>
      <c r="P240" s="249"/>
      <c r="Q240" s="478"/>
      <c r="R240" s="478"/>
      <c r="S240" s="249"/>
      <c r="T240" s="267"/>
      <c r="U240" s="267"/>
      <c r="V240" s="267"/>
      <c r="W240" s="249"/>
      <c r="X240" s="249"/>
      <c r="Y240" s="249"/>
      <c r="Z240" s="250"/>
      <c r="AA240" s="266"/>
      <c r="AB240" s="250"/>
      <c r="AC240" s="250"/>
      <c r="AD240" s="250"/>
      <c r="AE240" s="249"/>
      <c r="AF240" s="249"/>
      <c r="AG240" s="249"/>
      <c r="AH240" s="249"/>
      <c r="AI240" s="249"/>
      <c r="AJ240" s="249"/>
      <c r="AK240" s="249"/>
      <c r="AL240" s="249"/>
      <c r="AM240" s="249"/>
      <c r="AN240" s="249"/>
      <c r="AO240" s="249"/>
      <c r="AP240" s="249"/>
    </row>
    <row r="241" spans="1:42" s="66" customFormat="1" x14ac:dyDescent="0.25">
      <c r="A241" s="264"/>
      <c r="B241" s="264"/>
      <c r="C241" s="264"/>
      <c r="D241" s="264"/>
      <c r="E241" s="264"/>
      <c r="F241" s="264"/>
      <c r="G241" s="264"/>
      <c r="H241" s="264"/>
      <c r="I241" s="249"/>
      <c r="J241" s="478"/>
      <c r="K241" s="264"/>
      <c r="L241" s="249"/>
      <c r="M241" s="478"/>
      <c r="N241" s="264"/>
      <c r="O241" s="249"/>
      <c r="P241" s="249"/>
      <c r="Q241" s="478"/>
      <c r="R241" s="478"/>
      <c r="S241" s="249"/>
      <c r="T241" s="267"/>
      <c r="U241" s="267"/>
      <c r="V241" s="267"/>
      <c r="W241" s="249"/>
      <c r="X241" s="249"/>
      <c r="Y241" s="249"/>
      <c r="Z241" s="250"/>
      <c r="AA241" s="266"/>
      <c r="AB241" s="250"/>
      <c r="AC241" s="250"/>
      <c r="AD241" s="250"/>
      <c r="AE241" s="249"/>
      <c r="AF241" s="249"/>
      <c r="AG241" s="249"/>
      <c r="AH241" s="249"/>
      <c r="AI241" s="249"/>
      <c r="AJ241" s="249"/>
      <c r="AK241" s="249"/>
      <c r="AL241" s="249"/>
      <c r="AM241" s="249"/>
      <c r="AN241" s="249"/>
      <c r="AO241" s="249"/>
      <c r="AP241" s="249"/>
    </row>
    <row r="242" spans="1:42" s="66" customFormat="1" x14ac:dyDescent="0.25">
      <c r="A242" s="264"/>
      <c r="B242" s="264"/>
      <c r="C242" s="264"/>
      <c r="D242" s="264"/>
      <c r="E242" s="264"/>
      <c r="F242" s="264"/>
      <c r="G242" s="264"/>
      <c r="H242" s="264"/>
      <c r="I242" s="249"/>
      <c r="J242" s="478"/>
      <c r="K242" s="264"/>
      <c r="L242" s="249"/>
      <c r="M242" s="478"/>
      <c r="N242" s="264"/>
      <c r="O242" s="249"/>
      <c r="P242" s="249"/>
      <c r="Q242" s="478"/>
      <c r="R242" s="478"/>
      <c r="S242" s="249"/>
      <c r="T242" s="267"/>
      <c r="U242" s="267"/>
      <c r="V242" s="267"/>
      <c r="W242" s="249"/>
      <c r="X242" s="249"/>
      <c r="Y242" s="249"/>
      <c r="Z242" s="250"/>
      <c r="AA242" s="266"/>
      <c r="AB242" s="250"/>
      <c r="AC242" s="250"/>
      <c r="AD242" s="250"/>
      <c r="AE242" s="249"/>
      <c r="AF242" s="249"/>
      <c r="AG242" s="249"/>
      <c r="AH242" s="249"/>
      <c r="AI242" s="249"/>
      <c r="AJ242" s="249"/>
      <c r="AK242" s="249"/>
      <c r="AL242" s="249"/>
      <c r="AM242" s="249"/>
      <c r="AN242" s="249"/>
      <c r="AO242" s="249"/>
      <c r="AP242" s="249"/>
    </row>
    <row r="243" spans="1:42" s="66" customFormat="1" x14ac:dyDescent="0.25">
      <c r="A243" s="264"/>
      <c r="B243" s="264"/>
      <c r="C243" s="264"/>
      <c r="D243" s="264"/>
      <c r="E243" s="264"/>
      <c r="F243" s="264"/>
      <c r="G243" s="264"/>
      <c r="H243" s="264"/>
      <c r="I243" s="249"/>
      <c r="J243" s="478"/>
      <c r="K243" s="264"/>
      <c r="L243" s="249"/>
      <c r="M243" s="478"/>
      <c r="N243" s="264"/>
      <c r="O243" s="249"/>
      <c r="P243" s="249"/>
      <c r="Q243" s="478"/>
      <c r="R243" s="478"/>
      <c r="S243" s="249"/>
      <c r="T243" s="267"/>
      <c r="U243" s="267"/>
      <c r="V243" s="267"/>
      <c r="W243" s="249"/>
      <c r="X243" s="249"/>
      <c r="Y243" s="249"/>
      <c r="Z243" s="250"/>
      <c r="AA243" s="266"/>
      <c r="AB243" s="250"/>
      <c r="AC243" s="250"/>
      <c r="AD243" s="250"/>
      <c r="AE243" s="249"/>
      <c r="AF243" s="249"/>
      <c r="AG243" s="249"/>
      <c r="AH243" s="249"/>
      <c r="AI243" s="249"/>
      <c r="AJ243" s="249"/>
      <c r="AK243" s="249"/>
      <c r="AL243" s="249"/>
      <c r="AM243" s="249"/>
      <c r="AN243" s="249"/>
      <c r="AO243" s="249"/>
      <c r="AP243" s="249"/>
    </row>
    <row r="244" spans="1:42" s="66" customFormat="1" x14ac:dyDescent="0.25">
      <c r="A244" s="264"/>
      <c r="B244" s="264"/>
      <c r="C244" s="264"/>
      <c r="D244" s="264"/>
      <c r="E244" s="264"/>
      <c r="F244" s="264"/>
      <c r="G244" s="264"/>
      <c r="H244" s="264"/>
      <c r="I244" s="249"/>
      <c r="J244" s="478"/>
      <c r="K244" s="264"/>
      <c r="L244" s="249"/>
      <c r="M244" s="478"/>
      <c r="N244" s="264"/>
      <c r="O244" s="249"/>
      <c r="P244" s="249"/>
      <c r="Q244" s="478"/>
      <c r="R244" s="478"/>
      <c r="S244" s="249"/>
      <c r="T244" s="267"/>
      <c r="U244" s="267"/>
      <c r="V244" s="267"/>
      <c r="W244" s="249"/>
      <c r="X244" s="249"/>
      <c r="Y244" s="249"/>
      <c r="Z244" s="250"/>
      <c r="AA244" s="266"/>
      <c r="AB244" s="250"/>
      <c r="AC244" s="250"/>
      <c r="AD244" s="250"/>
      <c r="AE244" s="249"/>
      <c r="AF244" s="249"/>
      <c r="AG244" s="249"/>
      <c r="AH244" s="249"/>
      <c r="AI244" s="249"/>
      <c r="AJ244" s="249"/>
      <c r="AK244" s="249"/>
      <c r="AL244" s="249"/>
      <c r="AM244" s="249"/>
      <c r="AN244" s="249"/>
      <c r="AO244" s="249"/>
      <c r="AP244" s="249"/>
    </row>
    <row r="245" spans="1:42" s="66" customFormat="1" x14ac:dyDescent="0.25">
      <c r="A245" s="264"/>
      <c r="B245" s="264"/>
      <c r="C245" s="264"/>
      <c r="D245" s="264"/>
      <c r="E245" s="264"/>
      <c r="F245" s="264"/>
      <c r="G245" s="264"/>
      <c r="H245" s="264"/>
      <c r="I245" s="249"/>
      <c r="J245" s="478"/>
      <c r="K245" s="264"/>
      <c r="L245" s="249"/>
      <c r="M245" s="478"/>
      <c r="N245" s="264"/>
      <c r="O245" s="249"/>
      <c r="P245" s="249"/>
      <c r="Q245" s="478"/>
      <c r="R245" s="478"/>
      <c r="S245" s="249"/>
      <c r="T245" s="267"/>
      <c r="U245" s="267"/>
      <c r="V245" s="267"/>
      <c r="W245" s="249"/>
      <c r="X245" s="249"/>
      <c r="Y245" s="249"/>
      <c r="Z245" s="250"/>
      <c r="AA245" s="266"/>
      <c r="AB245" s="250"/>
      <c r="AC245" s="250"/>
      <c r="AD245" s="250"/>
      <c r="AE245" s="249"/>
      <c r="AF245" s="249"/>
      <c r="AG245" s="249"/>
      <c r="AH245" s="249"/>
      <c r="AI245" s="249"/>
      <c r="AJ245" s="249"/>
      <c r="AK245" s="249"/>
      <c r="AL245" s="249"/>
      <c r="AM245" s="249"/>
      <c r="AN245" s="249"/>
      <c r="AO245" s="249"/>
      <c r="AP245" s="249"/>
    </row>
    <row r="246" spans="1:42" s="66" customFormat="1" x14ac:dyDescent="0.25">
      <c r="A246" s="264"/>
      <c r="B246" s="264"/>
      <c r="C246" s="264"/>
      <c r="D246" s="264"/>
      <c r="E246" s="264"/>
      <c r="F246" s="264"/>
      <c r="G246" s="264"/>
      <c r="H246" s="264"/>
      <c r="I246" s="249"/>
      <c r="J246" s="478"/>
      <c r="K246" s="264"/>
      <c r="L246" s="249"/>
      <c r="M246" s="478"/>
      <c r="N246" s="264"/>
      <c r="O246" s="249"/>
      <c r="P246" s="249"/>
      <c r="Q246" s="478"/>
      <c r="R246" s="478"/>
      <c r="S246" s="249"/>
      <c r="T246" s="267"/>
      <c r="U246" s="267"/>
      <c r="V246" s="267"/>
      <c r="W246" s="249"/>
      <c r="X246" s="249"/>
      <c r="Y246" s="249"/>
      <c r="Z246" s="250"/>
      <c r="AA246" s="266"/>
      <c r="AB246" s="250"/>
      <c r="AC246" s="250"/>
      <c r="AD246" s="250"/>
      <c r="AE246" s="249"/>
      <c r="AF246" s="249"/>
      <c r="AG246" s="249"/>
      <c r="AH246" s="249"/>
      <c r="AI246" s="249"/>
      <c r="AJ246" s="249"/>
      <c r="AK246" s="249"/>
      <c r="AL246" s="249"/>
      <c r="AM246" s="249"/>
      <c r="AN246" s="249"/>
      <c r="AO246" s="249"/>
      <c r="AP246" s="249"/>
    </row>
    <row r="247" spans="1:42" s="66" customFormat="1" x14ac:dyDescent="0.25">
      <c r="A247" s="264"/>
      <c r="B247" s="264"/>
      <c r="C247" s="264"/>
      <c r="D247" s="264"/>
      <c r="E247" s="264"/>
      <c r="F247" s="264"/>
      <c r="G247" s="264"/>
      <c r="H247" s="264"/>
      <c r="I247" s="249"/>
      <c r="J247" s="478"/>
      <c r="K247" s="264"/>
      <c r="L247" s="249"/>
      <c r="M247" s="478"/>
      <c r="N247" s="264"/>
      <c r="O247" s="249"/>
      <c r="P247" s="249"/>
      <c r="Q247" s="478"/>
      <c r="R247" s="478"/>
      <c r="S247" s="249"/>
      <c r="T247" s="267"/>
      <c r="U247" s="267"/>
      <c r="V247" s="267"/>
      <c r="W247" s="249"/>
      <c r="X247" s="249"/>
      <c r="Y247" s="249"/>
      <c r="Z247" s="250"/>
      <c r="AA247" s="266"/>
      <c r="AB247" s="250"/>
      <c r="AC247" s="250"/>
      <c r="AD247" s="250"/>
      <c r="AE247" s="249"/>
      <c r="AF247" s="249"/>
      <c r="AG247" s="249"/>
      <c r="AH247" s="249"/>
      <c r="AI247" s="249"/>
      <c r="AJ247" s="249"/>
      <c r="AK247" s="249"/>
      <c r="AL247" s="249"/>
      <c r="AM247" s="249"/>
      <c r="AN247" s="249"/>
      <c r="AO247" s="249"/>
      <c r="AP247" s="249"/>
    </row>
    <row r="248" spans="1:42" s="66" customFormat="1" x14ac:dyDescent="0.25">
      <c r="A248" s="264"/>
      <c r="B248" s="264"/>
      <c r="C248" s="264"/>
      <c r="D248" s="264"/>
      <c r="E248" s="264"/>
      <c r="F248" s="264"/>
      <c r="G248" s="264"/>
      <c r="H248" s="264"/>
      <c r="I248" s="249"/>
      <c r="J248" s="478"/>
      <c r="K248" s="264"/>
      <c r="L248" s="249"/>
      <c r="M248" s="478"/>
      <c r="N248" s="264"/>
      <c r="O248" s="249"/>
      <c r="P248" s="249"/>
      <c r="Q248" s="478"/>
      <c r="R248" s="478"/>
      <c r="S248" s="249"/>
      <c r="T248" s="267"/>
      <c r="U248" s="267"/>
      <c r="V248" s="267"/>
      <c r="W248" s="249"/>
      <c r="X248" s="249"/>
      <c r="Y248" s="249"/>
      <c r="Z248" s="250"/>
      <c r="AA248" s="266"/>
      <c r="AB248" s="250"/>
      <c r="AC248" s="250"/>
      <c r="AD248" s="250"/>
      <c r="AE248" s="249"/>
      <c r="AF248" s="249"/>
      <c r="AG248" s="249"/>
      <c r="AH248" s="249"/>
      <c r="AI248" s="249"/>
      <c r="AJ248" s="249"/>
      <c r="AK248" s="249"/>
      <c r="AL248" s="249"/>
      <c r="AM248" s="249"/>
      <c r="AN248" s="249"/>
      <c r="AO248" s="249"/>
      <c r="AP248" s="249"/>
    </row>
    <row r="249" spans="1:42" s="66" customFormat="1" x14ac:dyDescent="0.25">
      <c r="A249" s="479"/>
      <c r="B249" s="479"/>
      <c r="C249" s="479"/>
      <c r="D249" s="479"/>
      <c r="E249" s="479"/>
      <c r="F249" s="479"/>
      <c r="G249" s="479"/>
      <c r="H249" s="479"/>
      <c r="J249" s="480"/>
      <c r="K249" s="264"/>
      <c r="M249" s="480"/>
      <c r="Q249" s="480"/>
      <c r="R249" s="480"/>
      <c r="Z249" s="231"/>
      <c r="AA249" s="231"/>
      <c r="AB249" s="231"/>
      <c r="AC249" s="231"/>
      <c r="AD249" s="231"/>
    </row>
    <row r="250" spans="1:42" s="66" customFormat="1" x14ac:dyDescent="0.25">
      <c r="J250" s="480"/>
      <c r="M250" s="480"/>
      <c r="Q250" s="480"/>
      <c r="R250" s="480"/>
      <c r="Z250" s="231"/>
      <c r="AA250" s="231"/>
      <c r="AB250" s="231"/>
      <c r="AC250" s="231"/>
      <c r="AD250" s="231"/>
    </row>
    <row r="251" spans="1:42" x14ac:dyDescent="0.25">
      <c r="Z251" s="27"/>
      <c r="AA251" s="27"/>
      <c r="AB251" s="27"/>
      <c r="AC251" s="27"/>
      <c r="AD251" s="27"/>
    </row>
    <row r="252" spans="1:42" x14ac:dyDescent="0.25">
      <c r="Z252" s="27"/>
      <c r="AA252" s="27"/>
      <c r="AB252" s="27"/>
      <c r="AC252" s="27"/>
      <c r="AD252" s="27"/>
    </row>
    <row r="253" spans="1:42" x14ac:dyDescent="0.25">
      <c r="Z253" s="27"/>
      <c r="AA253" s="27"/>
      <c r="AB253" s="27"/>
      <c r="AC253" s="27"/>
      <c r="AD253" s="27"/>
    </row>
    <row r="254" spans="1:42" x14ac:dyDescent="0.25">
      <c r="Z254" s="27"/>
      <c r="AA254" s="27"/>
      <c r="AB254" s="27"/>
      <c r="AC254" s="27"/>
      <c r="AD254" s="27"/>
    </row>
    <row r="255" spans="1:42" x14ac:dyDescent="0.25">
      <c r="Z255" s="27"/>
      <c r="AA255" s="27"/>
      <c r="AB255" s="27"/>
      <c r="AC255" s="27"/>
      <c r="AD255" s="27"/>
    </row>
    <row r="256" spans="1:42" x14ac:dyDescent="0.25">
      <c r="Z256" s="27"/>
      <c r="AA256" s="27"/>
      <c r="AB256" s="27"/>
      <c r="AC256" s="27"/>
      <c r="AD256" s="27"/>
    </row>
    <row r="257" spans="26:30" x14ac:dyDescent="0.25">
      <c r="Z257" s="27"/>
      <c r="AA257" s="27"/>
      <c r="AB257" s="27"/>
      <c r="AC257" s="27"/>
      <c r="AD257" s="27"/>
    </row>
    <row r="258" spans="26:30" x14ac:dyDescent="0.25">
      <c r="Z258" s="27"/>
      <c r="AA258" s="27"/>
      <c r="AB258" s="27"/>
      <c r="AC258" s="27"/>
      <c r="AD258" s="27"/>
    </row>
    <row r="259" spans="26:30" x14ac:dyDescent="0.25">
      <c r="Z259" s="27"/>
      <c r="AA259" s="27"/>
      <c r="AB259" s="27"/>
      <c r="AC259" s="27"/>
      <c r="AD259" s="27"/>
    </row>
    <row r="260" spans="26:30" x14ac:dyDescent="0.25">
      <c r="Z260" s="27"/>
      <c r="AA260" s="27"/>
      <c r="AB260" s="27"/>
      <c r="AC260" s="27"/>
      <c r="AD260" s="27"/>
    </row>
    <row r="261" spans="26:30" x14ac:dyDescent="0.25">
      <c r="Z261" s="27"/>
      <c r="AA261" s="27"/>
      <c r="AB261" s="27"/>
      <c r="AC261" s="27"/>
      <c r="AD261" s="27"/>
    </row>
    <row r="262" spans="26:30" x14ac:dyDescent="0.25">
      <c r="Z262" s="27"/>
      <c r="AA262" s="27"/>
      <c r="AB262" s="27"/>
      <c r="AC262" s="27"/>
      <c r="AD262" s="27"/>
    </row>
    <row r="263" spans="26:30" x14ac:dyDescent="0.25">
      <c r="Z263" s="27"/>
      <c r="AA263" s="27"/>
      <c r="AB263" s="27"/>
      <c r="AC263" s="27"/>
      <c r="AD263" s="27"/>
    </row>
    <row r="264" spans="26:30" x14ac:dyDescent="0.25">
      <c r="Z264" s="27"/>
      <c r="AA264" s="27"/>
      <c r="AB264" s="27"/>
      <c r="AC264" s="27"/>
      <c r="AD264" s="27"/>
    </row>
    <row r="265" spans="26:30" x14ac:dyDescent="0.25">
      <c r="Z265" s="27"/>
      <c r="AA265" s="27"/>
      <c r="AB265" s="27"/>
      <c r="AC265" s="27"/>
      <c r="AD265" s="27"/>
    </row>
    <row r="266" spans="26:30" x14ac:dyDescent="0.25">
      <c r="Z266" s="27"/>
      <c r="AA266" s="27"/>
      <c r="AB266" s="27"/>
      <c r="AC266" s="27"/>
      <c r="AD266" s="27"/>
    </row>
    <row r="267" spans="26:30" x14ac:dyDescent="0.25">
      <c r="Z267" s="27"/>
      <c r="AA267" s="27"/>
      <c r="AB267" s="27"/>
      <c r="AC267" s="27"/>
      <c r="AD267" s="27"/>
    </row>
    <row r="268" spans="26:30" x14ac:dyDescent="0.25">
      <c r="Z268" s="27"/>
      <c r="AA268" s="27"/>
      <c r="AB268" s="27"/>
      <c r="AC268" s="27"/>
      <c r="AD268" s="27"/>
    </row>
    <row r="269" spans="26:30" x14ac:dyDescent="0.25">
      <c r="Z269" s="27"/>
      <c r="AA269" s="27"/>
      <c r="AB269" s="27"/>
      <c r="AC269" s="27"/>
      <c r="AD269" s="27"/>
    </row>
    <row r="270" spans="26:30" x14ac:dyDescent="0.25">
      <c r="Z270" s="27"/>
      <c r="AA270" s="27"/>
      <c r="AB270" s="27"/>
      <c r="AC270" s="27"/>
      <c r="AD270" s="27"/>
    </row>
    <row r="271" spans="26:30" x14ac:dyDescent="0.25">
      <c r="Z271" s="27"/>
      <c r="AA271" s="27"/>
      <c r="AB271" s="27"/>
      <c r="AC271" s="27"/>
      <c r="AD271" s="27"/>
    </row>
    <row r="272" spans="26:30" x14ac:dyDescent="0.25">
      <c r="Z272" s="27"/>
      <c r="AA272" s="27"/>
      <c r="AB272" s="27"/>
      <c r="AC272" s="27"/>
      <c r="AD272" s="27"/>
    </row>
    <row r="273" spans="26:30" x14ac:dyDescent="0.25">
      <c r="Z273" s="27"/>
      <c r="AA273" s="27"/>
      <c r="AB273" s="27"/>
      <c r="AC273" s="27"/>
      <c r="AD273" s="27"/>
    </row>
    <row r="274" spans="26:30" x14ac:dyDescent="0.25">
      <c r="Z274" s="27"/>
      <c r="AA274" s="27"/>
      <c r="AB274" s="27"/>
      <c r="AC274" s="27"/>
      <c r="AD274" s="27"/>
    </row>
    <row r="275" spans="26:30" x14ac:dyDescent="0.25">
      <c r="Z275" s="27"/>
      <c r="AA275" s="27"/>
      <c r="AB275" s="27"/>
      <c r="AC275" s="27"/>
      <c r="AD275" s="27"/>
    </row>
    <row r="276" spans="26:30" x14ac:dyDescent="0.25">
      <c r="Z276" s="27"/>
      <c r="AA276" s="27"/>
      <c r="AB276" s="27"/>
      <c r="AC276" s="27"/>
      <c r="AD276" s="27"/>
    </row>
    <row r="277" spans="26:30" x14ac:dyDescent="0.25">
      <c r="Z277" s="27"/>
      <c r="AA277" s="27"/>
      <c r="AB277" s="27"/>
      <c r="AC277" s="27"/>
      <c r="AD277" s="27"/>
    </row>
    <row r="278" spans="26:30" x14ac:dyDescent="0.25">
      <c r="Z278" s="27"/>
      <c r="AA278" s="27"/>
      <c r="AB278" s="27"/>
      <c r="AC278" s="27"/>
      <c r="AD278" s="27"/>
    </row>
    <row r="279" spans="26:30" x14ac:dyDescent="0.25">
      <c r="Z279" s="27"/>
      <c r="AA279" s="27"/>
      <c r="AB279" s="27"/>
      <c r="AC279" s="27"/>
      <c r="AD279" s="27"/>
    </row>
    <row r="280" spans="26:30" x14ac:dyDescent="0.25">
      <c r="Z280" s="27"/>
      <c r="AA280" s="27"/>
      <c r="AB280" s="27"/>
      <c r="AC280" s="27"/>
      <c r="AD280" s="27"/>
    </row>
    <row r="281" spans="26:30" x14ac:dyDescent="0.25">
      <c r="Z281" s="27"/>
      <c r="AA281" s="27"/>
      <c r="AB281" s="27"/>
      <c r="AC281" s="27"/>
      <c r="AD281" s="27"/>
    </row>
    <row r="282" spans="26:30" x14ac:dyDescent="0.25">
      <c r="Z282" s="27"/>
      <c r="AA282" s="27"/>
      <c r="AB282" s="27"/>
      <c r="AC282" s="27"/>
      <c r="AD282" s="27"/>
    </row>
    <row r="283" spans="26:30" x14ac:dyDescent="0.25">
      <c r="Z283" s="27"/>
      <c r="AA283" s="27"/>
      <c r="AB283" s="27"/>
      <c r="AC283" s="27"/>
      <c r="AD283" s="27"/>
    </row>
    <row r="284" spans="26:30" x14ac:dyDescent="0.25">
      <c r="Z284" s="27"/>
      <c r="AA284" s="27"/>
      <c r="AB284" s="27"/>
      <c r="AC284" s="27"/>
      <c r="AD284" s="27"/>
    </row>
    <row r="285" spans="26:30" x14ac:dyDescent="0.25">
      <c r="Z285" s="27"/>
      <c r="AA285" s="27"/>
      <c r="AB285" s="27"/>
      <c r="AC285" s="27"/>
      <c r="AD285" s="27"/>
    </row>
    <row r="286" spans="26:30" x14ac:dyDescent="0.25">
      <c r="Z286" s="27"/>
      <c r="AA286" s="27"/>
      <c r="AB286" s="27"/>
      <c r="AC286" s="27"/>
      <c r="AD286" s="27"/>
    </row>
    <row r="287" spans="26:30" x14ac:dyDescent="0.25">
      <c r="Z287" s="27"/>
      <c r="AA287" s="27"/>
      <c r="AB287" s="27"/>
      <c r="AC287" s="27"/>
      <c r="AD287" s="27"/>
    </row>
    <row r="288" spans="26:30" x14ac:dyDescent="0.25">
      <c r="Z288" s="27"/>
      <c r="AA288" s="27"/>
      <c r="AB288" s="27"/>
      <c r="AC288" s="27"/>
      <c r="AD288" s="27"/>
    </row>
    <row r="289" spans="26:30" x14ac:dyDescent="0.25">
      <c r="Z289" s="27"/>
      <c r="AA289" s="27"/>
      <c r="AB289" s="27"/>
      <c r="AC289" s="27"/>
      <c r="AD289" s="27"/>
    </row>
    <row r="290" spans="26:30" x14ac:dyDescent="0.25">
      <c r="Z290" s="27"/>
      <c r="AA290" s="27"/>
      <c r="AB290" s="27"/>
      <c r="AC290" s="27"/>
      <c r="AD290" s="27"/>
    </row>
    <row r="291" spans="26:30" x14ac:dyDescent="0.25">
      <c r="Z291" s="27"/>
      <c r="AA291" s="27"/>
      <c r="AB291" s="27"/>
      <c r="AC291" s="27"/>
      <c r="AD291" s="27"/>
    </row>
    <row r="292" spans="26:30" x14ac:dyDescent="0.25">
      <c r="Z292" s="27"/>
      <c r="AA292" s="27"/>
      <c r="AB292" s="27"/>
      <c r="AC292" s="27"/>
      <c r="AD292" s="27"/>
    </row>
    <row r="293" spans="26:30" x14ac:dyDescent="0.25">
      <c r="Z293" s="27"/>
      <c r="AA293" s="27"/>
      <c r="AB293" s="27"/>
      <c r="AC293" s="27"/>
      <c r="AD293" s="27"/>
    </row>
    <row r="294" spans="26:30" x14ac:dyDescent="0.25">
      <c r="Z294" s="27"/>
      <c r="AA294" s="27"/>
      <c r="AB294" s="27"/>
      <c r="AC294" s="27"/>
      <c r="AD294" s="27"/>
    </row>
    <row r="295" spans="26:30" x14ac:dyDescent="0.25">
      <c r="Z295" s="27"/>
      <c r="AA295" s="27"/>
      <c r="AB295" s="27"/>
      <c r="AC295" s="27"/>
      <c r="AD295" s="27"/>
    </row>
    <row r="296" spans="26:30" x14ac:dyDescent="0.25">
      <c r="Z296" s="27"/>
      <c r="AA296" s="27"/>
      <c r="AB296" s="27"/>
      <c r="AC296" s="27"/>
      <c r="AD296" s="27"/>
    </row>
    <row r="297" spans="26:30" x14ac:dyDescent="0.25">
      <c r="Z297" s="27"/>
      <c r="AA297" s="27"/>
      <c r="AB297" s="27"/>
      <c r="AC297" s="27"/>
      <c r="AD297" s="27"/>
    </row>
    <row r="298" spans="26:30" x14ac:dyDescent="0.25">
      <c r="Z298" s="27"/>
      <c r="AA298" s="27"/>
      <c r="AB298" s="27"/>
      <c r="AC298" s="27"/>
      <c r="AD298" s="27"/>
    </row>
    <row r="299" spans="26:30" x14ac:dyDescent="0.25">
      <c r="Z299" s="27"/>
      <c r="AA299" s="27"/>
      <c r="AB299" s="27"/>
      <c r="AC299" s="27"/>
      <c r="AD299" s="27"/>
    </row>
    <row r="300" spans="26:30" x14ac:dyDescent="0.25">
      <c r="Z300" s="27"/>
      <c r="AA300" s="27"/>
      <c r="AB300" s="27"/>
      <c r="AC300" s="27"/>
      <c r="AD300" s="27"/>
    </row>
    <row r="301" spans="26:30" x14ac:dyDescent="0.25">
      <c r="Z301" s="27"/>
      <c r="AA301" s="27"/>
      <c r="AB301" s="27"/>
      <c r="AC301" s="27"/>
      <c r="AD301" s="27"/>
    </row>
    <row r="302" spans="26:30" x14ac:dyDescent="0.25">
      <c r="Z302" s="27"/>
      <c r="AA302" s="27"/>
      <c r="AB302" s="27"/>
      <c r="AC302" s="27"/>
      <c r="AD302" s="27"/>
    </row>
    <row r="303" spans="26:30" x14ac:dyDescent="0.25">
      <c r="Z303" s="27"/>
      <c r="AA303" s="27"/>
      <c r="AB303" s="27"/>
      <c r="AC303" s="27"/>
      <c r="AD303" s="27"/>
    </row>
    <row r="304" spans="26:30" x14ac:dyDescent="0.25">
      <c r="Z304" s="27"/>
      <c r="AA304" s="27"/>
      <c r="AB304" s="27"/>
      <c r="AC304" s="27"/>
      <c r="AD304" s="27"/>
    </row>
    <row r="305" spans="26:30" x14ac:dyDescent="0.25">
      <c r="Z305" s="27"/>
      <c r="AA305" s="27"/>
      <c r="AB305" s="27"/>
      <c r="AC305" s="27"/>
      <c r="AD305" s="27"/>
    </row>
    <row r="306" spans="26:30" x14ac:dyDescent="0.25">
      <c r="Z306" s="27"/>
      <c r="AA306" s="27"/>
      <c r="AB306" s="27"/>
      <c r="AC306" s="27"/>
      <c r="AD306" s="27"/>
    </row>
    <row r="307" spans="26:30" x14ac:dyDescent="0.25">
      <c r="Z307" s="27"/>
      <c r="AA307" s="27"/>
      <c r="AB307" s="27"/>
      <c r="AC307" s="27"/>
      <c r="AD307" s="27"/>
    </row>
    <row r="308" spans="26:30" x14ac:dyDescent="0.25">
      <c r="Z308" s="27"/>
      <c r="AA308" s="27"/>
      <c r="AB308" s="27"/>
      <c r="AC308" s="27"/>
      <c r="AD308" s="27"/>
    </row>
    <row r="309" spans="26:30" x14ac:dyDescent="0.25">
      <c r="Z309" s="27"/>
      <c r="AA309" s="27"/>
      <c r="AB309" s="27"/>
      <c r="AC309" s="27"/>
      <c r="AD309" s="27"/>
    </row>
    <row r="310" spans="26:30" x14ac:dyDescent="0.25">
      <c r="Z310" s="27"/>
      <c r="AA310" s="27"/>
      <c r="AB310" s="27"/>
      <c r="AC310" s="27"/>
      <c r="AD310" s="27"/>
    </row>
    <row r="311" spans="26:30" x14ac:dyDescent="0.25">
      <c r="Z311" s="27"/>
      <c r="AA311" s="27"/>
      <c r="AB311" s="27"/>
      <c r="AC311" s="27"/>
      <c r="AD311" s="27"/>
    </row>
    <row r="312" spans="26:30" x14ac:dyDescent="0.25">
      <c r="Z312" s="27"/>
      <c r="AA312" s="27"/>
      <c r="AB312" s="27"/>
      <c r="AC312" s="27"/>
      <c r="AD312" s="27"/>
    </row>
    <row r="313" spans="26:30" x14ac:dyDescent="0.25">
      <c r="Z313" s="27"/>
      <c r="AA313" s="27"/>
      <c r="AB313" s="27"/>
      <c r="AC313" s="27"/>
      <c r="AD313" s="27"/>
    </row>
    <row r="314" spans="26:30" x14ac:dyDescent="0.25">
      <c r="Z314" s="27"/>
      <c r="AA314" s="27"/>
      <c r="AB314" s="27"/>
      <c r="AC314" s="27"/>
      <c r="AD314" s="27"/>
    </row>
    <row r="315" spans="26:30" x14ac:dyDescent="0.25">
      <c r="Z315" s="27"/>
      <c r="AA315" s="27"/>
      <c r="AB315" s="27"/>
      <c r="AC315" s="27"/>
      <c r="AD315" s="27"/>
    </row>
    <row r="316" spans="26:30" x14ac:dyDescent="0.25">
      <c r="Z316" s="27"/>
      <c r="AA316" s="27"/>
      <c r="AB316" s="27"/>
      <c r="AC316" s="27"/>
      <c r="AD316" s="27"/>
    </row>
    <row r="317" spans="26:30" x14ac:dyDescent="0.25">
      <c r="Z317" s="27"/>
      <c r="AA317" s="27"/>
      <c r="AB317" s="27"/>
      <c r="AC317" s="27"/>
      <c r="AD317" s="27"/>
    </row>
    <row r="318" spans="26:30" x14ac:dyDescent="0.25">
      <c r="Z318" s="27"/>
      <c r="AA318" s="27"/>
      <c r="AB318" s="27"/>
      <c r="AC318" s="27"/>
      <c r="AD318" s="27"/>
    </row>
    <row r="319" spans="26:30" x14ac:dyDescent="0.25">
      <c r="Z319" s="27"/>
      <c r="AA319" s="27"/>
      <c r="AB319" s="27"/>
      <c r="AC319" s="27"/>
      <c r="AD319" s="27"/>
    </row>
    <row r="320" spans="26:30" x14ac:dyDescent="0.25">
      <c r="Z320" s="27"/>
      <c r="AA320" s="27"/>
      <c r="AB320" s="27"/>
      <c r="AC320" s="27"/>
      <c r="AD320" s="27"/>
    </row>
    <row r="321" spans="26:30" x14ac:dyDescent="0.25">
      <c r="Z321" s="27"/>
      <c r="AA321" s="27"/>
      <c r="AB321" s="27"/>
      <c r="AC321" s="27"/>
      <c r="AD321" s="27"/>
    </row>
    <row r="322" spans="26:30" x14ac:dyDescent="0.25">
      <c r="Z322" s="27"/>
      <c r="AA322" s="27"/>
      <c r="AB322" s="27"/>
      <c r="AC322" s="27"/>
      <c r="AD322" s="27"/>
    </row>
    <row r="323" spans="26:30" x14ac:dyDescent="0.25">
      <c r="Z323" s="27"/>
      <c r="AA323" s="27"/>
      <c r="AB323" s="27"/>
      <c r="AC323" s="27"/>
      <c r="AD323" s="27"/>
    </row>
    <row r="324" spans="26:30" x14ac:dyDescent="0.25">
      <c r="Z324" s="27"/>
      <c r="AA324" s="27"/>
      <c r="AB324" s="27"/>
      <c r="AC324" s="27"/>
      <c r="AD324" s="27"/>
    </row>
    <row r="325" spans="26:30" x14ac:dyDescent="0.25">
      <c r="Z325" s="27"/>
      <c r="AA325" s="27"/>
      <c r="AB325" s="27"/>
      <c r="AC325" s="27"/>
      <c r="AD325" s="27"/>
    </row>
    <row r="326" spans="26:30" x14ac:dyDescent="0.25">
      <c r="Z326" s="27"/>
      <c r="AA326" s="27"/>
      <c r="AB326" s="27"/>
      <c r="AC326" s="27"/>
      <c r="AD326" s="27"/>
    </row>
    <row r="327" spans="26:30" x14ac:dyDescent="0.25">
      <c r="Z327" s="27"/>
      <c r="AA327" s="27"/>
      <c r="AB327" s="27"/>
      <c r="AC327" s="27"/>
      <c r="AD327" s="27"/>
    </row>
    <row r="328" spans="26:30" x14ac:dyDescent="0.25">
      <c r="Z328" s="27"/>
      <c r="AA328" s="27"/>
      <c r="AB328" s="27"/>
      <c r="AC328" s="27"/>
      <c r="AD328" s="27"/>
    </row>
    <row r="329" spans="26:30" x14ac:dyDescent="0.25">
      <c r="Z329" s="27"/>
      <c r="AA329" s="27"/>
      <c r="AB329" s="27"/>
      <c r="AC329" s="27"/>
      <c r="AD329" s="27"/>
    </row>
    <row r="330" spans="26:30" x14ac:dyDescent="0.25">
      <c r="Z330" s="27"/>
      <c r="AA330" s="27"/>
      <c r="AB330" s="27"/>
      <c r="AC330" s="27"/>
      <c r="AD330" s="27"/>
    </row>
    <row r="331" spans="26:30" x14ac:dyDescent="0.25">
      <c r="Z331" s="27"/>
      <c r="AA331" s="27"/>
      <c r="AB331" s="27"/>
      <c r="AC331" s="27"/>
      <c r="AD331" s="27"/>
    </row>
    <row r="332" spans="26:30" x14ac:dyDescent="0.25">
      <c r="Z332" s="27"/>
      <c r="AA332" s="27"/>
      <c r="AB332" s="27"/>
      <c r="AC332" s="27"/>
      <c r="AD332" s="27"/>
    </row>
    <row r="333" spans="26:30" x14ac:dyDescent="0.25">
      <c r="Z333" s="27"/>
      <c r="AA333" s="27"/>
      <c r="AB333" s="27"/>
      <c r="AC333" s="27"/>
      <c r="AD333" s="27"/>
    </row>
    <row r="334" spans="26:30" x14ac:dyDescent="0.25">
      <c r="Z334" s="27"/>
      <c r="AA334" s="27"/>
      <c r="AB334" s="27"/>
      <c r="AC334" s="27"/>
      <c r="AD334" s="27"/>
    </row>
    <row r="335" spans="26:30" x14ac:dyDescent="0.25">
      <c r="Z335" s="27"/>
      <c r="AA335" s="27"/>
      <c r="AB335" s="27"/>
      <c r="AC335" s="27"/>
      <c r="AD335" s="27"/>
    </row>
    <row r="336" spans="26:30" x14ac:dyDescent="0.25">
      <c r="Z336" s="27"/>
      <c r="AA336" s="27"/>
      <c r="AB336" s="27"/>
      <c r="AC336" s="27"/>
      <c r="AD336" s="27"/>
    </row>
    <row r="337" spans="26:30" x14ac:dyDescent="0.25">
      <c r="Z337" s="27"/>
      <c r="AA337" s="27"/>
      <c r="AB337" s="27"/>
      <c r="AC337" s="27"/>
      <c r="AD337" s="27"/>
    </row>
    <row r="338" spans="26:30" x14ac:dyDescent="0.25">
      <c r="Z338" s="27"/>
      <c r="AA338" s="27"/>
      <c r="AB338" s="27"/>
      <c r="AC338" s="27"/>
      <c r="AD338" s="27"/>
    </row>
    <row r="339" spans="26:30" x14ac:dyDescent="0.25">
      <c r="Z339" s="27"/>
      <c r="AA339" s="27"/>
      <c r="AB339" s="27"/>
      <c r="AC339" s="27"/>
      <c r="AD339" s="27"/>
    </row>
    <row r="340" spans="26:30" x14ac:dyDescent="0.25">
      <c r="Z340" s="27"/>
      <c r="AA340" s="27"/>
      <c r="AB340" s="27"/>
      <c r="AC340" s="27"/>
      <c r="AD340" s="27"/>
    </row>
    <row r="341" spans="26:30" x14ac:dyDescent="0.25">
      <c r="Z341" s="27"/>
      <c r="AA341" s="27"/>
      <c r="AB341" s="27"/>
      <c r="AC341" s="27"/>
      <c r="AD341" s="27"/>
    </row>
    <row r="342" spans="26:30" x14ac:dyDescent="0.25">
      <c r="Z342" s="27"/>
      <c r="AA342" s="27"/>
      <c r="AB342" s="27"/>
      <c r="AC342" s="27"/>
      <c r="AD342" s="27"/>
    </row>
    <row r="343" spans="26:30" x14ac:dyDescent="0.25">
      <c r="Z343" s="27"/>
      <c r="AA343" s="27"/>
      <c r="AB343" s="27"/>
      <c r="AC343" s="27"/>
      <c r="AD343" s="27"/>
    </row>
    <row r="344" spans="26:30" x14ac:dyDescent="0.25">
      <c r="Z344" s="27"/>
      <c r="AA344" s="27"/>
      <c r="AB344" s="27"/>
      <c r="AC344" s="27"/>
      <c r="AD344" s="27"/>
    </row>
    <row r="345" spans="26:30" x14ac:dyDescent="0.25">
      <c r="Z345" s="27"/>
      <c r="AA345" s="27"/>
      <c r="AB345" s="27"/>
      <c r="AC345" s="27"/>
      <c r="AD345" s="27"/>
    </row>
    <row r="346" spans="26:30" x14ac:dyDescent="0.25">
      <c r="Z346" s="27"/>
      <c r="AA346" s="27"/>
      <c r="AB346" s="27"/>
      <c r="AC346" s="27"/>
      <c r="AD346" s="27"/>
    </row>
    <row r="347" spans="26:30" x14ac:dyDescent="0.25">
      <c r="Z347" s="27"/>
      <c r="AA347" s="27"/>
      <c r="AB347" s="27"/>
      <c r="AC347" s="27"/>
      <c r="AD347" s="27"/>
    </row>
    <row r="348" spans="26:30" x14ac:dyDescent="0.25">
      <c r="Z348" s="27"/>
      <c r="AA348" s="27"/>
      <c r="AB348" s="27"/>
      <c r="AC348" s="27"/>
      <c r="AD348" s="27"/>
    </row>
    <row r="349" spans="26:30" x14ac:dyDescent="0.25">
      <c r="Z349" s="27"/>
      <c r="AA349" s="27"/>
      <c r="AB349" s="27"/>
      <c r="AC349" s="27"/>
      <c r="AD349" s="27"/>
    </row>
    <row r="350" spans="26:30" x14ac:dyDescent="0.25">
      <c r="Z350" s="27"/>
      <c r="AA350" s="27"/>
      <c r="AB350" s="27"/>
      <c r="AC350" s="27"/>
      <c r="AD350" s="27"/>
    </row>
    <row r="351" spans="26:30" x14ac:dyDescent="0.25">
      <c r="Z351" s="27"/>
      <c r="AA351" s="27"/>
      <c r="AB351" s="27"/>
      <c r="AC351" s="27"/>
      <c r="AD351" s="27"/>
    </row>
    <row r="352" spans="26:30" x14ac:dyDescent="0.25">
      <c r="Z352" s="27"/>
      <c r="AA352" s="27"/>
      <c r="AB352" s="27"/>
      <c r="AC352" s="27"/>
      <c r="AD352" s="27"/>
    </row>
    <row r="353" spans="26:30" x14ac:dyDescent="0.25">
      <c r="Z353" s="27"/>
      <c r="AA353" s="27"/>
      <c r="AB353" s="27"/>
      <c r="AC353" s="27"/>
      <c r="AD353" s="27"/>
    </row>
    <row r="354" spans="26:30" x14ac:dyDescent="0.25">
      <c r="Z354" s="27"/>
      <c r="AA354" s="27"/>
      <c r="AB354" s="27"/>
      <c r="AC354" s="27"/>
      <c r="AD354" s="27"/>
    </row>
    <row r="355" spans="26:30" x14ac:dyDescent="0.25">
      <c r="Z355" s="27"/>
      <c r="AA355" s="27"/>
      <c r="AB355" s="27"/>
      <c r="AC355" s="27"/>
      <c r="AD355" s="27"/>
    </row>
    <row r="356" spans="26:30" x14ac:dyDescent="0.25">
      <c r="Z356" s="27"/>
      <c r="AA356" s="27"/>
      <c r="AB356" s="27"/>
      <c r="AC356" s="27"/>
      <c r="AD356" s="27"/>
    </row>
    <row r="357" spans="26:30" x14ac:dyDescent="0.25">
      <c r="Z357" s="27"/>
      <c r="AA357" s="27"/>
      <c r="AB357" s="27"/>
      <c r="AC357" s="27"/>
      <c r="AD357" s="27"/>
    </row>
    <row r="358" spans="26:30" x14ac:dyDescent="0.25">
      <c r="Z358" s="27"/>
      <c r="AA358" s="27"/>
      <c r="AB358" s="27"/>
      <c r="AC358" s="27"/>
      <c r="AD358" s="27"/>
    </row>
    <row r="359" spans="26:30" x14ac:dyDescent="0.25">
      <c r="Z359" s="27"/>
      <c r="AA359" s="27"/>
      <c r="AB359" s="27"/>
      <c r="AC359" s="27"/>
      <c r="AD359" s="27"/>
    </row>
    <row r="360" spans="26:30" x14ac:dyDescent="0.25">
      <c r="Z360" s="27"/>
      <c r="AA360" s="27"/>
      <c r="AB360" s="27"/>
      <c r="AC360" s="27"/>
      <c r="AD360" s="27"/>
    </row>
    <row r="361" spans="26:30" x14ac:dyDescent="0.25">
      <c r="Z361" s="27"/>
      <c r="AA361" s="27"/>
      <c r="AB361" s="27"/>
      <c r="AC361" s="27"/>
      <c r="AD361" s="27"/>
    </row>
    <row r="362" spans="26:30" x14ac:dyDescent="0.25">
      <c r="Z362" s="27"/>
      <c r="AA362" s="27"/>
      <c r="AB362" s="27"/>
      <c r="AC362" s="27"/>
      <c r="AD362" s="27"/>
    </row>
    <row r="363" spans="26:30" x14ac:dyDescent="0.25">
      <c r="Z363" s="27"/>
      <c r="AA363" s="27"/>
      <c r="AB363" s="27"/>
      <c r="AC363" s="27"/>
      <c r="AD363" s="27"/>
    </row>
    <row r="364" spans="26:30" x14ac:dyDescent="0.25">
      <c r="Z364" s="27"/>
      <c r="AA364" s="27"/>
      <c r="AB364" s="27"/>
      <c r="AC364" s="27"/>
      <c r="AD364" s="27"/>
    </row>
    <row r="365" spans="26:30" x14ac:dyDescent="0.25">
      <c r="Z365" s="27"/>
      <c r="AA365" s="27"/>
      <c r="AB365" s="27"/>
      <c r="AC365" s="27"/>
      <c r="AD365" s="27"/>
    </row>
    <row r="366" spans="26:30" x14ac:dyDescent="0.25">
      <c r="Z366" s="27"/>
      <c r="AA366" s="27"/>
      <c r="AB366" s="27"/>
      <c r="AC366" s="27"/>
      <c r="AD366" s="27"/>
    </row>
    <row r="367" spans="26:30" x14ac:dyDescent="0.25">
      <c r="Z367" s="27"/>
      <c r="AA367" s="27"/>
      <c r="AB367" s="27"/>
      <c r="AC367" s="27"/>
      <c r="AD367" s="27"/>
    </row>
    <row r="368" spans="26:30" x14ac:dyDescent="0.25">
      <c r="Z368" s="27"/>
      <c r="AA368" s="27"/>
      <c r="AB368" s="27"/>
      <c r="AC368" s="27"/>
      <c r="AD368" s="27"/>
    </row>
    <row r="369" spans="26:30" x14ac:dyDescent="0.25">
      <c r="Z369" s="27"/>
      <c r="AA369" s="27"/>
      <c r="AB369" s="27"/>
      <c r="AC369" s="27"/>
      <c r="AD369" s="27"/>
    </row>
    <row r="370" spans="26:30" x14ac:dyDescent="0.25">
      <c r="Z370" s="27"/>
      <c r="AA370" s="27"/>
      <c r="AB370" s="27"/>
      <c r="AC370" s="27"/>
      <c r="AD370" s="27"/>
    </row>
    <row r="371" spans="26:30" x14ac:dyDescent="0.25">
      <c r="Z371" s="27"/>
      <c r="AA371" s="27"/>
      <c r="AB371" s="27"/>
      <c r="AC371" s="27"/>
      <c r="AD371" s="27"/>
    </row>
    <row r="372" spans="26:30" x14ac:dyDescent="0.25">
      <c r="Z372" s="27"/>
      <c r="AA372" s="27"/>
      <c r="AB372" s="27"/>
      <c r="AC372" s="27"/>
      <c r="AD372" s="27"/>
    </row>
    <row r="373" spans="26:30" x14ac:dyDescent="0.25">
      <c r="Z373" s="27"/>
      <c r="AA373" s="27"/>
      <c r="AB373" s="27"/>
      <c r="AC373" s="27"/>
      <c r="AD373" s="27"/>
    </row>
    <row r="374" spans="26:30" x14ac:dyDescent="0.25">
      <c r="Z374" s="27"/>
      <c r="AA374" s="27"/>
      <c r="AB374" s="27"/>
      <c r="AC374" s="27"/>
      <c r="AD374" s="27"/>
    </row>
    <row r="375" spans="26:30" x14ac:dyDescent="0.25">
      <c r="Z375" s="27"/>
      <c r="AA375" s="27"/>
      <c r="AB375" s="27"/>
      <c r="AC375" s="27"/>
      <c r="AD375" s="27"/>
    </row>
    <row r="376" spans="26:30" x14ac:dyDescent="0.25">
      <c r="Z376" s="27"/>
      <c r="AA376" s="27"/>
      <c r="AB376" s="27"/>
      <c r="AC376" s="27"/>
      <c r="AD376" s="27"/>
    </row>
    <row r="377" spans="26:30" x14ac:dyDescent="0.25">
      <c r="Z377" s="27"/>
      <c r="AA377" s="27"/>
      <c r="AB377" s="27"/>
      <c r="AC377" s="27"/>
      <c r="AD377" s="27"/>
    </row>
    <row r="378" spans="26:30" x14ac:dyDescent="0.25">
      <c r="Z378" s="27"/>
      <c r="AA378" s="27"/>
      <c r="AB378" s="27"/>
      <c r="AC378" s="27"/>
      <c r="AD378" s="27"/>
    </row>
    <row r="379" spans="26:30" x14ac:dyDescent="0.25">
      <c r="Z379" s="27"/>
      <c r="AA379" s="27"/>
      <c r="AB379" s="27"/>
      <c r="AC379" s="27"/>
      <c r="AD379" s="27"/>
    </row>
    <row r="380" spans="26:30" x14ac:dyDescent="0.25">
      <c r="Z380" s="27"/>
      <c r="AA380" s="27"/>
      <c r="AB380" s="27"/>
      <c r="AC380" s="27"/>
      <c r="AD380" s="27"/>
    </row>
    <row r="381" spans="26:30" x14ac:dyDescent="0.25">
      <c r="Z381" s="27"/>
      <c r="AA381" s="27"/>
      <c r="AB381" s="27"/>
      <c r="AC381" s="27"/>
      <c r="AD381" s="27"/>
    </row>
    <row r="382" spans="26:30" x14ac:dyDescent="0.25">
      <c r="Z382" s="27"/>
      <c r="AA382" s="27"/>
      <c r="AB382" s="27"/>
      <c r="AC382" s="27"/>
      <c r="AD382" s="27"/>
    </row>
    <row r="383" spans="26:30" x14ac:dyDescent="0.25">
      <c r="Z383" s="27"/>
      <c r="AA383" s="27"/>
      <c r="AB383" s="27"/>
      <c r="AC383" s="27"/>
      <c r="AD383" s="27"/>
    </row>
    <row r="384" spans="26:30" x14ac:dyDescent="0.25">
      <c r="Z384" s="27"/>
      <c r="AA384" s="27"/>
      <c r="AB384" s="27"/>
      <c r="AC384" s="27"/>
      <c r="AD384" s="27"/>
    </row>
    <row r="385" spans="26:30" x14ac:dyDescent="0.25">
      <c r="Z385" s="27"/>
      <c r="AA385" s="27"/>
      <c r="AB385" s="27"/>
      <c r="AC385" s="27"/>
      <c r="AD385" s="27"/>
    </row>
    <row r="386" spans="26:30" x14ac:dyDescent="0.25">
      <c r="Z386" s="27"/>
      <c r="AA386" s="27"/>
      <c r="AB386" s="27"/>
      <c r="AC386" s="27"/>
      <c r="AD386" s="27"/>
    </row>
    <row r="387" spans="26:30" x14ac:dyDescent="0.25">
      <c r="Z387" s="27"/>
      <c r="AA387" s="27"/>
      <c r="AB387" s="27"/>
      <c r="AC387" s="27"/>
      <c r="AD387" s="27"/>
    </row>
    <row r="388" spans="26:30" x14ac:dyDescent="0.25">
      <c r="Z388" s="27"/>
      <c r="AA388" s="27"/>
      <c r="AB388" s="27"/>
      <c r="AC388" s="27"/>
      <c r="AD388" s="27"/>
    </row>
    <row r="389" spans="26:30" x14ac:dyDescent="0.25">
      <c r="Z389" s="27"/>
      <c r="AA389" s="27"/>
      <c r="AB389" s="27"/>
      <c r="AC389" s="27"/>
      <c r="AD389" s="27"/>
    </row>
    <row r="390" spans="26:30" x14ac:dyDescent="0.25">
      <c r="Z390" s="27"/>
      <c r="AA390" s="27"/>
      <c r="AB390" s="27"/>
      <c r="AC390" s="27"/>
      <c r="AD390" s="27"/>
    </row>
    <row r="391" spans="26:30" x14ac:dyDescent="0.25">
      <c r="Z391" s="27"/>
      <c r="AA391" s="27"/>
      <c r="AB391" s="27"/>
      <c r="AC391" s="27"/>
      <c r="AD391" s="27"/>
    </row>
    <row r="392" spans="26:30" x14ac:dyDescent="0.25">
      <c r="Z392" s="27"/>
      <c r="AA392" s="27"/>
      <c r="AB392" s="27"/>
      <c r="AC392" s="27"/>
      <c r="AD392" s="27"/>
    </row>
    <row r="393" spans="26:30" x14ac:dyDescent="0.25">
      <c r="Z393" s="27"/>
      <c r="AA393" s="27"/>
      <c r="AB393" s="27"/>
      <c r="AC393" s="27"/>
      <c r="AD393" s="27"/>
    </row>
    <row r="394" spans="26:30" x14ac:dyDescent="0.25">
      <c r="Z394" s="27"/>
      <c r="AA394" s="27"/>
      <c r="AB394" s="27"/>
      <c r="AC394" s="27"/>
      <c r="AD394" s="27"/>
    </row>
    <row r="395" spans="26:30" x14ac:dyDescent="0.25">
      <c r="Z395" s="27"/>
      <c r="AA395" s="27"/>
      <c r="AB395" s="27"/>
      <c r="AC395" s="27"/>
      <c r="AD395" s="27"/>
    </row>
    <row r="396" spans="26:30" x14ac:dyDescent="0.25">
      <c r="Z396" s="27"/>
      <c r="AA396" s="27"/>
      <c r="AB396" s="27"/>
      <c r="AC396" s="27"/>
      <c r="AD396" s="27"/>
    </row>
    <row r="397" spans="26:30" x14ac:dyDescent="0.25">
      <c r="Z397" s="27"/>
      <c r="AA397" s="27"/>
      <c r="AB397" s="27"/>
      <c r="AC397" s="27"/>
      <c r="AD397" s="27"/>
    </row>
    <row r="398" spans="26:30" x14ac:dyDescent="0.25">
      <c r="Z398" s="27"/>
      <c r="AA398" s="27"/>
      <c r="AB398" s="27"/>
      <c r="AC398" s="27"/>
      <c r="AD398" s="27"/>
    </row>
    <row r="399" spans="26:30" x14ac:dyDescent="0.25">
      <c r="Z399" s="27"/>
      <c r="AA399" s="27"/>
      <c r="AB399" s="27"/>
      <c r="AC399" s="27"/>
      <c r="AD399" s="27"/>
    </row>
    <row r="400" spans="26:30" x14ac:dyDescent="0.25">
      <c r="Z400" s="27"/>
      <c r="AA400" s="27"/>
      <c r="AB400" s="27"/>
      <c r="AC400" s="27"/>
      <c r="AD400" s="27"/>
    </row>
    <row r="401" spans="26:30" x14ac:dyDescent="0.25">
      <c r="Z401" s="27"/>
      <c r="AA401" s="27"/>
      <c r="AB401" s="27"/>
      <c r="AC401" s="27"/>
      <c r="AD401" s="27"/>
    </row>
    <row r="402" spans="26:30" x14ac:dyDescent="0.25">
      <c r="Z402" s="27"/>
      <c r="AA402" s="27"/>
      <c r="AB402" s="27"/>
      <c r="AC402" s="27"/>
      <c r="AD402" s="27"/>
    </row>
    <row r="403" spans="26:30" x14ac:dyDescent="0.25">
      <c r="Z403" s="27"/>
      <c r="AA403" s="27"/>
      <c r="AB403" s="27"/>
      <c r="AC403" s="27"/>
      <c r="AD403" s="27"/>
    </row>
    <row r="404" spans="26:30" x14ac:dyDescent="0.25">
      <c r="Z404" s="27"/>
      <c r="AA404" s="27"/>
      <c r="AB404" s="27"/>
      <c r="AC404" s="27"/>
      <c r="AD404" s="27"/>
    </row>
    <row r="405" spans="26:30" x14ac:dyDescent="0.25">
      <c r="Z405" s="27"/>
      <c r="AA405" s="27"/>
      <c r="AB405" s="27"/>
      <c r="AC405" s="27"/>
      <c r="AD405" s="27"/>
    </row>
    <row r="406" spans="26:30" x14ac:dyDescent="0.25">
      <c r="Z406" s="27"/>
      <c r="AA406" s="27"/>
      <c r="AB406" s="27"/>
      <c r="AC406" s="27"/>
      <c r="AD406" s="27"/>
    </row>
    <row r="407" spans="26:30" x14ac:dyDescent="0.25">
      <c r="Z407" s="27"/>
      <c r="AA407" s="27"/>
      <c r="AB407" s="27"/>
      <c r="AC407" s="27"/>
      <c r="AD407" s="27"/>
    </row>
    <row r="408" spans="26:30" x14ac:dyDescent="0.25">
      <c r="Z408" s="27"/>
      <c r="AA408" s="27"/>
      <c r="AB408" s="27"/>
      <c r="AC408" s="27"/>
      <c r="AD408" s="27"/>
    </row>
    <row r="409" spans="26:30" x14ac:dyDescent="0.25">
      <c r="Z409" s="27"/>
      <c r="AA409" s="27"/>
      <c r="AB409" s="27"/>
      <c r="AC409" s="27"/>
      <c r="AD409" s="27"/>
    </row>
    <row r="410" spans="26:30" x14ac:dyDescent="0.25">
      <c r="Z410" s="27"/>
      <c r="AA410" s="27"/>
      <c r="AB410" s="27"/>
      <c r="AC410" s="27"/>
      <c r="AD410" s="27"/>
    </row>
    <row r="411" spans="26:30" x14ac:dyDescent="0.25">
      <c r="Z411" s="27"/>
      <c r="AA411" s="27"/>
      <c r="AB411" s="27"/>
      <c r="AC411" s="27"/>
      <c r="AD411" s="27"/>
    </row>
    <row r="412" spans="26:30" x14ac:dyDescent="0.25">
      <c r="Z412" s="27"/>
      <c r="AA412" s="27"/>
      <c r="AB412" s="27"/>
      <c r="AC412" s="27"/>
      <c r="AD412" s="27"/>
    </row>
    <row r="413" spans="26:30" x14ac:dyDescent="0.25">
      <c r="Z413" s="27"/>
      <c r="AA413" s="27"/>
      <c r="AB413" s="27"/>
      <c r="AC413" s="27"/>
      <c r="AD413" s="27"/>
    </row>
    <row r="414" spans="26:30" x14ac:dyDescent="0.25">
      <c r="Z414" s="27"/>
      <c r="AA414" s="27"/>
      <c r="AB414" s="27"/>
      <c r="AC414" s="27"/>
      <c r="AD414" s="27"/>
    </row>
    <row r="415" spans="26:30" x14ac:dyDescent="0.25">
      <c r="Z415" s="27"/>
      <c r="AA415" s="27"/>
      <c r="AB415" s="27"/>
      <c r="AC415" s="27"/>
      <c r="AD415" s="27"/>
    </row>
    <row r="416" spans="26:30" x14ac:dyDescent="0.25">
      <c r="Z416" s="27"/>
      <c r="AA416" s="27"/>
      <c r="AB416" s="27"/>
      <c r="AC416" s="27"/>
      <c r="AD416" s="27"/>
    </row>
    <row r="417" spans="26:30" x14ac:dyDescent="0.25">
      <c r="Z417" s="27"/>
      <c r="AA417" s="27"/>
      <c r="AB417" s="27"/>
      <c r="AC417" s="27"/>
      <c r="AD417" s="27"/>
    </row>
    <row r="418" spans="26:30" x14ac:dyDescent="0.25">
      <c r="Z418" s="27"/>
      <c r="AA418" s="27"/>
      <c r="AB418" s="27"/>
      <c r="AC418" s="27"/>
      <c r="AD418" s="27"/>
    </row>
    <row r="419" spans="26:30" x14ac:dyDescent="0.25">
      <c r="Z419" s="27"/>
      <c r="AA419" s="27"/>
      <c r="AB419" s="27"/>
      <c r="AC419" s="27"/>
      <c r="AD419" s="27"/>
    </row>
    <row r="420" spans="26:30" x14ac:dyDescent="0.25">
      <c r="Z420" s="27"/>
      <c r="AA420" s="27"/>
      <c r="AB420" s="27"/>
      <c r="AC420" s="27"/>
      <c r="AD420" s="27"/>
    </row>
    <row r="421" spans="26:30" x14ac:dyDescent="0.25">
      <c r="Z421" s="27"/>
      <c r="AA421" s="27"/>
      <c r="AB421" s="27"/>
      <c r="AC421" s="27"/>
      <c r="AD421" s="27"/>
    </row>
    <row r="422" spans="26:30" x14ac:dyDescent="0.25">
      <c r="Z422" s="27"/>
      <c r="AA422" s="27"/>
      <c r="AB422" s="27"/>
      <c r="AC422" s="27"/>
      <c r="AD422" s="27"/>
    </row>
    <row r="423" spans="26:30" x14ac:dyDescent="0.25">
      <c r="Z423" s="27"/>
      <c r="AA423" s="27"/>
      <c r="AB423" s="27"/>
      <c r="AC423" s="27"/>
      <c r="AD423" s="27"/>
    </row>
    <row r="424" spans="26:30" x14ac:dyDescent="0.25">
      <c r="Z424" s="27"/>
      <c r="AA424" s="27"/>
      <c r="AB424" s="27"/>
      <c r="AC424" s="27"/>
      <c r="AD424" s="27"/>
    </row>
    <row r="425" spans="26:30" x14ac:dyDescent="0.25">
      <c r="Z425" s="27"/>
      <c r="AA425" s="27"/>
      <c r="AB425" s="27"/>
      <c r="AC425" s="27"/>
      <c r="AD425" s="27"/>
    </row>
    <row r="426" spans="26:30" x14ac:dyDescent="0.25">
      <c r="Z426" s="27"/>
      <c r="AA426" s="27"/>
      <c r="AB426" s="27"/>
      <c r="AC426" s="27"/>
      <c r="AD426" s="27"/>
    </row>
    <row r="427" spans="26:30" x14ac:dyDescent="0.25">
      <c r="Z427" s="27"/>
      <c r="AA427" s="27"/>
      <c r="AB427" s="27"/>
      <c r="AC427" s="27"/>
      <c r="AD427" s="27"/>
    </row>
    <row r="428" spans="26:30" x14ac:dyDescent="0.25">
      <c r="Z428" s="27"/>
      <c r="AA428" s="27"/>
      <c r="AB428" s="27"/>
      <c r="AC428" s="27"/>
      <c r="AD428" s="27"/>
    </row>
    <row r="429" spans="26:30" x14ac:dyDescent="0.25">
      <c r="Z429" s="27"/>
      <c r="AA429" s="27"/>
      <c r="AB429" s="27"/>
      <c r="AC429" s="27"/>
      <c r="AD429" s="27"/>
    </row>
    <row r="430" spans="26:30" x14ac:dyDescent="0.25">
      <c r="Z430" s="27"/>
      <c r="AA430" s="27"/>
      <c r="AB430" s="27"/>
      <c r="AC430" s="27"/>
      <c r="AD430" s="27"/>
    </row>
    <row r="431" spans="26:30" x14ac:dyDescent="0.25">
      <c r="Z431" s="27"/>
      <c r="AA431" s="27"/>
      <c r="AB431" s="27"/>
      <c r="AC431" s="27"/>
      <c r="AD431" s="27"/>
    </row>
    <row r="432" spans="26:30" x14ac:dyDescent="0.25">
      <c r="Z432" s="27"/>
      <c r="AA432" s="27"/>
      <c r="AB432" s="27"/>
      <c r="AC432" s="27"/>
      <c r="AD432" s="27"/>
    </row>
    <row r="433" spans="26:30" x14ac:dyDescent="0.25">
      <c r="Z433" s="27"/>
      <c r="AA433" s="27"/>
      <c r="AB433" s="27"/>
      <c r="AC433" s="27"/>
      <c r="AD433" s="27"/>
    </row>
    <row r="434" spans="26:30" x14ac:dyDescent="0.25">
      <c r="Z434" s="27"/>
      <c r="AA434" s="27"/>
      <c r="AB434" s="27"/>
      <c r="AC434" s="27"/>
      <c r="AD434" s="27"/>
    </row>
    <row r="435" spans="26:30" x14ac:dyDescent="0.25">
      <c r="Z435" s="27"/>
      <c r="AA435" s="27"/>
      <c r="AB435" s="27"/>
      <c r="AC435" s="27"/>
      <c r="AD435" s="27"/>
    </row>
    <row r="436" spans="26:30" x14ac:dyDescent="0.25">
      <c r="Z436" s="27"/>
      <c r="AA436" s="27"/>
      <c r="AB436" s="27"/>
      <c r="AC436" s="27"/>
      <c r="AD436" s="27"/>
    </row>
    <row r="437" spans="26:30" x14ac:dyDescent="0.25">
      <c r="Z437" s="27"/>
      <c r="AA437" s="27"/>
      <c r="AB437" s="27"/>
      <c r="AC437" s="27"/>
      <c r="AD437" s="27"/>
    </row>
    <row r="438" spans="26:30" x14ac:dyDescent="0.25">
      <c r="Z438" s="27"/>
      <c r="AA438" s="27"/>
      <c r="AB438" s="27"/>
      <c r="AC438" s="27"/>
      <c r="AD438" s="27"/>
    </row>
    <row r="439" spans="26:30" x14ac:dyDescent="0.25">
      <c r="Z439" s="27"/>
      <c r="AA439" s="27"/>
      <c r="AB439" s="27"/>
      <c r="AC439" s="27"/>
      <c r="AD439" s="27"/>
    </row>
    <row r="440" spans="26:30" x14ac:dyDescent="0.25">
      <c r="Z440" s="27"/>
      <c r="AA440" s="27"/>
      <c r="AB440" s="27"/>
      <c r="AC440" s="27"/>
      <c r="AD440" s="27"/>
    </row>
    <row r="441" spans="26:30" x14ac:dyDescent="0.25">
      <c r="Z441" s="27"/>
      <c r="AA441" s="27"/>
      <c r="AB441" s="27"/>
      <c r="AC441" s="27"/>
      <c r="AD441" s="27"/>
    </row>
    <row r="442" spans="26:30" x14ac:dyDescent="0.25">
      <c r="Z442" s="27"/>
      <c r="AA442" s="27"/>
      <c r="AB442" s="27"/>
      <c r="AC442" s="27"/>
      <c r="AD442" s="27"/>
    </row>
    <row r="443" spans="26:30" x14ac:dyDescent="0.25">
      <c r="Z443" s="27"/>
      <c r="AA443" s="27"/>
      <c r="AB443" s="27"/>
      <c r="AC443" s="27"/>
      <c r="AD443" s="27"/>
    </row>
    <row r="444" spans="26:30" x14ac:dyDescent="0.25">
      <c r="Z444" s="27"/>
      <c r="AA444" s="27"/>
      <c r="AB444" s="27"/>
      <c r="AC444" s="27"/>
      <c r="AD444" s="27"/>
    </row>
    <row r="445" spans="26:30" x14ac:dyDescent="0.25">
      <c r="Z445" s="27"/>
      <c r="AA445" s="27"/>
      <c r="AB445" s="27"/>
      <c r="AC445" s="27"/>
      <c r="AD445" s="27"/>
    </row>
    <row r="446" spans="26:30" x14ac:dyDescent="0.25">
      <c r="Z446" s="27"/>
      <c r="AA446" s="27"/>
      <c r="AB446" s="27"/>
      <c r="AC446" s="27"/>
      <c r="AD446" s="27"/>
    </row>
    <row r="447" spans="26:30" x14ac:dyDescent="0.25">
      <c r="Z447" s="27"/>
      <c r="AA447" s="27"/>
      <c r="AB447" s="27"/>
      <c r="AC447" s="27"/>
      <c r="AD447" s="27"/>
    </row>
    <row r="448" spans="26:30" x14ac:dyDescent="0.25">
      <c r="Z448" s="27"/>
      <c r="AA448" s="27"/>
      <c r="AB448" s="27"/>
      <c r="AC448" s="27"/>
      <c r="AD448" s="27"/>
    </row>
    <row r="449" spans="26:30" x14ac:dyDescent="0.25">
      <c r="Z449" s="27"/>
      <c r="AA449" s="27"/>
      <c r="AB449" s="27"/>
      <c r="AC449" s="27"/>
      <c r="AD449" s="27"/>
    </row>
    <row r="450" spans="26:30" x14ac:dyDescent="0.25">
      <c r="Z450" s="27"/>
      <c r="AA450" s="27"/>
      <c r="AB450" s="27"/>
      <c r="AC450" s="27"/>
      <c r="AD450" s="27"/>
    </row>
    <row r="451" spans="26:30" x14ac:dyDescent="0.25">
      <c r="Z451" s="27"/>
      <c r="AA451" s="27"/>
      <c r="AB451" s="27"/>
      <c r="AC451" s="27"/>
      <c r="AD451" s="27"/>
    </row>
    <row r="452" spans="26:30" x14ac:dyDescent="0.25">
      <c r="Z452" s="27"/>
      <c r="AA452" s="27"/>
      <c r="AB452" s="27"/>
      <c r="AC452" s="27"/>
      <c r="AD452" s="27"/>
    </row>
    <row r="453" spans="26:30" x14ac:dyDescent="0.25">
      <c r="Z453" s="27"/>
      <c r="AA453" s="27"/>
      <c r="AB453" s="27"/>
      <c r="AC453" s="27"/>
      <c r="AD453" s="27"/>
    </row>
    <row r="454" spans="26:30" x14ac:dyDescent="0.25">
      <c r="Z454" s="27"/>
      <c r="AA454" s="27"/>
      <c r="AB454" s="27"/>
      <c r="AC454" s="27"/>
      <c r="AD454" s="27"/>
    </row>
    <row r="455" spans="26:30" x14ac:dyDescent="0.25">
      <c r="Z455" s="27"/>
      <c r="AA455" s="27"/>
      <c r="AB455" s="27"/>
      <c r="AC455" s="27"/>
      <c r="AD455" s="27"/>
    </row>
    <row r="456" spans="26:30" x14ac:dyDescent="0.25">
      <c r="Z456" s="27"/>
      <c r="AA456" s="27"/>
      <c r="AB456" s="27"/>
      <c r="AC456" s="27"/>
      <c r="AD456" s="27"/>
    </row>
    <row r="457" spans="26:30" x14ac:dyDescent="0.25">
      <c r="Z457" s="27"/>
      <c r="AA457" s="27"/>
      <c r="AB457" s="27"/>
      <c r="AC457" s="27"/>
      <c r="AD457" s="27"/>
    </row>
    <row r="458" spans="26:30" x14ac:dyDescent="0.25">
      <c r="Z458" s="27"/>
      <c r="AA458" s="27"/>
      <c r="AB458" s="27"/>
      <c r="AC458" s="27"/>
      <c r="AD458" s="27"/>
    </row>
    <row r="459" spans="26:30" x14ac:dyDescent="0.25">
      <c r="Z459" s="27"/>
      <c r="AA459" s="27"/>
      <c r="AB459" s="27"/>
      <c r="AC459" s="27"/>
      <c r="AD459" s="27"/>
    </row>
    <row r="460" spans="26:30" x14ac:dyDescent="0.25">
      <c r="Z460" s="27"/>
      <c r="AA460" s="27"/>
      <c r="AB460" s="27"/>
      <c r="AC460" s="27"/>
      <c r="AD460" s="27"/>
    </row>
    <row r="461" spans="26:30" x14ac:dyDescent="0.25">
      <c r="Z461" s="27"/>
      <c r="AA461" s="27"/>
      <c r="AB461" s="27"/>
      <c r="AC461" s="27"/>
      <c r="AD461" s="27"/>
    </row>
    <row r="462" spans="26:30" x14ac:dyDescent="0.25">
      <c r="Z462" s="27"/>
      <c r="AA462" s="27"/>
      <c r="AB462" s="27"/>
      <c r="AC462" s="27"/>
      <c r="AD462" s="27"/>
    </row>
    <row r="463" spans="26:30" x14ac:dyDescent="0.25">
      <c r="Z463" s="27"/>
      <c r="AA463" s="27"/>
      <c r="AB463" s="27"/>
      <c r="AC463" s="27"/>
      <c r="AD463" s="27"/>
    </row>
    <row r="464" spans="26:30" x14ac:dyDescent="0.25">
      <c r="Z464" s="27"/>
      <c r="AA464" s="27"/>
      <c r="AB464" s="27"/>
      <c r="AC464" s="27"/>
      <c r="AD464" s="27"/>
    </row>
    <row r="465" spans="26:30" x14ac:dyDescent="0.25">
      <c r="Z465" s="27"/>
      <c r="AA465" s="27"/>
      <c r="AB465" s="27"/>
      <c r="AC465" s="27"/>
      <c r="AD465" s="27"/>
    </row>
    <row r="466" spans="26:30" x14ac:dyDescent="0.25">
      <c r="Z466" s="27"/>
      <c r="AA466" s="27"/>
      <c r="AB466" s="27"/>
      <c r="AC466" s="27"/>
      <c r="AD466" s="27"/>
    </row>
    <row r="467" spans="26:30" x14ac:dyDescent="0.25">
      <c r="Z467" s="27"/>
      <c r="AA467" s="27"/>
      <c r="AB467" s="27"/>
      <c r="AC467" s="27"/>
      <c r="AD467" s="27"/>
    </row>
    <row r="468" spans="26:30" x14ac:dyDescent="0.25">
      <c r="Z468" s="27"/>
      <c r="AA468" s="27"/>
      <c r="AB468" s="27"/>
      <c r="AC468" s="27"/>
      <c r="AD468" s="27"/>
    </row>
    <row r="469" spans="26:30" x14ac:dyDescent="0.25">
      <c r="Z469" s="27"/>
      <c r="AA469" s="27"/>
      <c r="AB469" s="27"/>
      <c r="AC469" s="27"/>
      <c r="AD469" s="27"/>
    </row>
    <row r="470" spans="26:30" x14ac:dyDescent="0.25">
      <c r="Z470" s="27"/>
      <c r="AA470" s="27"/>
      <c r="AB470" s="27"/>
      <c r="AC470" s="27"/>
      <c r="AD470" s="27"/>
    </row>
    <row r="471" spans="26:30" x14ac:dyDescent="0.25">
      <c r="Z471" s="27"/>
      <c r="AA471" s="27"/>
      <c r="AB471" s="27"/>
      <c r="AC471" s="27"/>
      <c r="AD471" s="27"/>
    </row>
    <row r="472" spans="26:30" x14ac:dyDescent="0.25">
      <c r="Z472" s="27"/>
      <c r="AA472" s="27"/>
      <c r="AB472" s="27"/>
      <c r="AC472" s="27"/>
      <c r="AD472" s="27"/>
    </row>
    <row r="473" spans="26:30" x14ac:dyDescent="0.25">
      <c r="Z473" s="27"/>
      <c r="AA473" s="27"/>
      <c r="AB473" s="27"/>
      <c r="AC473" s="27"/>
      <c r="AD473" s="27"/>
    </row>
    <row r="474" spans="26:30" x14ac:dyDescent="0.25">
      <c r="Z474" s="27"/>
      <c r="AA474" s="27"/>
      <c r="AB474" s="27"/>
      <c r="AC474" s="27"/>
      <c r="AD474" s="27"/>
    </row>
    <row r="475" spans="26:30" x14ac:dyDescent="0.25">
      <c r="Z475" s="27"/>
      <c r="AA475" s="27"/>
      <c r="AB475" s="27"/>
      <c r="AC475" s="27"/>
      <c r="AD475" s="27"/>
    </row>
    <row r="476" spans="26:30" x14ac:dyDescent="0.25">
      <c r="Z476" s="27"/>
      <c r="AA476" s="27"/>
      <c r="AB476" s="27"/>
      <c r="AC476" s="27"/>
      <c r="AD476" s="27"/>
    </row>
    <row r="477" spans="26:30" x14ac:dyDescent="0.25">
      <c r="Z477" s="27"/>
      <c r="AA477" s="27"/>
      <c r="AB477" s="27"/>
      <c r="AC477" s="27"/>
      <c r="AD477" s="27"/>
    </row>
    <row r="478" spans="26:30" x14ac:dyDescent="0.25">
      <c r="Z478" s="27"/>
      <c r="AA478" s="27"/>
      <c r="AB478" s="27"/>
      <c r="AC478" s="27"/>
      <c r="AD478" s="27"/>
    </row>
    <row r="479" spans="26:30" x14ac:dyDescent="0.25">
      <c r="Z479" s="27"/>
      <c r="AA479" s="27"/>
      <c r="AB479" s="27"/>
      <c r="AC479" s="27"/>
      <c r="AD479" s="27"/>
    </row>
    <row r="480" spans="26:30" x14ac:dyDescent="0.25">
      <c r="Z480" s="27"/>
      <c r="AA480" s="27"/>
      <c r="AB480" s="27"/>
      <c r="AC480" s="27"/>
      <c r="AD480" s="27"/>
    </row>
    <row r="481" spans="26:30" x14ac:dyDescent="0.25">
      <c r="Z481" s="27"/>
      <c r="AA481" s="27"/>
      <c r="AB481" s="27"/>
      <c r="AC481" s="27"/>
      <c r="AD481" s="27"/>
    </row>
    <row r="482" spans="26:30" x14ac:dyDescent="0.25">
      <c r="Z482" s="27"/>
      <c r="AA482" s="27"/>
      <c r="AB482" s="27"/>
      <c r="AC482" s="27"/>
      <c r="AD482" s="27"/>
    </row>
    <row r="483" spans="26:30" x14ac:dyDescent="0.25">
      <c r="Z483" s="27"/>
      <c r="AA483" s="27"/>
      <c r="AB483" s="27"/>
      <c r="AC483" s="27"/>
      <c r="AD483" s="27"/>
    </row>
    <row r="484" spans="26:30" x14ac:dyDescent="0.25">
      <c r="Z484" s="27"/>
      <c r="AA484" s="27"/>
      <c r="AB484" s="27"/>
      <c r="AC484" s="27"/>
      <c r="AD484" s="27"/>
    </row>
    <row r="485" spans="26:30" x14ac:dyDescent="0.25">
      <c r="Z485" s="27"/>
      <c r="AA485" s="27"/>
      <c r="AB485" s="27"/>
      <c r="AC485" s="27"/>
      <c r="AD485" s="27"/>
    </row>
    <row r="486" spans="26:30" x14ac:dyDescent="0.25">
      <c r="Z486" s="27"/>
      <c r="AA486" s="27"/>
      <c r="AB486" s="27"/>
      <c r="AC486" s="27"/>
      <c r="AD486" s="27"/>
    </row>
    <row r="487" spans="26:30" x14ac:dyDescent="0.25">
      <c r="Z487" s="27"/>
      <c r="AA487" s="27"/>
      <c r="AB487" s="27"/>
      <c r="AC487" s="27"/>
      <c r="AD487" s="27"/>
    </row>
    <row r="488" spans="26:30" x14ac:dyDescent="0.25">
      <c r="Z488" s="27"/>
      <c r="AA488" s="27"/>
      <c r="AB488" s="27"/>
      <c r="AC488" s="27"/>
      <c r="AD488" s="27"/>
    </row>
    <row r="489" spans="26:30" x14ac:dyDescent="0.25">
      <c r="Z489" s="27"/>
      <c r="AA489" s="27"/>
      <c r="AB489" s="27"/>
      <c r="AC489" s="27"/>
      <c r="AD489" s="27"/>
    </row>
    <row r="490" spans="26:30" x14ac:dyDescent="0.25">
      <c r="Z490" s="27"/>
      <c r="AA490" s="27"/>
      <c r="AB490" s="27"/>
      <c r="AC490" s="27"/>
      <c r="AD490" s="27"/>
    </row>
    <row r="491" spans="26:30" x14ac:dyDescent="0.25">
      <c r="Z491" s="27"/>
      <c r="AA491" s="27"/>
      <c r="AB491" s="27"/>
      <c r="AC491" s="27"/>
      <c r="AD491" s="27"/>
    </row>
    <row r="492" spans="26:30" x14ac:dyDescent="0.25">
      <c r="Z492" s="27"/>
      <c r="AA492" s="27"/>
      <c r="AB492" s="27"/>
      <c r="AC492" s="27"/>
      <c r="AD492" s="27"/>
    </row>
    <row r="493" spans="26:30" x14ac:dyDescent="0.25">
      <c r="Z493" s="27"/>
      <c r="AA493" s="27"/>
      <c r="AB493" s="27"/>
      <c r="AC493" s="27"/>
      <c r="AD493" s="27"/>
    </row>
    <row r="494" spans="26:30" x14ac:dyDescent="0.25">
      <c r="Z494" s="27"/>
      <c r="AA494" s="27"/>
      <c r="AB494" s="27"/>
      <c r="AC494" s="27"/>
      <c r="AD494" s="27"/>
    </row>
    <row r="495" spans="26:30" x14ac:dyDescent="0.25">
      <c r="Z495" s="27"/>
      <c r="AA495" s="27"/>
      <c r="AB495" s="27"/>
      <c r="AC495" s="27"/>
      <c r="AD495" s="27"/>
    </row>
    <row r="496" spans="26:30" x14ac:dyDescent="0.25">
      <c r="Z496" s="27"/>
      <c r="AA496" s="27"/>
      <c r="AB496" s="27"/>
      <c r="AC496" s="27"/>
      <c r="AD496" s="27"/>
    </row>
    <row r="497" spans="26:30" x14ac:dyDescent="0.25">
      <c r="Z497" s="27"/>
      <c r="AA497" s="27"/>
      <c r="AB497" s="27"/>
      <c r="AC497" s="27"/>
      <c r="AD497" s="27"/>
    </row>
    <row r="498" spans="26:30" x14ac:dyDescent="0.25">
      <c r="Z498" s="27"/>
      <c r="AA498" s="27"/>
      <c r="AB498" s="27"/>
      <c r="AC498" s="27"/>
      <c r="AD498" s="27"/>
    </row>
    <row r="499" spans="26:30" x14ac:dyDescent="0.25">
      <c r="Z499" s="27"/>
      <c r="AA499" s="27"/>
      <c r="AB499" s="27"/>
      <c r="AC499" s="27"/>
      <c r="AD499" s="27"/>
    </row>
    <row r="500" spans="26:30" x14ac:dyDescent="0.25">
      <c r="Z500" s="27"/>
      <c r="AA500" s="27"/>
      <c r="AB500" s="27"/>
      <c r="AC500" s="27"/>
      <c r="AD500" s="27"/>
    </row>
    <row r="501" spans="26:30" x14ac:dyDescent="0.25">
      <c r="Z501" s="27"/>
      <c r="AA501" s="27"/>
      <c r="AB501" s="27"/>
      <c r="AC501" s="27"/>
      <c r="AD501" s="27"/>
    </row>
    <row r="502" spans="26:30" x14ac:dyDescent="0.25">
      <c r="Z502" s="27"/>
      <c r="AA502" s="27"/>
      <c r="AB502" s="27"/>
      <c r="AC502" s="27"/>
      <c r="AD502" s="27"/>
    </row>
    <row r="503" spans="26:30" x14ac:dyDescent="0.25">
      <c r="Z503" s="27"/>
      <c r="AA503" s="27"/>
      <c r="AB503" s="27"/>
      <c r="AC503" s="27"/>
      <c r="AD503" s="27"/>
    </row>
    <row r="504" spans="26:30" x14ac:dyDescent="0.25">
      <c r="Z504" s="27"/>
      <c r="AA504" s="27"/>
      <c r="AB504" s="27"/>
      <c r="AC504" s="27"/>
      <c r="AD504" s="27"/>
    </row>
    <row r="505" spans="26:30" x14ac:dyDescent="0.25">
      <c r="Z505" s="27"/>
      <c r="AA505" s="27"/>
      <c r="AB505" s="27"/>
      <c r="AC505" s="27"/>
      <c r="AD505" s="27"/>
    </row>
    <row r="506" spans="26:30" x14ac:dyDescent="0.25">
      <c r="Z506" s="27"/>
      <c r="AA506" s="27"/>
      <c r="AB506" s="27"/>
      <c r="AC506" s="27"/>
      <c r="AD506" s="27"/>
    </row>
    <row r="507" spans="26:30" x14ac:dyDescent="0.25">
      <c r="Z507" s="27"/>
      <c r="AA507" s="27"/>
      <c r="AB507" s="27"/>
      <c r="AC507" s="27"/>
      <c r="AD507" s="27"/>
    </row>
    <row r="508" spans="26:30" x14ac:dyDescent="0.25">
      <c r="Z508" s="27"/>
      <c r="AA508" s="27"/>
      <c r="AB508" s="27"/>
      <c r="AC508" s="27"/>
      <c r="AD508" s="27"/>
    </row>
    <row r="509" spans="26:30" x14ac:dyDescent="0.25">
      <c r="Z509" s="27"/>
      <c r="AA509" s="27"/>
      <c r="AB509" s="27"/>
      <c r="AC509" s="27"/>
      <c r="AD509" s="27"/>
    </row>
    <row r="510" spans="26:30" x14ac:dyDescent="0.25">
      <c r="Z510" s="27"/>
      <c r="AA510" s="27"/>
      <c r="AB510" s="27"/>
      <c r="AC510" s="27"/>
      <c r="AD510" s="27"/>
    </row>
    <row r="511" spans="26:30" x14ac:dyDescent="0.25">
      <c r="Z511" s="27"/>
      <c r="AA511" s="27"/>
      <c r="AB511" s="27"/>
      <c r="AC511" s="27"/>
      <c r="AD511" s="27"/>
    </row>
    <row r="512" spans="26:30" x14ac:dyDescent="0.25">
      <c r="Z512" s="27"/>
      <c r="AA512" s="27"/>
      <c r="AB512" s="27"/>
      <c r="AC512" s="27"/>
      <c r="AD512" s="27"/>
    </row>
    <row r="513" spans="26:30" x14ac:dyDescent="0.25">
      <c r="Z513" s="27"/>
      <c r="AA513" s="27"/>
      <c r="AB513" s="27"/>
      <c r="AC513" s="27"/>
      <c r="AD513" s="27"/>
    </row>
    <row r="514" spans="26:30" x14ac:dyDescent="0.25">
      <c r="Z514" s="27"/>
      <c r="AA514" s="27"/>
      <c r="AB514" s="27"/>
      <c r="AC514" s="27"/>
      <c r="AD514" s="27"/>
    </row>
    <row r="515" spans="26:30" x14ac:dyDescent="0.25">
      <c r="Z515" s="27"/>
      <c r="AA515" s="27"/>
      <c r="AB515" s="27"/>
      <c r="AC515" s="27"/>
      <c r="AD515" s="27"/>
    </row>
    <row r="516" spans="26:30" x14ac:dyDescent="0.25">
      <c r="Z516" s="27"/>
      <c r="AA516" s="27"/>
      <c r="AB516" s="27"/>
      <c r="AC516" s="27"/>
      <c r="AD516" s="27"/>
    </row>
    <row r="517" spans="26:30" x14ac:dyDescent="0.25">
      <c r="Z517" s="27"/>
      <c r="AA517" s="27"/>
      <c r="AB517" s="27"/>
      <c r="AC517" s="27"/>
      <c r="AD517" s="27"/>
    </row>
    <row r="518" spans="26:30" x14ac:dyDescent="0.25">
      <c r="Z518" s="27"/>
      <c r="AA518" s="27"/>
      <c r="AB518" s="27"/>
      <c r="AC518" s="27"/>
      <c r="AD518" s="27"/>
    </row>
    <row r="519" spans="26:30" x14ac:dyDescent="0.25">
      <c r="Z519" s="27"/>
      <c r="AA519" s="27"/>
      <c r="AB519" s="27"/>
      <c r="AC519" s="27"/>
      <c r="AD519" s="27"/>
    </row>
    <row r="520" spans="26:30" x14ac:dyDescent="0.25">
      <c r="Z520" s="27"/>
      <c r="AA520" s="27"/>
      <c r="AB520" s="27"/>
      <c r="AC520" s="27"/>
      <c r="AD520" s="27"/>
    </row>
    <row r="521" spans="26:30" x14ac:dyDescent="0.25">
      <c r="Z521" s="27"/>
      <c r="AA521" s="27"/>
      <c r="AB521" s="27"/>
      <c r="AC521" s="27"/>
      <c r="AD521" s="27"/>
    </row>
    <row r="522" spans="26:30" x14ac:dyDescent="0.25">
      <c r="Z522" s="27"/>
      <c r="AA522" s="27"/>
      <c r="AB522" s="27"/>
      <c r="AC522" s="27"/>
      <c r="AD522" s="27"/>
    </row>
    <row r="523" spans="26:30" x14ac:dyDescent="0.25">
      <c r="Z523" s="27"/>
      <c r="AA523" s="27"/>
      <c r="AB523" s="27"/>
      <c r="AC523" s="27"/>
      <c r="AD523" s="27"/>
    </row>
    <row r="524" spans="26:30" x14ac:dyDescent="0.25">
      <c r="Z524" s="27"/>
      <c r="AA524" s="27"/>
      <c r="AB524" s="27"/>
      <c r="AC524" s="27"/>
      <c r="AD524" s="27"/>
    </row>
  </sheetData>
  <sheetProtection algorithmName="SHA-512" hashValue="xui6WrOeQFqwHw6P/SMhTnrmX5MeXnDvlejezftRWxGfW7+67F4Z53bo47OgKGbIxHGw7HmI6DdqNnMWkbb7Ng==" saltValue="nh6CyBSIgbdsqR2rWtHVaw==" spinCount="100000" sheet="1" objects="1" scenarios="1" insertRows="0"/>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topLeftCell="C4" zoomScale="90" zoomScaleNormal="90" workbookViewId="0">
      <pane ySplit="5" topLeftCell="A9" activePane="bottomLeft" state="frozen"/>
      <selection activeCell="A4" sqref="A4"/>
      <selection pane="bottomLeft" activeCell="K10" sqref="K10"/>
    </sheetView>
  </sheetViews>
  <sheetFormatPr baseColWidth="10" defaultRowHeight="15" x14ac:dyDescent="0.25"/>
  <cols>
    <col min="1" max="1" width="14" style="1" customWidth="1"/>
    <col min="2" max="2" width="16.28515625" style="1" customWidth="1"/>
    <col min="3" max="3" width="16.140625" style="1" customWidth="1"/>
    <col min="4" max="5" width="11.42578125" style="1"/>
    <col min="6" max="6" width="17.85546875" style="1" customWidth="1"/>
    <col min="7" max="7" width="12.5703125" style="1" customWidth="1"/>
    <col min="8" max="8" width="16.5703125" style="1" customWidth="1"/>
    <col min="9" max="9" width="14.42578125" style="1" customWidth="1"/>
    <col min="10" max="10" width="19.28515625" style="1" customWidth="1"/>
    <col min="11" max="11" width="20.5703125" style="1" customWidth="1"/>
    <col min="12" max="12" width="11.42578125" style="1"/>
    <col min="13" max="13" width="18.28515625" style="1" customWidth="1"/>
    <col min="14" max="14" width="17.42578125" style="1" customWidth="1"/>
    <col min="15" max="16" width="11.42578125" style="1"/>
    <col min="17" max="17" width="18.28515625" style="1" customWidth="1"/>
    <col min="18" max="16384" width="11.42578125" style="1"/>
  </cols>
  <sheetData>
    <row r="1" spans="1:21" x14ac:dyDescent="0.25">
      <c r="A1" s="605" t="s">
        <v>0</v>
      </c>
      <c r="B1" s="605"/>
      <c r="C1" s="605"/>
      <c r="D1" s="605"/>
      <c r="E1" s="605"/>
      <c r="F1" s="605"/>
      <c r="G1" s="605"/>
      <c r="H1" s="605"/>
      <c r="I1" s="605"/>
      <c r="J1" s="605"/>
      <c r="K1" s="605"/>
      <c r="L1" s="605"/>
      <c r="M1" s="605"/>
      <c r="N1" s="605"/>
      <c r="O1" s="605"/>
    </row>
    <row r="2" spans="1:21" x14ac:dyDescent="0.25">
      <c r="A2" s="605" t="s">
        <v>1</v>
      </c>
      <c r="B2" s="605"/>
      <c r="C2" s="605"/>
      <c r="D2" s="605"/>
      <c r="E2" s="605"/>
      <c r="F2" s="605"/>
      <c r="G2" s="605"/>
      <c r="H2" s="605"/>
      <c r="I2" s="605"/>
      <c r="J2" s="605"/>
      <c r="K2" s="605"/>
      <c r="L2" s="605"/>
      <c r="M2" s="605"/>
      <c r="N2" s="605"/>
      <c r="O2" s="605"/>
    </row>
    <row r="3" spans="1:21" x14ac:dyDescent="0.25">
      <c r="A3" s="605" t="s">
        <v>2</v>
      </c>
      <c r="B3" s="605"/>
      <c r="C3" s="605"/>
      <c r="D3" s="605"/>
      <c r="E3" s="605"/>
      <c r="F3" s="605"/>
      <c r="G3" s="605"/>
      <c r="H3" s="605" t="s">
        <v>3</v>
      </c>
      <c r="I3" s="605"/>
      <c r="J3" s="605"/>
      <c r="K3" s="605"/>
      <c r="L3" s="605"/>
      <c r="M3" s="605"/>
      <c r="N3" s="605"/>
      <c r="O3" s="605"/>
    </row>
    <row r="4" spans="1:21" x14ac:dyDescent="0.25">
      <c r="A4" s="605">
        <v>2013</v>
      </c>
      <c r="B4" s="605"/>
      <c r="C4" s="605"/>
      <c r="D4" s="605"/>
      <c r="E4" s="605"/>
      <c r="F4" s="605"/>
      <c r="G4" s="605"/>
      <c r="H4" s="605"/>
      <c r="I4" s="605"/>
      <c r="J4" s="605"/>
      <c r="K4" s="605"/>
      <c r="L4" s="605"/>
      <c r="M4" s="605"/>
      <c r="N4" s="605"/>
      <c r="O4" s="605"/>
    </row>
    <row r="5" spans="1:21" x14ac:dyDescent="0.25">
      <c r="A5" s="2"/>
      <c r="B5" s="2"/>
      <c r="C5" s="2"/>
      <c r="D5" s="2"/>
      <c r="E5" s="2"/>
      <c r="F5" s="2"/>
      <c r="G5" s="2"/>
      <c r="H5" s="2"/>
      <c r="I5" s="2"/>
      <c r="J5" s="2"/>
      <c r="K5" s="2"/>
      <c r="L5" s="4"/>
      <c r="M5" s="5"/>
      <c r="N5" s="6"/>
      <c r="O5" s="5"/>
    </row>
    <row r="6" spans="1:21" x14ac:dyDescent="0.25">
      <c r="A6" s="7" t="s">
        <v>4</v>
      </c>
      <c r="B6" s="606" t="s">
        <v>3137</v>
      </c>
      <c r="C6" s="606"/>
      <c r="D6" s="606"/>
      <c r="E6" s="606"/>
      <c r="F6" s="606"/>
      <c r="G6" s="606"/>
      <c r="H6" s="606"/>
      <c r="I6" s="606"/>
      <c r="J6" s="606"/>
      <c r="K6" s="606"/>
      <c r="L6" s="606"/>
      <c r="M6" s="606"/>
      <c r="N6" s="606"/>
      <c r="O6" s="606"/>
    </row>
    <row r="7" spans="1:21"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9" t="s">
        <v>22</v>
      </c>
    </row>
    <row r="8" spans="1:21" ht="32.25" customHeight="1" x14ac:dyDescent="0.25">
      <c r="A8" s="618"/>
      <c r="B8" s="618"/>
      <c r="C8" s="618"/>
      <c r="D8" s="618"/>
      <c r="E8" s="618"/>
      <c r="F8" s="618"/>
      <c r="G8" s="618"/>
      <c r="H8" s="618"/>
      <c r="I8" s="622"/>
      <c r="J8" s="622"/>
      <c r="K8" s="618"/>
      <c r="L8" s="618"/>
      <c r="M8" s="618"/>
      <c r="N8" s="624"/>
      <c r="O8" s="624"/>
      <c r="P8" s="624"/>
      <c r="Q8" s="620"/>
      <c r="S8" s="8"/>
      <c r="T8" s="8"/>
      <c r="U8" s="8"/>
    </row>
    <row r="9" spans="1:21" ht="120" x14ac:dyDescent="0.25">
      <c r="A9" s="18" t="s">
        <v>23</v>
      </c>
      <c r="B9" s="18" t="s">
        <v>136</v>
      </c>
      <c r="C9" s="18" t="s">
        <v>137</v>
      </c>
      <c r="D9" s="18">
        <v>211110000</v>
      </c>
      <c r="E9" s="18" t="s">
        <v>1567</v>
      </c>
      <c r="F9" s="134" t="s">
        <v>3138</v>
      </c>
      <c r="G9" s="18" t="s">
        <v>3139</v>
      </c>
      <c r="H9" s="18" t="s">
        <v>3140</v>
      </c>
      <c r="I9" s="473">
        <v>0</v>
      </c>
      <c r="J9" s="473">
        <f>'[8]FORMATO FINANCIERO'!J9-'[8]FORMATO FINANCIERO'!H9</f>
        <v>-750000000</v>
      </c>
      <c r="K9" s="18" t="s">
        <v>3141</v>
      </c>
      <c r="L9" s="473">
        <v>26</v>
      </c>
      <c r="M9" s="18"/>
      <c r="N9" s="473"/>
      <c r="O9" s="473">
        <v>35</v>
      </c>
      <c r="P9" s="473">
        <v>35</v>
      </c>
      <c r="Q9" s="10" t="s">
        <v>3142</v>
      </c>
      <c r="R9" s="16"/>
      <c r="U9" s="17"/>
    </row>
    <row r="10" spans="1:21" ht="195" x14ac:dyDescent="0.25">
      <c r="A10" s="18" t="s">
        <v>23</v>
      </c>
      <c r="B10" s="18" t="s">
        <v>136</v>
      </c>
      <c r="C10" s="18" t="s">
        <v>137</v>
      </c>
      <c r="D10" s="18">
        <v>211130000</v>
      </c>
      <c r="E10" s="18" t="s">
        <v>3143</v>
      </c>
      <c r="F10" s="134" t="s">
        <v>3144</v>
      </c>
      <c r="G10" s="18" t="s">
        <v>3145</v>
      </c>
      <c r="H10" s="18" t="s">
        <v>3146</v>
      </c>
      <c r="I10" s="473">
        <f>10000000-210000000</f>
        <v>-200000000</v>
      </c>
      <c r="J10" s="473">
        <f>'[8]FORMATO FINANCIERO'!J12-'[8]FORMATO FINANCIERO'!H12</f>
        <v>-210000000</v>
      </c>
      <c r="K10" s="18" t="s">
        <v>3147</v>
      </c>
      <c r="L10" s="473">
        <v>30</v>
      </c>
      <c r="M10" s="18"/>
      <c r="N10" s="473"/>
      <c r="O10" s="473">
        <v>23</v>
      </c>
      <c r="P10" s="473">
        <v>30</v>
      </c>
      <c r="Q10" s="10" t="s">
        <v>3148</v>
      </c>
      <c r="R10" s="16"/>
      <c r="U10" s="17"/>
    </row>
    <row r="11" spans="1:21" ht="134.25" customHeight="1" x14ac:dyDescent="0.25">
      <c r="A11" s="18" t="s">
        <v>23</v>
      </c>
      <c r="B11" s="18" t="s">
        <v>136</v>
      </c>
      <c r="C11" s="18" t="s">
        <v>137</v>
      </c>
      <c r="D11" s="18">
        <v>211180000</v>
      </c>
      <c r="E11" s="18" t="s">
        <v>138</v>
      </c>
      <c r="F11" s="134" t="s">
        <v>3149</v>
      </c>
      <c r="G11" s="18" t="s">
        <v>3150</v>
      </c>
      <c r="H11" s="18" t="s">
        <v>3151</v>
      </c>
      <c r="I11" s="473">
        <f>0-609000000</f>
        <v>-609000000</v>
      </c>
      <c r="J11" s="473">
        <f>'[8]FORMATO FINANCIERO'!J17-'[8]FORMATO FINANCIERO'!H17</f>
        <v>-609000000</v>
      </c>
      <c r="K11" s="474" t="s">
        <v>978</v>
      </c>
      <c r="L11" s="473">
        <v>2</v>
      </c>
      <c r="M11" s="18"/>
      <c r="N11" s="473"/>
      <c r="O11" s="473">
        <v>2</v>
      </c>
      <c r="P11" s="473">
        <v>2</v>
      </c>
      <c r="Q11" s="10" t="s">
        <v>3152</v>
      </c>
      <c r="R11" s="16"/>
      <c r="U11" s="17"/>
    </row>
    <row r="12" spans="1:21" ht="141" customHeight="1" x14ac:dyDescent="0.25">
      <c r="A12" s="18" t="s">
        <v>23</v>
      </c>
      <c r="B12" s="18" t="s">
        <v>142</v>
      </c>
      <c r="C12" s="18" t="s">
        <v>1274</v>
      </c>
      <c r="D12" s="18">
        <v>212110000</v>
      </c>
      <c r="E12" s="18" t="s">
        <v>1275</v>
      </c>
      <c r="F12" s="134" t="s">
        <v>3153</v>
      </c>
      <c r="G12" s="18" t="s">
        <v>3154</v>
      </c>
      <c r="H12" s="18" t="s">
        <v>3155</v>
      </c>
      <c r="I12" s="473">
        <f>0</f>
        <v>0</v>
      </c>
      <c r="J12" s="473">
        <f>'[8]FORMATO FINANCIERO'!J21-'[8]FORMATO FINANCIERO'!H21</f>
        <v>-290525000</v>
      </c>
      <c r="K12" s="18" t="s">
        <v>3156</v>
      </c>
      <c r="L12" s="473">
        <v>35</v>
      </c>
      <c r="M12" s="18"/>
      <c r="N12" s="473"/>
      <c r="O12" s="473">
        <v>33</v>
      </c>
      <c r="P12" s="473">
        <v>63</v>
      </c>
      <c r="Q12" s="10" t="s">
        <v>3157</v>
      </c>
      <c r="R12" s="16"/>
      <c r="U12" s="17"/>
    </row>
    <row r="13" spans="1:21" ht="135" x14ac:dyDescent="0.25">
      <c r="A13" s="18" t="s">
        <v>23</v>
      </c>
      <c r="B13" s="18" t="s">
        <v>142</v>
      </c>
      <c r="C13" s="18" t="s">
        <v>1274</v>
      </c>
      <c r="D13" s="18">
        <v>212110000</v>
      </c>
      <c r="E13" s="18" t="s">
        <v>1275</v>
      </c>
      <c r="F13" s="134" t="s">
        <v>3158</v>
      </c>
      <c r="G13" s="18" t="s">
        <v>3159</v>
      </c>
      <c r="H13" s="18" t="s">
        <v>3160</v>
      </c>
      <c r="I13" s="473">
        <f>1471335985+105600000+400000000+14000000-300000000</f>
        <v>1690935985</v>
      </c>
      <c r="J13" s="473">
        <f>'[8]FORMATO FINANCIERO'!J26-'[8]FORMATO FINANCIERO'!H26</f>
        <v>3441350147</v>
      </c>
      <c r="K13" s="18" t="s">
        <v>3156</v>
      </c>
      <c r="L13" s="473">
        <v>35</v>
      </c>
      <c r="M13" s="18"/>
      <c r="N13" s="473"/>
      <c r="O13" s="473">
        <v>33</v>
      </c>
      <c r="P13" s="473">
        <v>35</v>
      </c>
      <c r="Q13" s="10" t="s">
        <v>3161</v>
      </c>
      <c r="R13" s="16"/>
      <c r="U13" s="17"/>
    </row>
    <row r="14" spans="1:21" ht="84" customHeight="1" x14ac:dyDescent="0.25">
      <c r="A14" s="18" t="s">
        <v>23</v>
      </c>
      <c r="B14" s="18" t="s">
        <v>142</v>
      </c>
      <c r="C14" s="18" t="s">
        <v>150</v>
      </c>
      <c r="D14" s="18">
        <v>212330000</v>
      </c>
      <c r="E14" s="18" t="s">
        <v>1930</v>
      </c>
      <c r="F14" s="134" t="s">
        <v>3162</v>
      </c>
      <c r="G14" s="18" t="s">
        <v>3163</v>
      </c>
      <c r="H14" s="18" t="s">
        <v>3164</v>
      </c>
      <c r="I14" s="473">
        <v>0</v>
      </c>
      <c r="J14" s="473">
        <f>'[8]FORMATO FINANCIERO'!J30-'[8]FORMATO FINANCIERO'!H30</f>
        <v>179421250</v>
      </c>
      <c r="K14" s="18" t="s">
        <v>1934</v>
      </c>
      <c r="L14" s="473">
        <v>35</v>
      </c>
      <c r="M14" s="18"/>
      <c r="N14" s="473"/>
      <c r="O14" s="473">
        <v>30</v>
      </c>
      <c r="P14" s="473">
        <v>35</v>
      </c>
      <c r="Q14" s="10"/>
      <c r="R14" s="16"/>
      <c r="U14" s="17"/>
    </row>
    <row r="15" spans="1:21" ht="116.25" customHeight="1" x14ac:dyDescent="0.25">
      <c r="A15" s="18" t="s">
        <v>55</v>
      </c>
      <c r="B15" s="18" t="s">
        <v>3165</v>
      </c>
      <c r="C15" s="18" t="s">
        <v>3166</v>
      </c>
      <c r="D15" s="18">
        <v>242130000</v>
      </c>
      <c r="E15" s="18" t="s">
        <v>3167</v>
      </c>
      <c r="F15" s="134" t="s">
        <v>3168</v>
      </c>
      <c r="G15" s="18" t="s">
        <v>3169</v>
      </c>
      <c r="H15" s="18" t="s">
        <v>3170</v>
      </c>
      <c r="I15" s="473">
        <f>0-60000000</f>
        <v>-60000000</v>
      </c>
      <c r="J15" s="473">
        <f>'[8]FORMATO FINANCIERO'!J35-'[8]FORMATO FINANCIERO'!H35</f>
        <v>-60000000</v>
      </c>
      <c r="K15" s="18" t="s">
        <v>2756</v>
      </c>
      <c r="L15" s="473">
        <v>7</v>
      </c>
      <c r="M15" s="18"/>
      <c r="N15" s="473"/>
      <c r="O15" s="473">
        <v>7</v>
      </c>
      <c r="P15" s="473">
        <v>7</v>
      </c>
      <c r="Q15" s="10" t="s">
        <v>3171</v>
      </c>
      <c r="R15" s="16"/>
      <c r="U15" s="17"/>
    </row>
    <row r="16" spans="1:21" ht="116.25" customHeight="1" x14ac:dyDescent="0.25">
      <c r="A16" s="18"/>
      <c r="B16" s="18"/>
      <c r="C16" s="18"/>
      <c r="D16" s="18"/>
      <c r="E16" s="18"/>
      <c r="F16" s="134"/>
      <c r="G16" s="18"/>
      <c r="H16" s="18"/>
      <c r="I16" s="473"/>
      <c r="J16" s="473"/>
      <c r="K16" s="18" t="s">
        <v>3172</v>
      </c>
      <c r="L16" s="473">
        <v>1536</v>
      </c>
      <c r="M16" s="473">
        <v>800</v>
      </c>
      <c r="N16" s="473"/>
      <c r="O16" s="473">
        <v>0</v>
      </c>
      <c r="P16" s="473">
        <v>924</v>
      </c>
      <c r="Q16" s="10"/>
      <c r="R16" s="16"/>
      <c r="U16" s="17"/>
    </row>
    <row r="17" spans="1:21" ht="315" x14ac:dyDescent="0.25">
      <c r="A17" s="18" t="s">
        <v>23</v>
      </c>
      <c r="B17" s="18" t="s">
        <v>142</v>
      </c>
      <c r="C17" s="18" t="s">
        <v>150</v>
      </c>
      <c r="D17" s="18">
        <v>212340000</v>
      </c>
      <c r="E17" s="18" t="s">
        <v>3173</v>
      </c>
      <c r="F17" s="134" t="s">
        <v>3174</v>
      </c>
      <c r="G17" s="18" t="s">
        <v>3175</v>
      </c>
      <c r="H17" s="18" t="s">
        <v>3173</v>
      </c>
      <c r="I17" s="473">
        <v>0</v>
      </c>
      <c r="J17" s="473">
        <f>'[8]FORMATO FINANCIERO'!J38-'[8]FORMATO FINANCIERO'!H38</f>
        <v>495000000</v>
      </c>
      <c r="K17" s="18" t="s">
        <v>3176</v>
      </c>
      <c r="L17" s="473">
        <v>60</v>
      </c>
      <c r="M17" s="18"/>
      <c r="N17" s="473"/>
      <c r="O17" s="473">
        <v>45</v>
      </c>
      <c r="P17" s="473">
        <v>60</v>
      </c>
      <c r="Q17" s="10" t="s">
        <v>3177</v>
      </c>
      <c r="R17" s="16"/>
      <c r="U17" s="17"/>
    </row>
    <row r="18" spans="1:21" ht="135" x14ac:dyDescent="0.25">
      <c r="A18" s="18"/>
      <c r="B18" s="18"/>
      <c r="C18" s="18"/>
      <c r="D18" s="18"/>
      <c r="E18" s="18"/>
      <c r="F18" s="134"/>
      <c r="G18" s="18"/>
      <c r="H18" s="18"/>
      <c r="I18" s="473"/>
      <c r="J18" s="473"/>
      <c r="K18" s="18" t="s">
        <v>3178</v>
      </c>
      <c r="L18" s="18">
        <v>70</v>
      </c>
      <c r="M18" s="18"/>
      <c r="N18" s="473"/>
      <c r="O18" s="473">
        <v>65</v>
      </c>
      <c r="P18" s="473">
        <v>75</v>
      </c>
      <c r="Q18" s="10" t="s">
        <v>3179</v>
      </c>
      <c r="R18" s="16"/>
      <c r="U18" s="17"/>
    </row>
    <row r="19" spans="1:21" ht="109.5" customHeight="1" x14ac:dyDescent="0.25">
      <c r="A19" s="18" t="s">
        <v>23</v>
      </c>
      <c r="B19" s="18" t="s">
        <v>142</v>
      </c>
      <c r="C19" s="18" t="s">
        <v>1274</v>
      </c>
      <c r="D19" s="18">
        <v>212110000</v>
      </c>
      <c r="E19" s="18" t="s">
        <v>3180</v>
      </c>
      <c r="F19" s="134" t="s">
        <v>3181</v>
      </c>
      <c r="G19" s="18" t="s">
        <v>3182</v>
      </c>
      <c r="H19" s="18" t="s">
        <v>3183</v>
      </c>
      <c r="I19" s="473">
        <v>0</v>
      </c>
      <c r="J19" s="473">
        <v>-873975000</v>
      </c>
      <c r="K19" s="18" t="s">
        <v>3156</v>
      </c>
      <c r="L19" s="473">
        <v>35</v>
      </c>
      <c r="M19" s="18"/>
      <c r="N19" s="473"/>
      <c r="O19" s="473">
        <v>33</v>
      </c>
      <c r="P19" s="473">
        <v>56</v>
      </c>
      <c r="Q19" s="10" t="s">
        <v>3184</v>
      </c>
      <c r="R19" s="16"/>
      <c r="U19" s="17"/>
    </row>
    <row r="20" spans="1:21" ht="73.5" customHeight="1" x14ac:dyDescent="0.25">
      <c r="A20" s="18" t="s">
        <v>23</v>
      </c>
      <c r="B20" s="18" t="s">
        <v>142</v>
      </c>
      <c r="C20" s="18" t="s">
        <v>1274</v>
      </c>
      <c r="D20" s="18">
        <v>212110000</v>
      </c>
      <c r="E20" s="18" t="s">
        <v>3180</v>
      </c>
      <c r="F20" s="134" t="s">
        <v>3185</v>
      </c>
      <c r="G20" s="18" t="s">
        <v>3186</v>
      </c>
      <c r="H20" s="18" t="s">
        <v>3187</v>
      </c>
      <c r="I20" s="473">
        <v>3445000000</v>
      </c>
      <c r="J20" s="473">
        <f>'[8]FORMATO FINANCIERO'!J48-'[8]FORMATO FINANCIERO'!H48</f>
        <v>2545000000</v>
      </c>
      <c r="K20" s="18" t="s">
        <v>3156</v>
      </c>
      <c r="L20" s="473">
        <v>35</v>
      </c>
      <c r="M20" s="18"/>
      <c r="N20" s="473"/>
      <c r="O20" s="473">
        <v>33</v>
      </c>
      <c r="P20" s="473">
        <v>35</v>
      </c>
      <c r="Q20" s="10" t="s">
        <v>3188</v>
      </c>
      <c r="R20" s="16"/>
      <c r="U20" s="17"/>
    </row>
    <row r="21" spans="1:21" ht="120" x14ac:dyDescent="0.25">
      <c r="A21" s="18" t="s">
        <v>3189</v>
      </c>
      <c r="B21" s="18" t="s">
        <v>142</v>
      </c>
      <c r="C21" s="18" t="s">
        <v>150</v>
      </c>
      <c r="D21" s="18">
        <v>212330000</v>
      </c>
      <c r="E21" s="18" t="s">
        <v>1930</v>
      </c>
      <c r="F21" s="141">
        <v>2012050000082</v>
      </c>
      <c r="G21" s="41" t="s">
        <v>3190</v>
      </c>
      <c r="H21" s="18" t="s">
        <v>3191</v>
      </c>
      <c r="I21" s="41"/>
      <c r="J21" s="473">
        <f>'[8]FORMATO FINANCIERO'!J52-'[8]FORMATO FINANCIERO'!H52</f>
        <v>240000000</v>
      </c>
      <c r="K21" s="18" t="s">
        <v>1934</v>
      </c>
      <c r="L21" s="473">
        <v>35</v>
      </c>
      <c r="M21" s="41"/>
      <c r="N21" s="41"/>
      <c r="O21" s="41"/>
      <c r="P21" s="473">
        <v>27</v>
      </c>
      <c r="Q21" s="10" t="s">
        <v>3192</v>
      </c>
    </row>
  </sheetData>
  <sheetProtection algorithmName="SHA-512" hashValue="zIVh8rqPx5KvxM1BIvfuldS4jJNlhSZvCSYtk7rJuoJk69SDRasWmI2YjCGbyVr6e6fa5JpddUq+MmpFgosP8g==" saltValue="O/A0XgxgXCS+R6YRFdOybg==" spinCount="100000" sheet="1" objects="1" scenarios="1" insertRows="0"/>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1"/>
  <sheetViews>
    <sheetView showZeros="0" topLeftCell="Q4" zoomScaleNormal="100" workbookViewId="0">
      <pane ySplit="5" topLeftCell="A10" activePane="bottomLeft" state="frozen"/>
      <selection activeCell="A4" sqref="A4"/>
      <selection pane="bottomLeft" activeCell="W11" sqref="W11"/>
    </sheetView>
  </sheetViews>
  <sheetFormatPr baseColWidth="10" defaultRowHeight="15" x14ac:dyDescent="0.25"/>
  <cols>
    <col min="1" max="1" width="16.42578125" style="1" customWidth="1"/>
    <col min="2" max="2" width="15.140625" style="1" customWidth="1"/>
    <col min="3" max="3" width="14.140625" style="1" customWidth="1"/>
    <col min="4" max="4" width="13" style="1" customWidth="1"/>
    <col min="5" max="5" width="12.7109375" style="1" customWidth="1"/>
    <col min="6" max="6" width="16.42578125" style="1" customWidth="1"/>
    <col min="7" max="7" width="20.140625" style="1" customWidth="1"/>
    <col min="8" max="8" width="14.140625" style="1" customWidth="1"/>
    <col min="9" max="9" width="14" style="1" customWidth="1"/>
    <col min="10" max="10" width="13.7109375" style="1" customWidth="1"/>
    <col min="11" max="11" width="12.85546875" style="1" customWidth="1"/>
    <col min="12" max="12" width="14.7109375" style="1" customWidth="1"/>
    <col min="13" max="13" width="19.140625" style="1" customWidth="1"/>
    <col min="14" max="14" width="13" style="1" customWidth="1"/>
    <col min="15" max="16" width="13.140625" style="1" customWidth="1"/>
    <col min="17" max="17" width="13.7109375" style="1" customWidth="1"/>
    <col min="18" max="18" width="13.5703125" style="1" customWidth="1"/>
    <col min="19" max="19" width="12.28515625" style="1" customWidth="1"/>
    <col min="20" max="20" width="19.7109375" style="1" customWidth="1"/>
    <col min="21" max="21" width="9.140625" style="1" customWidth="1"/>
    <col min="22" max="22" width="11.42578125" style="1"/>
    <col min="23" max="23" width="12.7109375" style="1" customWidth="1"/>
    <col min="24" max="24" width="13.140625" style="1" customWidth="1"/>
    <col min="25" max="25" width="11.7109375" style="1" customWidth="1"/>
    <col min="26" max="29" width="11.42578125" style="1"/>
    <col min="30" max="30" width="57.855468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606" t="s">
        <v>2995</v>
      </c>
      <c r="D5" s="606"/>
      <c r="E5" s="606"/>
      <c r="F5" s="606"/>
      <c r="G5" s="606"/>
      <c r="H5" s="606"/>
      <c r="I5" s="606"/>
      <c r="J5" s="606"/>
      <c r="K5" s="606"/>
      <c r="L5" s="25"/>
      <c r="M5" s="25"/>
      <c r="N5" s="25"/>
      <c r="O5" s="25"/>
      <c r="P5" s="25"/>
      <c r="Q5" s="27"/>
      <c r="R5" s="27"/>
      <c r="S5" s="27"/>
      <c r="T5" s="27"/>
      <c r="U5" s="27"/>
      <c r="V5" s="27"/>
      <c r="W5" s="27"/>
      <c r="X5" s="27"/>
      <c r="Y5" s="27"/>
      <c r="Z5" s="27"/>
      <c r="AA5" s="27"/>
      <c r="AB5" s="27"/>
      <c r="AC5" s="27"/>
      <c r="AD5" s="27"/>
    </row>
    <row r="7" spans="1:42" s="29" customFormat="1" ht="14.25"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36"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72" x14ac:dyDescent="0.25">
      <c r="A9" s="34" t="s">
        <v>55</v>
      </c>
      <c r="B9" s="34" t="s">
        <v>332</v>
      </c>
      <c r="C9" s="34" t="s">
        <v>2996</v>
      </c>
      <c r="D9" s="34">
        <v>243110007</v>
      </c>
      <c r="E9" s="74" t="s">
        <v>2998</v>
      </c>
      <c r="F9" s="34" t="s">
        <v>2999</v>
      </c>
      <c r="G9" s="34" t="s">
        <v>3000</v>
      </c>
      <c r="H9" s="36">
        <v>248100000</v>
      </c>
      <c r="I9" s="36">
        <v>215840797</v>
      </c>
      <c r="J9" s="36">
        <v>215840797</v>
      </c>
      <c r="K9" s="36">
        <v>0</v>
      </c>
      <c r="L9" s="36"/>
      <c r="M9" s="36"/>
      <c r="N9" s="36">
        <f>H9+K9</f>
        <v>248100000</v>
      </c>
      <c r="O9" s="36">
        <f>I9+L9</f>
        <v>215840797</v>
      </c>
      <c r="P9" s="36">
        <f>J9+M9</f>
        <v>215840797</v>
      </c>
      <c r="Q9" s="36">
        <v>215140797</v>
      </c>
      <c r="R9" s="36">
        <v>0</v>
      </c>
      <c r="S9" s="36">
        <f>Q9+R9</f>
        <v>215140797</v>
      </c>
      <c r="T9" s="37">
        <v>0</v>
      </c>
      <c r="U9" s="37">
        <v>0</v>
      </c>
      <c r="V9" s="37">
        <v>0</v>
      </c>
      <c r="W9" s="34"/>
      <c r="X9" s="34"/>
      <c r="Y9" s="34"/>
      <c r="Z9" s="34"/>
      <c r="AA9" s="34">
        <v>0</v>
      </c>
      <c r="AB9" s="34"/>
      <c r="AC9" s="34"/>
      <c r="AD9" s="10"/>
      <c r="AE9" s="124">
        <v>0</v>
      </c>
      <c r="AF9" s="124">
        <v>0</v>
      </c>
      <c r="AG9" s="124">
        <v>0</v>
      </c>
      <c r="AH9" s="124">
        <v>0</v>
      </c>
      <c r="AI9" s="124">
        <v>0</v>
      </c>
      <c r="AJ9" s="124">
        <v>0</v>
      </c>
      <c r="AK9" s="124">
        <v>0</v>
      </c>
      <c r="AL9" s="124">
        <v>0</v>
      </c>
      <c r="AM9" s="124">
        <v>0</v>
      </c>
      <c r="AN9" s="124">
        <v>0</v>
      </c>
      <c r="AO9" s="124">
        <v>0</v>
      </c>
      <c r="AP9" s="124">
        <v>0</v>
      </c>
    </row>
    <row r="10" spans="1:42" ht="96.75" customHeight="1" x14ac:dyDescent="0.25">
      <c r="A10" s="34">
        <v>0</v>
      </c>
      <c r="B10" s="34">
        <v>0</v>
      </c>
      <c r="C10" s="34">
        <v>0</v>
      </c>
      <c r="D10" s="34">
        <v>0</v>
      </c>
      <c r="E10" s="74">
        <v>0</v>
      </c>
      <c r="F10" s="34">
        <v>0</v>
      </c>
      <c r="G10" s="34"/>
      <c r="H10" s="36">
        <v>0</v>
      </c>
      <c r="I10" s="39"/>
      <c r="J10" s="39"/>
      <c r="K10" s="39"/>
      <c r="L10" s="39"/>
      <c r="M10" s="39"/>
      <c r="N10" s="36">
        <f t="shared" ref="N10:P51" si="0">H10+K10</f>
        <v>0</v>
      </c>
      <c r="O10" s="36">
        <f t="shared" si="0"/>
        <v>0</v>
      </c>
      <c r="P10" s="36">
        <f t="shared" si="0"/>
        <v>0</v>
      </c>
      <c r="Q10" s="36"/>
      <c r="R10" s="36"/>
      <c r="S10" s="36">
        <f t="shared" ref="S10:S51" si="1">Q10+R10</f>
        <v>0</v>
      </c>
      <c r="T10" s="37" t="s">
        <v>3063</v>
      </c>
      <c r="U10" s="37" t="s">
        <v>2909</v>
      </c>
      <c r="V10" s="37">
        <v>12</v>
      </c>
      <c r="W10" s="10">
        <v>23</v>
      </c>
      <c r="X10" s="10"/>
      <c r="Y10" s="10">
        <v>23</v>
      </c>
      <c r="Z10" s="10">
        <v>23</v>
      </c>
      <c r="AA10" s="34">
        <v>270</v>
      </c>
      <c r="AB10" s="10">
        <v>30</v>
      </c>
      <c r="AC10" s="10">
        <v>180</v>
      </c>
      <c r="AD10" s="177" t="s">
        <v>3064</v>
      </c>
      <c r="AE10" s="124">
        <v>0</v>
      </c>
      <c r="AF10" s="124">
        <v>0</v>
      </c>
      <c r="AG10" s="124" t="s">
        <v>218</v>
      </c>
      <c r="AH10" s="124" t="s">
        <v>218</v>
      </c>
      <c r="AI10" s="124" t="s">
        <v>218</v>
      </c>
      <c r="AJ10" s="124" t="s">
        <v>218</v>
      </c>
      <c r="AK10" s="124" t="s">
        <v>218</v>
      </c>
      <c r="AL10" s="124" t="s">
        <v>218</v>
      </c>
      <c r="AM10" s="124" t="s">
        <v>218</v>
      </c>
      <c r="AN10" s="124" t="s">
        <v>218</v>
      </c>
      <c r="AO10" s="124" t="s">
        <v>218</v>
      </c>
      <c r="AP10" s="124">
        <v>0</v>
      </c>
    </row>
    <row r="11" spans="1:42" ht="191.25" x14ac:dyDescent="0.25">
      <c r="A11" s="34">
        <v>0</v>
      </c>
      <c r="B11" s="34">
        <v>0</v>
      </c>
      <c r="C11" s="34">
        <v>0</v>
      </c>
      <c r="D11" s="34">
        <v>0</v>
      </c>
      <c r="E11" s="74">
        <v>0</v>
      </c>
      <c r="F11" s="34">
        <v>0</v>
      </c>
      <c r="G11" s="34"/>
      <c r="H11" s="36">
        <v>0</v>
      </c>
      <c r="I11" s="39"/>
      <c r="J11" s="39"/>
      <c r="K11" s="39"/>
      <c r="L11" s="39"/>
      <c r="M11" s="39"/>
      <c r="N11" s="36">
        <f t="shared" si="0"/>
        <v>0</v>
      </c>
      <c r="O11" s="36">
        <f t="shared" si="0"/>
        <v>0</v>
      </c>
      <c r="P11" s="36">
        <f t="shared" si="0"/>
        <v>0</v>
      </c>
      <c r="Q11" s="36"/>
      <c r="R11" s="36"/>
      <c r="S11" s="36">
        <f t="shared" si="1"/>
        <v>0</v>
      </c>
      <c r="T11" s="37" t="s">
        <v>3065</v>
      </c>
      <c r="U11" s="37" t="s">
        <v>3066</v>
      </c>
      <c r="V11" s="37">
        <v>1</v>
      </c>
      <c r="W11" s="10">
        <v>0</v>
      </c>
      <c r="X11" s="10"/>
      <c r="Y11" s="10" t="s">
        <v>3067</v>
      </c>
      <c r="Z11" s="10">
        <v>1</v>
      </c>
      <c r="AA11" s="34">
        <v>270</v>
      </c>
      <c r="AB11" s="10">
        <v>90</v>
      </c>
      <c r="AC11" s="10">
        <v>270</v>
      </c>
      <c r="AD11" s="471" t="s">
        <v>3068</v>
      </c>
      <c r="AE11" s="124">
        <v>0</v>
      </c>
      <c r="AF11" s="124">
        <v>0</v>
      </c>
      <c r="AG11" s="124" t="s">
        <v>218</v>
      </c>
      <c r="AH11" s="124" t="s">
        <v>218</v>
      </c>
      <c r="AI11" s="124" t="s">
        <v>218</v>
      </c>
      <c r="AJ11" s="124" t="s">
        <v>218</v>
      </c>
      <c r="AK11" s="124" t="s">
        <v>218</v>
      </c>
      <c r="AL11" s="124" t="s">
        <v>218</v>
      </c>
      <c r="AM11" s="124" t="s">
        <v>218</v>
      </c>
      <c r="AN11" s="124" t="s">
        <v>218</v>
      </c>
      <c r="AO11" s="124" t="s">
        <v>218</v>
      </c>
      <c r="AP11" s="124">
        <v>0</v>
      </c>
    </row>
    <row r="12" spans="1:42" ht="72" x14ac:dyDescent="0.25">
      <c r="A12" s="34">
        <v>0</v>
      </c>
      <c r="B12" s="34">
        <v>0</v>
      </c>
      <c r="C12" s="34">
        <v>0</v>
      </c>
      <c r="D12" s="34">
        <v>0</v>
      </c>
      <c r="E12" s="74">
        <v>0</v>
      </c>
      <c r="F12" s="34">
        <v>0</v>
      </c>
      <c r="G12" s="34"/>
      <c r="H12" s="36">
        <v>0</v>
      </c>
      <c r="I12" s="39"/>
      <c r="J12" s="39"/>
      <c r="K12" s="39"/>
      <c r="L12" s="39"/>
      <c r="M12" s="39"/>
      <c r="N12" s="36">
        <f t="shared" si="0"/>
        <v>0</v>
      </c>
      <c r="O12" s="36">
        <f t="shared" si="0"/>
        <v>0</v>
      </c>
      <c r="P12" s="36">
        <f t="shared" si="0"/>
        <v>0</v>
      </c>
      <c r="Q12" s="36"/>
      <c r="R12" s="36"/>
      <c r="S12" s="36">
        <f t="shared" si="1"/>
        <v>0</v>
      </c>
      <c r="T12" s="37" t="s">
        <v>3069</v>
      </c>
      <c r="U12" s="37" t="s">
        <v>316</v>
      </c>
      <c r="V12" s="37">
        <v>1</v>
      </c>
      <c r="W12" s="10">
        <v>0</v>
      </c>
      <c r="X12" s="10">
        <v>0</v>
      </c>
      <c r="Y12" s="10">
        <v>0</v>
      </c>
      <c r="Z12" s="10">
        <v>0</v>
      </c>
      <c r="AA12" s="34">
        <v>60</v>
      </c>
      <c r="AB12" s="10">
        <v>0</v>
      </c>
      <c r="AC12" s="10">
        <v>0</v>
      </c>
      <c r="AD12" s="177" t="s">
        <v>3070</v>
      </c>
      <c r="AE12" s="124">
        <v>0</v>
      </c>
      <c r="AF12" s="124">
        <v>0</v>
      </c>
      <c r="AG12" s="124">
        <v>0</v>
      </c>
      <c r="AH12" s="124">
        <v>0</v>
      </c>
      <c r="AI12" s="124">
        <v>0</v>
      </c>
      <c r="AJ12" s="124">
        <v>0</v>
      </c>
      <c r="AK12" s="124">
        <v>0</v>
      </c>
      <c r="AL12" s="124">
        <v>0</v>
      </c>
      <c r="AM12" s="124">
        <v>0</v>
      </c>
      <c r="AN12" s="124">
        <v>0</v>
      </c>
      <c r="AO12" s="124" t="s">
        <v>218</v>
      </c>
      <c r="AP12" s="124" t="s">
        <v>218</v>
      </c>
    </row>
    <row r="13" spans="1:42" ht="72" x14ac:dyDescent="0.25">
      <c r="A13" s="34" t="s">
        <v>55</v>
      </c>
      <c r="B13" s="34" t="s">
        <v>332</v>
      </c>
      <c r="C13" s="34" t="s">
        <v>2996</v>
      </c>
      <c r="D13" s="34" t="s">
        <v>3003</v>
      </c>
      <c r="E13" s="74" t="s">
        <v>3005</v>
      </c>
      <c r="F13" s="34" t="s">
        <v>3006</v>
      </c>
      <c r="G13" s="34" t="s">
        <v>3007</v>
      </c>
      <c r="H13" s="36">
        <v>305990000</v>
      </c>
      <c r="I13" s="36">
        <v>305990000</v>
      </c>
      <c r="J13" s="39">
        <v>305990000</v>
      </c>
      <c r="K13" s="39"/>
      <c r="L13" s="39"/>
      <c r="M13" s="39">
        <v>63140000</v>
      </c>
      <c r="N13" s="36">
        <f t="shared" si="0"/>
        <v>305990000</v>
      </c>
      <c r="O13" s="36">
        <f t="shared" si="0"/>
        <v>305990000</v>
      </c>
      <c r="P13" s="36">
        <f t="shared" si="0"/>
        <v>369130000</v>
      </c>
      <c r="Q13" s="36">
        <v>305990000</v>
      </c>
      <c r="R13" s="36">
        <v>63140000</v>
      </c>
      <c r="S13" s="36">
        <f t="shared" si="1"/>
        <v>369130000</v>
      </c>
      <c r="T13" s="37">
        <v>0</v>
      </c>
      <c r="U13" s="37">
        <v>0</v>
      </c>
      <c r="V13" s="37">
        <v>0</v>
      </c>
      <c r="W13" s="10"/>
      <c r="X13" s="10"/>
      <c r="Y13" s="10"/>
      <c r="Z13" s="10"/>
      <c r="AA13" s="34">
        <v>0</v>
      </c>
      <c r="AB13" s="10"/>
      <c r="AC13" s="10"/>
      <c r="AD13" s="10"/>
      <c r="AE13" s="124">
        <v>0</v>
      </c>
      <c r="AF13" s="124">
        <v>0</v>
      </c>
      <c r="AG13" s="124">
        <v>0</v>
      </c>
      <c r="AH13" s="124">
        <v>0</v>
      </c>
      <c r="AI13" s="124">
        <v>0</v>
      </c>
      <c r="AJ13" s="124">
        <v>0</v>
      </c>
      <c r="AK13" s="124">
        <v>0</v>
      </c>
      <c r="AL13" s="124">
        <v>0</v>
      </c>
      <c r="AM13" s="124">
        <v>0</v>
      </c>
      <c r="AN13" s="124">
        <v>0</v>
      </c>
      <c r="AO13" s="124">
        <v>0</v>
      </c>
      <c r="AP13" s="124">
        <v>0</v>
      </c>
    </row>
    <row r="14" spans="1:42" ht="96" x14ac:dyDescent="0.25">
      <c r="A14" s="34">
        <v>0</v>
      </c>
      <c r="B14" s="34">
        <v>0</v>
      </c>
      <c r="C14" s="34">
        <v>0</v>
      </c>
      <c r="D14" s="34">
        <v>0</v>
      </c>
      <c r="E14" s="74">
        <v>0</v>
      </c>
      <c r="F14" s="34">
        <v>0</v>
      </c>
      <c r="G14" s="34"/>
      <c r="H14" s="36">
        <v>0</v>
      </c>
      <c r="I14" s="39"/>
      <c r="J14" s="39"/>
      <c r="K14" s="39"/>
      <c r="L14" s="39"/>
      <c r="M14" s="39"/>
      <c r="N14" s="36">
        <f t="shared" si="0"/>
        <v>0</v>
      </c>
      <c r="O14" s="36">
        <f t="shared" si="0"/>
        <v>0</v>
      </c>
      <c r="P14" s="36">
        <f t="shared" si="0"/>
        <v>0</v>
      </c>
      <c r="Q14" s="36"/>
      <c r="R14" s="36"/>
      <c r="S14" s="36">
        <f t="shared" si="1"/>
        <v>0</v>
      </c>
      <c r="T14" s="37" t="s">
        <v>3071</v>
      </c>
      <c r="U14" s="37" t="s">
        <v>316</v>
      </c>
      <c r="V14" s="37">
        <v>750</v>
      </c>
      <c r="W14" s="10">
        <v>750</v>
      </c>
      <c r="X14" s="10"/>
      <c r="Y14" s="10">
        <v>329</v>
      </c>
      <c r="Z14" s="10">
        <v>1092</v>
      </c>
      <c r="AA14" s="34">
        <v>270</v>
      </c>
      <c r="AB14" s="10">
        <v>30</v>
      </c>
      <c r="AC14" s="10">
        <v>210</v>
      </c>
      <c r="AD14" s="177" t="s">
        <v>3009</v>
      </c>
      <c r="AE14" s="124">
        <v>0</v>
      </c>
      <c r="AF14" s="124">
        <v>0</v>
      </c>
      <c r="AG14" s="124" t="s">
        <v>102</v>
      </c>
      <c r="AH14" s="124" t="s">
        <v>102</v>
      </c>
      <c r="AI14" s="124" t="s">
        <v>102</v>
      </c>
      <c r="AJ14" s="124" t="s">
        <v>102</v>
      </c>
      <c r="AK14" s="124" t="s">
        <v>102</v>
      </c>
      <c r="AL14" s="124" t="s">
        <v>102</v>
      </c>
      <c r="AM14" s="124" t="s">
        <v>102</v>
      </c>
      <c r="AN14" s="124" t="s">
        <v>102</v>
      </c>
      <c r="AO14" s="124" t="s">
        <v>102</v>
      </c>
      <c r="AP14" s="124">
        <v>0</v>
      </c>
    </row>
    <row r="15" spans="1:42" ht="72" x14ac:dyDescent="0.25">
      <c r="A15" s="34">
        <v>0</v>
      </c>
      <c r="B15" s="34">
        <v>0</v>
      </c>
      <c r="C15" s="34">
        <v>0</v>
      </c>
      <c r="D15" s="34">
        <v>0</v>
      </c>
      <c r="E15" s="74">
        <v>0</v>
      </c>
      <c r="F15" s="34">
        <v>0</v>
      </c>
      <c r="G15" s="34"/>
      <c r="H15" s="36">
        <v>0</v>
      </c>
      <c r="I15" s="39"/>
      <c r="J15" s="39"/>
      <c r="K15" s="39"/>
      <c r="L15" s="39"/>
      <c r="M15" s="39"/>
      <c r="N15" s="36">
        <f t="shared" si="0"/>
        <v>0</v>
      </c>
      <c r="O15" s="36">
        <f t="shared" si="0"/>
        <v>0</v>
      </c>
      <c r="P15" s="36">
        <f t="shared" si="0"/>
        <v>0</v>
      </c>
      <c r="Q15" s="36"/>
      <c r="R15" s="36"/>
      <c r="S15" s="36">
        <f t="shared" si="1"/>
        <v>0</v>
      </c>
      <c r="T15" s="37" t="s">
        <v>3072</v>
      </c>
      <c r="U15" s="37" t="s">
        <v>3073</v>
      </c>
      <c r="V15" s="37">
        <v>4</v>
      </c>
      <c r="W15" s="10"/>
      <c r="X15" s="10"/>
      <c r="Y15" s="10"/>
      <c r="Z15" s="10">
        <v>233</v>
      </c>
      <c r="AA15" s="34">
        <v>270</v>
      </c>
      <c r="AB15" s="10">
        <v>0</v>
      </c>
      <c r="AC15" s="10">
        <v>180</v>
      </c>
      <c r="AD15" s="177" t="s">
        <v>3074</v>
      </c>
      <c r="AE15" s="124">
        <v>0</v>
      </c>
      <c r="AF15" s="124">
        <v>0</v>
      </c>
      <c r="AG15" s="124" t="s">
        <v>102</v>
      </c>
      <c r="AH15" s="124" t="s">
        <v>102</v>
      </c>
      <c r="AI15" s="124" t="s">
        <v>102</v>
      </c>
      <c r="AJ15" s="124" t="s">
        <v>102</v>
      </c>
      <c r="AK15" s="124" t="s">
        <v>102</v>
      </c>
      <c r="AL15" s="124" t="s">
        <v>102</v>
      </c>
      <c r="AM15" s="124" t="s">
        <v>102</v>
      </c>
      <c r="AN15" s="124" t="s">
        <v>102</v>
      </c>
      <c r="AO15" s="124" t="s">
        <v>102</v>
      </c>
      <c r="AP15" s="124">
        <v>0</v>
      </c>
    </row>
    <row r="16" spans="1:42" ht="60" x14ac:dyDescent="0.25">
      <c r="A16" s="34">
        <v>0</v>
      </c>
      <c r="B16" s="34">
        <v>0</v>
      </c>
      <c r="C16" s="34">
        <v>0</v>
      </c>
      <c r="D16" s="34">
        <v>0</v>
      </c>
      <c r="E16" s="74">
        <v>0</v>
      </c>
      <c r="F16" s="34">
        <v>0</v>
      </c>
      <c r="G16" s="34"/>
      <c r="H16" s="36">
        <v>0</v>
      </c>
      <c r="I16" s="39"/>
      <c r="J16" s="39"/>
      <c r="K16" s="39"/>
      <c r="L16" s="39"/>
      <c r="M16" s="39"/>
      <c r="N16" s="36">
        <f t="shared" si="0"/>
        <v>0</v>
      </c>
      <c r="O16" s="36">
        <f t="shared" si="0"/>
        <v>0</v>
      </c>
      <c r="P16" s="36">
        <f t="shared" si="0"/>
        <v>0</v>
      </c>
      <c r="Q16" s="36"/>
      <c r="R16" s="36"/>
      <c r="S16" s="36">
        <f t="shared" si="1"/>
        <v>0</v>
      </c>
      <c r="T16" s="37" t="s">
        <v>3075</v>
      </c>
      <c r="U16" s="37" t="s">
        <v>3076</v>
      </c>
      <c r="V16" s="37">
        <v>1</v>
      </c>
      <c r="W16" s="10"/>
      <c r="X16" s="10"/>
      <c r="Y16" s="10" t="s">
        <v>1922</v>
      </c>
      <c r="Z16" s="10">
        <v>1</v>
      </c>
      <c r="AA16" s="34">
        <v>180</v>
      </c>
      <c r="AB16" s="10">
        <v>30</v>
      </c>
      <c r="AC16" s="10">
        <v>180</v>
      </c>
      <c r="AD16" s="177" t="s">
        <v>3077</v>
      </c>
      <c r="AE16" s="124">
        <v>0</v>
      </c>
      <c r="AF16" s="124">
        <v>0</v>
      </c>
      <c r="AG16" s="124">
        <v>0</v>
      </c>
      <c r="AH16" s="124">
        <v>0</v>
      </c>
      <c r="AI16" s="124" t="s">
        <v>102</v>
      </c>
      <c r="AJ16" s="124" t="s">
        <v>102</v>
      </c>
      <c r="AK16" s="124" t="s">
        <v>102</v>
      </c>
      <c r="AL16" s="124" t="s">
        <v>102</v>
      </c>
      <c r="AM16" s="124" t="s">
        <v>102</v>
      </c>
      <c r="AN16" s="124" t="s">
        <v>102</v>
      </c>
      <c r="AO16" s="124">
        <v>0</v>
      </c>
      <c r="AP16" s="124">
        <v>0</v>
      </c>
    </row>
    <row r="17" spans="1:42" ht="60" x14ac:dyDescent="0.25">
      <c r="A17" s="34" t="s">
        <v>55</v>
      </c>
      <c r="B17" s="34" t="s">
        <v>332</v>
      </c>
      <c r="C17" s="34" t="s">
        <v>2996</v>
      </c>
      <c r="D17" s="34" t="s">
        <v>3010</v>
      </c>
      <c r="E17" s="74" t="s">
        <v>3012</v>
      </c>
      <c r="F17" s="34" t="s">
        <v>3013</v>
      </c>
      <c r="G17" s="34" t="s">
        <v>3014</v>
      </c>
      <c r="H17" s="36">
        <v>581193000</v>
      </c>
      <c r="I17" s="36">
        <v>541193000</v>
      </c>
      <c r="J17" s="39">
        <v>491193000</v>
      </c>
      <c r="K17" s="39"/>
      <c r="L17" s="36">
        <v>60000000</v>
      </c>
      <c r="M17" s="39">
        <v>3960000000</v>
      </c>
      <c r="N17" s="36">
        <f t="shared" si="0"/>
        <v>581193000</v>
      </c>
      <c r="O17" s="36">
        <f t="shared" si="0"/>
        <v>601193000</v>
      </c>
      <c r="P17" s="36">
        <f t="shared" si="0"/>
        <v>4451193000</v>
      </c>
      <c r="Q17" s="36">
        <v>491193000</v>
      </c>
      <c r="R17" s="36">
        <v>3960000000</v>
      </c>
      <c r="S17" s="36">
        <f t="shared" si="1"/>
        <v>4451193000</v>
      </c>
      <c r="T17" s="37">
        <v>0</v>
      </c>
      <c r="U17" s="37">
        <v>0</v>
      </c>
      <c r="V17" s="37">
        <v>0</v>
      </c>
      <c r="W17" s="10"/>
      <c r="X17" s="10"/>
      <c r="Y17" s="10"/>
      <c r="Z17" s="10"/>
      <c r="AA17" s="34">
        <v>0</v>
      </c>
      <c r="AB17" s="10"/>
      <c r="AC17" s="10"/>
      <c r="AD17" s="10"/>
      <c r="AE17" s="124">
        <v>0</v>
      </c>
      <c r="AF17" s="124">
        <v>0</v>
      </c>
      <c r="AG17" s="124">
        <v>0</v>
      </c>
      <c r="AH17" s="124">
        <v>0</v>
      </c>
      <c r="AI17" s="124">
        <v>0</v>
      </c>
      <c r="AJ17" s="124">
        <v>0</v>
      </c>
      <c r="AK17" s="124">
        <v>0</v>
      </c>
      <c r="AL17" s="124">
        <v>0</v>
      </c>
      <c r="AM17" s="124">
        <v>0</v>
      </c>
      <c r="AN17" s="124">
        <v>0</v>
      </c>
      <c r="AO17" s="124">
        <v>0</v>
      </c>
      <c r="AP17" s="124">
        <v>0</v>
      </c>
    </row>
    <row r="18" spans="1:42" ht="89.25" customHeight="1" x14ac:dyDescent="0.25">
      <c r="A18" s="34">
        <v>0</v>
      </c>
      <c r="B18" s="34">
        <v>0</v>
      </c>
      <c r="C18" s="34">
        <v>0</v>
      </c>
      <c r="D18" s="34">
        <v>0</v>
      </c>
      <c r="E18" s="74">
        <v>0</v>
      </c>
      <c r="F18" s="34">
        <v>0</v>
      </c>
      <c r="G18" s="34"/>
      <c r="H18" s="36">
        <v>0</v>
      </c>
      <c r="I18" s="39"/>
      <c r="J18" s="39"/>
      <c r="K18" s="39"/>
      <c r="L18" s="39"/>
      <c r="M18" s="39"/>
      <c r="N18" s="36">
        <f t="shared" si="0"/>
        <v>0</v>
      </c>
      <c r="O18" s="36">
        <f t="shared" si="0"/>
        <v>0</v>
      </c>
      <c r="P18" s="36">
        <f t="shared" si="0"/>
        <v>0</v>
      </c>
      <c r="Q18" s="36"/>
      <c r="R18" s="36"/>
      <c r="S18" s="36">
        <f t="shared" si="1"/>
        <v>0</v>
      </c>
      <c r="T18" s="37" t="s">
        <v>3078</v>
      </c>
      <c r="U18" s="37" t="s">
        <v>941</v>
      </c>
      <c r="V18" s="37">
        <v>49</v>
      </c>
      <c r="W18" s="10">
        <v>51</v>
      </c>
      <c r="X18" s="10"/>
      <c r="Y18" s="10"/>
      <c r="Z18" s="10">
        <v>54</v>
      </c>
      <c r="AA18" s="34">
        <v>240</v>
      </c>
      <c r="AB18" s="10">
        <v>60</v>
      </c>
      <c r="AC18" s="10">
        <v>180</v>
      </c>
      <c r="AD18" s="177" t="s">
        <v>3079</v>
      </c>
      <c r="AE18" s="124">
        <v>0</v>
      </c>
      <c r="AF18" s="124">
        <v>0</v>
      </c>
      <c r="AG18" s="124">
        <v>0</v>
      </c>
      <c r="AH18" s="124" t="s">
        <v>218</v>
      </c>
      <c r="AI18" s="124" t="s">
        <v>218</v>
      </c>
      <c r="AJ18" s="124" t="s">
        <v>218</v>
      </c>
      <c r="AK18" s="124" t="s">
        <v>218</v>
      </c>
      <c r="AL18" s="124" t="s">
        <v>218</v>
      </c>
      <c r="AM18" s="124" t="s">
        <v>218</v>
      </c>
      <c r="AN18" s="124" t="s">
        <v>218</v>
      </c>
      <c r="AO18" s="124" t="s">
        <v>218</v>
      </c>
      <c r="AP18" s="124">
        <v>0</v>
      </c>
    </row>
    <row r="19" spans="1:42" ht="90" customHeight="1" x14ac:dyDescent="0.25">
      <c r="A19" s="34">
        <v>0</v>
      </c>
      <c r="B19" s="34">
        <v>0</v>
      </c>
      <c r="C19" s="34">
        <v>0</v>
      </c>
      <c r="D19" s="34">
        <v>0</v>
      </c>
      <c r="E19" s="74">
        <v>0</v>
      </c>
      <c r="F19" s="34">
        <v>0</v>
      </c>
      <c r="G19" s="34"/>
      <c r="H19" s="36">
        <v>0</v>
      </c>
      <c r="I19" s="39"/>
      <c r="J19" s="39"/>
      <c r="K19" s="39"/>
      <c r="L19" s="39"/>
      <c r="M19" s="39"/>
      <c r="N19" s="36">
        <f t="shared" si="0"/>
        <v>0</v>
      </c>
      <c r="O19" s="36">
        <f t="shared" si="0"/>
        <v>0</v>
      </c>
      <c r="P19" s="36">
        <f t="shared" si="0"/>
        <v>0</v>
      </c>
      <c r="Q19" s="36"/>
      <c r="R19" s="36"/>
      <c r="S19" s="36">
        <f t="shared" si="1"/>
        <v>0</v>
      </c>
      <c r="T19" s="37" t="s">
        <v>3080</v>
      </c>
      <c r="U19" s="37" t="s">
        <v>3076</v>
      </c>
      <c r="V19" s="37">
        <v>1</v>
      </c>
      <c r="W19" s="10">
        <v>1</v>
      </c>
      <c r="X19" s="10"/>
      <c r="Y19" s="10" t="s">
        <v>1919</v>
      </c>
      <c r="Z19" s="10">
        <v>1</v>
      </c>
      <c r="AA19" s="34">
        <v>240</v>
      </c>
      <c r="AB19" s="10">
        <v>30</v>
      </c>
      <c r="AC19" s="10">
        <v>240</v>
      </c>
      <c r="AD19" s="177" t="s">
        <v>3081</v>
      </c>
      <c r="AE19" s="124">
        <v>0</v>
      </c>
      <c r="AF19" s="124">
        <v>0</v>
      </c>
      <c r="AG19" s="124">
        <v>0</v>
      </c>
      <c r="AH19" s="124" t="s">
        <v>218</v>
      </c>
      <c r="AI19" s="124" t="s">
        <v>218</v>
      </c>
      <c r="AJ19" s="124" t="s">
        <v>218</v>
      </c>
      <c r="AK19" s="124" t="s">
        <v>218</v>
      </c>
      <c r="AL19" s="124" t="s">
        <v>218</v>
      </c>
      <c r="AM19" s="124" t="s">
        <v>218</v>
      </c>
      <c r="AN19" s="124" t="s">
        <v>218</v>
      </c>
      <c r="AO19" s="124" t="s">
        <v>218</v>
      </c>
      <c r="AP19" s="124">
        <v>0</v>
      </c>
    </row>
    <row r="20" spans="1:42" ht="85.5" customHeight="1" x14ac:dyDescent="0.25">
      <c r="A20" s="34">
        <v>0</v>
      </c>
      <c r="B20" s="34">
        <v>0</v>
      </c>
      <c r="C20" s="34">
        <v>0</v>
      </c>
      <c r="D20" s="34">
        <v>0</v>
      </c>
      <c r="E20" s="74">
        <v>0</v>
      </c>
      <c r="F20" s="34">
        <v>0</v>
      </c>
      <c r="G20" s="34"/>
      <c r="H20" s="36">
        <v>0</v>
      </c>
      <c r="I20" s="39"/>
      <c r="J20" s="39"/>
      <c r="K20" s="39"/>
      <c r="L20" s="39"/>
      <c r="M20" s="39"/>
      <c r="N20" s="36">
        <f t="shared" si="0"/>
        <v>0</v>
      </c>
      <c r="O20" s="36">
        <f t="shared" si="0"/>
        <v>0</v>
      </c>
      <c r="P20" s="36">
        <f t="shared" si="0"/>
        <v>0</v>
      </c>
      <c r="Q20" s="36"/>
      <c r="R20" s="36"/>
      <c r="S20" s="36">
        <f t="shared" si="1"/>
        <v>0</v>
      </c>
      <c r="T20" s="37" t="s">
        <v>3082</v>
      </c>
      <c r="U20" s="37" t="s">
        <v>3066</v>
      </c>
      <c r="V20" s="37">
        <v>1</v>
      </c>
      <c r="W20" s="10">
        <v>1</v>
      </c>
      <c r="X20" s="10"/>
      <c r="Y20" s="10" t="s">
        <v>1919</v>
      </c>
      <c r="Z20" s="10">
        <v>1</v>
      </c>
      <c r="AA20" s="34">
        <v>90</v>
      </c>
      <c r="AB20" s="10">
        <v>30</v>
      </c>
      <c r="AC20" s="10">
        <v>90</v>
      </c>
      <c r="AD20" s="177" t="s">
        <v>3083</v>
      </c>
      <c r="AE20" s="124">
        <v>0</v>
      </c>
      <c r="AF20" s="124">
        <v>0</v>
      </c>
      <c r="AG20" s="124" t="s">
        <v>218</v>
      </c>
      <c r="AH20" s="124" t="s">
        <v>218</v>
      </c>
      <c r="AI20" s="124" t="s">
        <v>218</v>
      </c>
      <c r="AJ20" s="124">
        <v>0</v>
      </c>
      <c r="AK20" s="124">
        <v>0</v>
      </c>
      <c r="AL20" s="124">
        <v>0</v>
      </c>
      <c r="AM20" s="124">
        <v>0</v>
      </c>
      <c r="AN20" s="124">
        <v>0</v>
      </c>
      <c r="AO20" s="124">
        <v>0</v>
      </c>
      <c r="AP20" s="124">
        <v>0</v>
      </c>
    </row>
    <row r="21" spans="1:42" ht="84" customHeight="1" x14ac:dyDescent="0.25">
      <c r="A21" s="34">
        <v>0</v>
      </c>
      <c r="B21" s="34">
        <v>0</v>
      </c>
      <c r="C21" s="34">
        <v>0</v>
      </c>
      <c r="D21" s="34">
        <v>0</v>
      </c>
      <c r="E21" s="74">
        <v>0</v>
      </c>
      <c r="F21" s="34">
        <v>0</v>
      </c>
      <c r="G21" s="34"/>
      <c r="H21" s="36">
        <v>0</v>
      </c>
      <c r="I21" s="39"/>
      <c r="J21" s="39"/>
      <c r="K21" s="39"/>
      <c r="L21" s="39"/>
      <c r="M21" s="39"/>
      <c r="N21" s="36">
        <f t="shared" si="0"/>
        <v>0</v>
      </c>
      <c r="O21" s="36">
        <f t="shared" si="0"/>
        <v>0</v>
      </c>
      <c r="P21" s="36">
        <f t="shared" si="0"/>
        <v>0</v>
      </c>
      <c r="Q21" s="36"/>
      <c r="R21" s="36"/>
      <c r="S21" s="36">
        <f t="shared" si="1"/>
        <v>0</v>
      </c>
      <c r="T21" s="37" t="s">
        <v>3084</v>
      </c>
      <c r="U21" s="37" t="s">
        <v>3066</v>
      </c>
      <c r="V21" s="37">
        <v>1</v>
      </c>
      <c r="W21" s="10">
        <v>1</v>
      </c>
      <c r="X21" s="10"/>
      <c r="Y21" s="10" t="s">
        <v>3085</v>
      </c>
      <c r="Z21" s="10">
        <v>1</v>
      </c>
      <c r="AA21" s="34">
        <v>180</v>
      </c>
      <c r="AB21" s="10">
        <v>30</v>
      </c>
      <c r="AC21" s="10">
        <v>180</v>
      </c>
      <c r="AD21" s="177" t="s">
        <v>3086</v>
      </c>
      <c r="AE21" s="124">
        <v>0</v>
      </c>
      <c r="AF21" s="124">
        <v>0</v>
      </c>
      <c r="AG21" s="124">
        <v>0</v>
      </c>
      <c r="AH21" s="124">
        <v>0</v>
      </c>
      <c r="AI21" s="124">
        <v>0</v>
      </c>
      <c r="AJ21" s="124" t="s">
        <v>218</v>
      </c>
      <c r="AK21" s="124" t="s">
        <v>218</v>
      </c>
      <c r="AL21" s="124" t="s">
        <v>218</v>
      </c>
      <c r="AM21" s="124" t="s">
        <v>218</v>
      </c>
      <c r="AN21" s="124" t="s">
        <v>218</v>
      </c>
      <c r="AO21" s="124" t="s">
        <v>218</v>
      </c>
      <c r="AP21" s="124">
        <v>0</v>
      </c>
    </row>
    <row r="22" spans="1:42" ht="60" x14ac:dyDescent="0.25">
      <c r="A22" s="34">
        <v>0</v>
      </c>
      <c r="B22" s="34">
        <v>0</v>
      </c>
      <c r="C22" s="34">
        <v>0</v>
      </c>
      <c r="D22" s="34">
        <v>0</v>
      </c>
      <c r="E22" s="74">
        <v>0</v>
      </c>
      <c r="F22" s="34">
        <v>0</v>
      </c>
      <c r="G22" s="34"/>
      <c r="H22" s="36">
        <v>0</v>
      </c>
      <c r="I22" s="39"/>
      <c r="J22" s="39"/>
      <c r="K22" s="39"/>
      <c r="L22" s="39"/>
      <c r="M22" s="39"/>
      <c r="N22" s="36">
        <f t="shared" si="0"/>
        <v>0</v>
      </c>
      <c r="O22" s="36">
        <f t="shared" si="0"/>
        <v>0</v>
      </c>
      <c r="P22" s="36">
        <f t="shared" si="0"/>
        <v>0</v>
      </c>
      <c r="Q22" s="36"/>
      <c r="R22" s="36"/>
      <c r="S22" s="36">
        <f t="shared" si="1"/>
        <v>0</v>
      </c>
      <c r="T22" s="37" t="s">
        <v>3087</v>
      </c>
      <c r="U22" s="37" t="s">
        <v>3066</v>
      </c>
      <c r="V22" s="37">
        <v>1</v>
      </c>
      <c r="W22" s="10"/>
      <c r="X22" s="10"/>
      <c r="Y22" s="10"/>
      <c r="Z22" s="10">
        <v>1</v>
      </c>
      <c r="AA22" s="34">
        <v>180</v>
      </c>
      <c r="AB22" s="10"/>
      <c r="AC22" s="10">
        <v>180</v>
      </c>
      <c r="AD22" s="177" t="s">
        <v>3018</v>
      </c>
      <c r="AE22" s="124">
        <v>0</v>
      </c>
      <c r="AF22" s="124">
        <v>0</v>
      </c>
      <c r="AG22" s="124">
        <v>0</v>
      </c>
      <c r="AH22" s="124">
        <v>0</v>
      </c>
      <c r="AI22" s="124">
        <v>0</v>
      </c>
      <c r="AJ22" s="124" t="s">
        <v>218</v>
      </c>
      <c r="AK22" s="124" t="s">
        <v>218</v>
      </c>
      <c r="AL22" s="124" t="s">
        <v>218</v>
      </c>
      <c r="AM22" s="124" t="s">
        <v>218</v>
      </c>
      <c r="AN22" s="124" t="s">
        <v>218</v>
      </c>
      <c r="AO22" s="124" t="s">
        <v>218</v>
      </c>
      <c r="AP22" s="124">
        <v>0</v>
      </c>
    </row>
    <row r="23" spans="1:42" ht="104.25" customHeight="1" x14ac:dyDescent="0.25">
      <c r="A23" s="34" t="s">
        <v>55</v>
      </c>
      <c r="B23" s="34" t="s">
        <v>332</v>
      </c>
      <c r="C23" s="34" t="s">
        <v>3019</v>
      </c>
      <c r="D23" s="34">
        <v>243210007</v>
      </c>
      <c r="E23" s="74" t="s">
        <v>3021</v>
      </c>
      <c r="F23" s="34" t="s">
        <v>3022</v>
      </c>
      <c r="G23" s="34" t="s">
        <v>3023</v>
      </c>
      <c r="H23" s="36">
        <v>12248517000</v>
      </c>
      <c r="I23" s="36">
        <v>12039864467</v>
      </c>
      <c r="J23" s="39">
        <v>12039864467</v>
      </c>
      <c r="K23" s="39"/>
      <c r="L23" s="36">
        <v>303137149</v>
      </c>
      <c r="M23" s="39">
        <v>73459622982</v>
      </c>
      <c r="N23" s="36">
        <f t="shared" si="0"/>
        <v>12248517000</v>
      </c>
      <c r="O23" s="36">
        <f t="shared" si="0"/>
        <v>12343001616</v>
      </c>
      <c r="P23" s="36">
        <f t="shared" si="0"/>
        <v>85499487449</v>
      </c>
      <c r="Q23" s="36">
        <v>12035413176</v>
      </c>
      <c r="R23" s="36">
        <v>73459622982</v>
      </c>
      <c r="S23" s="36">
        <f t="shared" si="1"/>
        <v>85495036158</v>
      </c>
      <c r="T23" s="37">
        <v>0</v>
      </c>
      <c r="U23" s="37">
        <v>0</v>
      </c>
      <c r="V23" s="37">
        <v>0</v>
      </c>
      <c r="W23" s="10"/>
      <c r="X23" s="10"/>
      <c r="Y23" s="10"/>
      <c r="Z23" s="10"/>
      <c r="AA23" s="34">
        <v>0</v>
      </c>
      <c r="AB23" s="10"/>
      <c r="AC23" s="10"/>
      <c r="AD23" s="10"/>
      <c r="AE23" s="124">
        <v>0</v>
      </c>
      <c r="AF23" s="124">
        <v>0</v>
      </c>
      <c r="AG23" s="124">
        <v>0</v>
      </c>
      <c r="AH23" s="124">
        <v>0</v>
      </c>
      <c r="AI23" s="124">
        <v>0</v>
      </c>
      <c r="AJ23" s="124">
        <v>0</v>
      </c>
      <c r="AK23" s="124">
        <v>0</v>
      </c>
      <c r="AL23" s="124">
        <v>0</v>
      </c>
      <c r="AM23" s="124">
        <v>0</v>
      </c>
      <c r="AN23" s="124">
        <v>0</v>
      </c>
      <c r="AO23" s="124">
        <v>0</v>
      </c>
      <c r="AP23" s="124">
        <v>0</v>
      </c>
    </row>
    <row r="24" spans="1:42" ht="89.25" customHeight="1" x14ac:dyDescent="0.25">
      <c r="A24" s="34">
        <v>0</v>
      </c>
      <c r="B24" s="34">
        <v>0</v>
      </c>
      <c r="C24" s="34">
        <v>0</v>
      </c>
      <c r="D24" s="34">
        <v>0</v>
      </c>
      <c r="E24" s="74">
        <v>0</v>
      </c>
      <c r="F24" s="34">
        <v>0</v>
      </c>
      <c r="G24" s="34"/>
      <c r="H24" s="36">
        <v>0</v>
      </c>
      <c r="I24" s="39"/>
      <c r="J24" s="39"/>
      <c r="K24" s="39"/>
      <c r="L24" s="39"/>
      <c r="M24" s="39"/>
      <c r="N24" s="36">
        <f t="shared" si="0"/>
        <v>0</v>
      </c>
      <c r="O24" s="36">
        <f t="shared" si="0"/>
        <v>0</v>
      </c>
      <c r="P24" s="36">
        <f t="shared" si="0"/>
        <v>0</v>
      </c>
      <c r="Q24" s="36"/>
      <c r="R24" s="36"/>
      <c r="S24" s="36">
        <f t="shared" si="1"/>
        <v>0</v>
      </c>
      <c r="T24" s="37" t="s">
        <v>3088</v>
      </c>
      <c r="U24" s="37" t="s">
        <v>316</v>
      </c>
      <c r="V24" s="37">
        <v>17</v>
      </c>
      <c r="W24" s="10">
        <v>27</v>
      </c>
      <c r="X24" s="10"/>
      <c r="Y24" s="10">
        <v>26</v>
      </c>
      <c r="Z24" s="10">
        <v>24</v>
      </c>
      <c r="AA24" s="34">
        <v>365</v>
      </c>
      <c r="AB24" s="10">
        <v>180</v>
      </c>
      <c r="AC24" s="10">
        <v>365</v>
      </c>
      <c r="AD24" s="177" t="s">
        <v>3089</v>
      </c>
      <c r="AE24" s="124" t="s">
        <v>218</v>
      </c>
      <c r="AF24" s="124" t="s">
        <v>218</v>
      </c>
      <c r="AG24" s="124" t="s">
        <v>218</v>
      </c>
      <c r="AH24" s="124" t="s">
        <v>218</v>
      </c>
      <c r="AI24" s="124" t="s">
        <v>218</v>
      </c>
      <c r="AJ24" s="124" t="s">
        <v>218</v>
      </c>
      <c r="AK24" s="124" t="s">
        <v>218</v>
      </c>
      <c r="AL24" s="124" t="s">
        <v>218</v>
      </c>
      <c r="AM24" s="124" t="s">
        <v>218</v>
      </c>
      <c r="AN24" s="124" t="s">
        <v>218</v>
      </c>
      <c r="AO24" s="124" t="s">
        <v>218</v>
      </c>
      <c r="AP24" s="124" t="s">
        <v>218</v>
      </c>
    </row>
    <row r="25" spans="1:42" ht="75" customHeight="1" x14ac:dyDescent="0.25">
      <c r="A25" s="34">
        <v>0</v>
      </c>
      <c r="B25" s="34">
        <v>0</v>
      </c>
      <c r="C25" s="34">
        <v>0</v>
      </c>
      <c r="D25" s="34">
        <v>0</v>
      </c>
      <c r="E25" s="74">
        <v>0</v>
      </c>
      <c r="F25" s="34">
        <v>0</v>
      </c>
      <c r="G25" s="34"/>
      <c r="H25" s="36">
        <v>0</v>
      </c>
      <c r="I25" s="39"/>
      <c r="J25" s="39"/>
      <c r="K25" s="39"/>
      <c r="L25" s="39"/>
      <c r="M25" s="39"/>
      <c r="N25" s="36">
        <f t="shared" si="0"/>
        <v>0</v>
      </c>
      <c r="O25" s="36">
        <f t="shared" si="0"/>
        <v>0</v>
      </c>
      <c r="P25" s="36">
        <f t="shared" si="0"/>
        <v>0</v>
      </c>
      <c r="Q25" s="36"/>
      <c r="R25" s="36"/>
      <c r="S25" s="36">
        <f t="shared" si="1"/>
        <v>0</v>
      </c>
      <c r="T25" s="37" t="s">
        <v>3090</v>
      </c>
      <c r="U25" s="37" t="s">
        <v>316</v>
      </c>
      <c r="V25" s="37">
        <v>3284</v>
      </c>
      <c r="W25" s="10">
        <v>4872</v>
      </c>
      <c r="X25" s="10"/>
      <c r="Y25" s="10">
        <v>4872</v>
      </c>
      <c r="Z25" s="10">
        <v>5619</v>
      </c>
      <c r="AA25" s="34">
        <v>285</v>
      </c>
      <c r="AB25" s="10">
        <v>90</v>
      </c>
      <c r="AC25" s="10">
        <v>285</v>
      </c>
      <c r="AD25" s="177" t="s">
        <v>3025</v>
      </c>
      <c r="AE25" s="124">
        <v>0</v>
      </c>
      <c r="AF25" s="124">
        <v>0</v>
      </c>
      <c r="AG25" s="124" t="s">
        <v>218</v>
      </c>
      <c r="AH25" s="124" t="s">
        <v>218</v>
      </c>
      <c r="AI25" s="124" t="s">
        <v>218</v>
      </c>
      <c r="AJ25" s="124" t="s">
        <v>218</v>
      </c>
      <c r="AK25" s="124" t="s">
        <v>218</v>
      </c>
      <c r="AL25" s="124" t="s">
        <v>218</v>
      </c>
      <c r="AM25" s="124" t="s">
        <v>218</v>
      </c>
      <c r="AN25" s="124" t="s">
        <v>218</v>
      </c>
      <c r="AO25" s="124" t="s">
        <v>218</v>
      </c>
      <c r="AP25" s="124" t="s">
        <v>218</v>
      </c>
    </row>
    <row r="26" spans="1:42" ht="86.25" customHeight="1" x14ac:dyDescent="0.25">
      <c r="A26" s="34">
        <v>0</v>
      </c>
      <c r="B26" s="34">
        <v>0</v>
      </c>
      <c r="C26" s="34">
        <v>0</v>
      </c>
      <c r="D26" s="34">
        <v>0</v>
      </c>
      <c r="E26" s="74">
        <v>0</v>
      </c>
      <c r="F26" s="34">
        <v>0</v>
      </c>
      <c r="G26" s="34"/>
      <c r="H26" s="36">
        <v>0</v>
      </c>
      <c r="I26" s="39"/>
      <c r="J26" s="39"/>
      <c r="K26" s="39"/>
      <c r="L26" s="39"/>
      <c r="M26" s="39"/>
      <c r="N26" s="36">
        <f t="shared" si="0"/>
        <v>0</v>
      </c>
      <c r="O26" s="36">
        <f t="shared" si="0"/>
        <v>0</v>
      </c>
      <c r="P26" s="36">
        <f t="shared" si="0"/>
        <v>0</v>
      </c>
      <c r="Q26" s="36"/>
      <c r="R26" s="36"/>
      <c r="S26" s="36">
        <f t="shared" si="1"/>
        <v>0</v>
      </c>
      <c r="T26" s="37" t="s">
        <v>3091</v>
      </c>
      <c r="U26" s="37" t="s">
        <v>316</v>
      </c>
      <c r="V26" s="37">
        <v>857</v>
      </c>
      <c r="W26" s="10">
        <v>857</v>
      </c>
      <c r="X26" s="10"/>
      <c r="Y26" s="10">
        <v>487</v>
      </c>
      <c r="Z26" s="10">
        <v>1066</v>
      </c>
      <c r="AA26" s="34">
        <v>285</v>
      </c>
      <c r="AB26" s="10">
        <v>90</v>
      </c>
      <c r="AC26" s="10">
        <v>285</v>
      </c>
      <c r="AD26" s="177" t="s">
        <v>3027</v>
      </c>
      <c r="AE26" s="124">
        <v>0</v>
      </c>
      <c r="AF26" s="124">
        <v>0</v>
      </c>
      <c r="AG26" s="124" t="s">
        <v>218</v>
      </c>
      <c r="AH26" s="124" t="s">
        <v>218</v>
      </c>
      <c r="AI26" s="124" t="s">
        <v>218</v>
      </c>
      <c r="AJ26" s="124" t="s">
        <v>218</v>
      </c>
      <c r="AK26" s="124" t="s">
        <v>218</v>
      </c>
      <c r="AL26" s="124" t="s">
        <v>218</v>
      </c>
      <c r="AM26" s="124" t="s">
        <v>218</v>
      </c>
      <c r="AN26" s="124" t="s">
        <v>218</v>
      </c>
      <c r="AO26" s="124" t="s">
        <v>218</v>
      </c>
      <c r="AP26" s="124" t="s">
        <v>218</v>
      </c>
    </row>
    <row r="27" spans="1:42" ht="54.75" customHeight="1" x14ac:dyDescent="0.25">
      <c r="A27" s="34">
        <v>0</v>
      </c>
      <c r="B27" s="34">
        <v>0</v>
      </c>
      <c r="C27" s="34">
        <v>0</v>
      </c>
      <c r="D27" s="34">
        <v>0</v>
      </c>
      <c r="E27" s="74">
        <v>0</v>
      </c>
      <c r="F27" s="34">
        <v>0</v>
      </c>
      <c r="G27" s="34"/>
      <c r="H27" s="36">
        <v>0</v>
      </c>
      <c r="I27" s="39"/>
      <c r="J27" s="39"/>
      <c r="K27" s="39"/>
      <c r="L27" s="39"/>
      <c r="M27" s="39"/>
      <c r="N27" s="36">
        <f t="shared" si="0"/>
        <v>0</v>
      </c>
      <c r="O27" s="36">
        <f t="shared" si="0"/>
        <v>0</v>
      </c>
      <c r="P27" s="36">
        <f t="shared" si="0"/>
        <v>0</v>
      </c>
      <c r="Q27" s="36"/>
      <c r="R27" s="36"/>
      <c r="S27" s="36">
        <f t="shared" si="1"/>
        <v>0</v>
      </c>
      <c r="T27" s="37" t="s">
        <v>3092</v>
      </c>
      <c r="U27" s="37" t="s">
        <v>3066</v>
      </c>
      <c r="V27" s="37">
        <v>1</v>
      </c>
      <c r="W27" s="10"/>
      <c r="X27" s="10"/>
      <c r="Y27" s="10">
        <v>1</v>
      </c>
      <c r="Z27" s="10">
        <v>1</v>
      </c>
      <c r="AA27" s="34">
        <v>285</v>
      </c>
      <c r="AB27" s="10">
        <v>120</v>
      </c>
      <c r="AC27" s="10">
        <v>285</v>
      </c>
      <c r="AD27" s="177" t="s">
        <v>3093</v>
      </c>
      <c r="AE27" s="124">
        <v>0</v>
      </c>
      <c r="AF27" s="124">
        <v>0</v>
      </c>
      <c r="AG27" s="124" t="s">
        <v>218</v>
      </c>
      <c r="AH27" s="124" t="s">
        <v>218</v>
      </c>
      <c r="AI27" s="124" t="s">
        <v>218</v>
      </c>
      <c r="AJ27" s="124" t="s">
        <v>218</v>
      </c>
      <c r="AK27" s="124" t="s">
        <v>218</v>
      </c>
      <c r="AL27" s="124" t="s">
        <v>218</v>
      </c>
      <c r="AM27" s="124" t="s">
        <v>218</v>
      </c>
      <c r="AN27" s="124" t="s">
        <v>218</v>
      </c>
      <c r="AO27" s="124" t="s">
        <v>218</v>
      </c>
      <c r="AP27" s="124" t="s">
        <v>218</v>
      </c>
    </row>
    <row r="28" spans="1:42" ht="78.75" customHeight="1" x14ac:dyDescent="0.25">
      <c r="A28" s="34">
        <v>0</v>
      </c>
      <c r="B28" s="34">
        <v>0</v>
      </c>
      <c r="C28" s="34">
        <v>0</v>
      </c>
      <c r="D28" s="34">
        <v>0</v>
      </c>
      <c r="E28" s="74">
        <v>0</v>
      </c>
      <c r="F28" s="34">
        <v>0</v>
      </c>
      <c r="G28" s="34"/>
      <c r="H28" s="36">
        <v>0</v>
      </c>
      <c r="I28" s="39"/>
      <c r="J28" s="39"/>
      <c r="K28" s="39"/>
      <c r="L28" s="39"/>
      <c r="M28" s="39"/>
      <c r="N28" s="36">
        <f t="shared" si="0"/>
        <v>0</v>
      </c>
      <c r="O28" s="36">
        <f t="shared" si="0"/>
        <v>0</v>
      </c>
      <c r="P28" s="36">
        <f t="shared" si="0"/>
        <v>0</v>
      </c>
      <c r="Q28" s="36"/>
      <c r="R28" s="36"/>
      <c r="S28" s="36">
        <f t="shared" si="1"/>
        <v>0</v>
      </c>
      <c r="T28" s="37" t="s">
        <v>3094</v>
      </c>
      <c r="U28" s="37" t="s">
        <v>2909</v>
      </c>
      <c r="V28" s="37">
        <v>20</v>
      </c>
      <c r="W28" s="10"/>
      <c r="X28" s="10"/>
      <c r="Y28" s="10"/>
      <c r="Z28" s="10">
        <v>27</v>
      </c>
      <c r="AA28" s="34">
        <v>285</v>
      </c>
      <c r="AB28" s="10">
        <v>0</v>
      </c>
      <c r="AC28" s="10">
        <v>285</v>
      </c>
      <c r="AD28" s="177" t="s">
        <v>3095</v>
      </c>
      <c r="AE28" s="124">
        <v>0</v>
      </c>
      <c r="AF28" s="124">
        <v>0</v>
      </c>
      <c r="AG28" s="124" t="s">
        <v>218</v>
      </c>
      <c r="AH28" s="124" t="s">
        <v>218</v>
      </c>
      <c r="AI28" s="124" t="s">
        <v>218</v>
      </c>
      <c r="AJ28" s="124" t="s">
        <v>218</v>
      </c>
      <c r="AK28" s="124" t="s">
        <v>218</v>
      </c>
      <c r="AL28" s="124" t="s">
        <v>218</v>
      </c>
      <c r="AM28" s="124" t="s">
        <v>218</v>
      </c>
      <c r="AN28" s="124" t="s">
        <v>218</v>
      </c>
      <c r="AO28" s="124" t="s">
        <v>218</v>
      </c>
      <c r="AP28" s="124" t="s">
        <v>218</v>
      </c>
    </row>
    <row r="29" spans="1:42" ht="74.25" customHeight="1" x14ac:dyDescent="0.25">
      <c r="A29" s="34">
        <v>0</v>
      </c>
      <c r="B29" s="34">
        <v>0</v>
      </c>
      <c r="C29" s="34">
        <v>0</v>
      </c>
      <c r="D29" s="34">
        <v>0</v>
      </c>
      <c r="E29" s="74">
        <v>0</v>
      </c>
      <c r="F29" s="34">
        <v>0</v>
      </c>
      <c r="G29" s="34"/>
      <c r="H29" s="36">
        <v>0</v>
      </c>
      <c r="I29" s="39"/>
      <c r="J29" s="39"/>
      <c r="K29" s="39"/>
      <c r="L29" s="39"/>
      <c r="M29" s="39"/>
      <c r="N29" s="36">
        <f t="shared" si="0"/>
        <v>0</v>
      </c>
      <c r="O29" s="36">
        <f t="shared" si="0"/>
        <v>0</v>
      </c>
      <c r="P29" s="36">
        <f t="shared" si="0"/>
        <v>0</v>
      </c>
      <c r="Q29" s="36"/>
      <c r="R29" s="36"/>
      <c r="S29" s="36">
        <f t="shared" si="1"/>
        <v>0</v>
      </c>
      <c r="T29" s="37" t="s">
        <v>3096</v>
      </c>
      <c r="U29" s="37" t="s">
        <v>3097</v>
      </c>
      <c r="V29" s="37">
        <v>1</v>
      </c>
      <c r="W29" s="10"/>
      <c r="X29" s="10"/>
      <c r="Y29" s="10">
        <v>0.4</v>
      </c>
      <c r="Z29" s="10">
        <v>1</v>
      </c>
      <c r="AA29" s="34">
        <v>285</v>
      </c>
      <c r="AB29" s="10">
        <v>90</v>
      </c>
      <c r="AC29" s="10">
        <v>285</v>
      </c>
      <c r="AD29" s="177" t="s">
        <v>3098</v>
      </c>
      <c r="AE29" s="124">
        <v>0</v>
      </c>
      <c r="AF29" s="124">
        <v>0</v>
      </c>
      <c r="AG29" s="124" t="s">
        <v>218</v>
      </c>
      <c r="AH29" s="124" t="s">
        <v>218</v>
      </c>
      <c r="AI29" s="124" t="s">
        <v>218</v>
      </c>
      <c r="AJ29" s="124" t="s">
        <v>218</v>
      </c>
      <c r="AK29" s="124" t="s">
        <v>218</v>
      </c>
      <c r="AL29" s="124" t="s">
        <v>218</v>
      </c>
      <c r="AM29" s="124" t="s">
        <v>218</v>
      </c>
      <c r="AN29" s="124" t="s">
        <v>218</v>
      </c>
      <c r="AO29" s="124" t="s">
        <v>218</v>
      </c>
      <c r="AP29" s="124" t="s">
        <v>218</v>
      </c>
    </row>
    <row r="30" spans="1:42" ht="69" customHeight="1" x14ac:dyDescent="0.25">
      <c r="A30" s="34">
        <v>0</v>
      </c>
      <c r="B30" s="34">
        <v>0</v>
      </c>
      <c r="C30" s="34">
        <v>0</v>
      </c>
      <c r="D30" s="34">
        <v>0</v>
      </c>
      <c r="E30" s="74">
        <v>0</v>
      </c>
      <c r="F30" s="34">
        <v>0</v>
      </c>
      <c r="G30" s="34"/>
      <c r="H30" s="36">
        <v>0</v>
      </c>
      <c r="I30" s="39"/>
      <c r="J30" s="39"/>
      <c r="K30" s="39"/>
      <c r="L30" s="39"/>
      <c r="M30" s="39"/>
      <c r="N30" s="36">
        <f t="shared" si="0"/>
        <v>0</v>
      </c>
      <c r="O30" s="36">
        <f t="shared" si="0"/>
        <v>0</v>
      </c>
      <c r="P30" s="36">
        <f t="shared" si="0"/>
        <v>0</v>
      </c>
      <c r="Q30" s="36"/>
      <c r="R30" s="36"/>
      <c r="S30" s="36">
        <f t="shared" si="1"/>
        <v>0</v>
      </c>
      <c r="T30" s="37" t="s">
        <v>3099</v>
      </c>
      <c r="U30" s="37" t="s">
        <v>316</v>
      </c>
      <c r="V30" s="37">
        <v>1</v>
      </c>
      <c r="W30" s="10"/>
      <c r="X30" s="10"/>
      <c r="Y30" s="10">
        <v>0.5</v>
      </c>
      <c r="Z30" s="10">
        <v>1</v>
      </c>
      <c r="AA30" s="34">
        <v>330</v>
      </c>
      <c r="AB30" s="10">
        <v>150</v>
      </c>
      <c r="AC30" s="10">
        <v>330</v>
      </c>
      <c r="AD30" s="177" t="s">
        <v>3100</v>
      </c>
      <c r="AE30" s="124">
        <v>0</v>
      </c>
      <c r="AF30" s="124" t="s">
        <v>102</v>
      </c>
      <c r="AG30" s="124" t="s">
        <v>218</v>
      </c>
      <c r="AH30" s="124" t="s">
        <v>218</v>
      </c>
      <c r="AI30" s="124" t="s">
        <v>218</v>
      </c>
      <c r="AJ30" s="124" t="s">
        <v>218</v>
      </c>
      <c r="AK30" s="124" t="s">
        <v>218</v>
      </c>
      <c r="AL30" s="124" t="s">
        <v>218</v>
      </c>
      <c r="AM30" s="124" t="s">
        <v>218</v>
      </c>
      <c r="AN30" s="124" t="s">
        <v>218</v>
      </c>
      <c r="AO30" s="124" t="s">
        <v>218</v>
      </c>
      <c r="AP30" s="124" t="s">
        <v>218</v>
      </c>
    </row>
    <row r="31" spans="1:42" ht="108" x14ac:dyDescent="0.25">
      <c r="A31" s="34" t="s">
        <v>55</v>
      </c>
      <c r="B31" s="34" t="s">
        <v>332</v>
      </c>
      <c r="C31" s="34" t="s">
        <v>3028</v>
      </c>
      <c r="D31" s="34">
        <v>243310007</v>
      </c>
      <c r="E31" s="74" t="s">
        <v>3030</v>
      </c>
      <c r="F31" s="34" t="s">
        <v>3031</v>
      </c>
      <c r="G31" s="34" t="s">
        <v>3032</v>
      </c>
      <c r="H31" s="36">
        <v>1421000000</v>
      </c>
      <c r="I31" s="36">
        <v>1515430622</v>
      </c>
      <c r="J31" s="39">
        <v>1350430622</v>
      </c>
      <c r="K31" s="39"/>
      <c r="L31" s="39">
        <v>347793664</v>
      </c>
      <c r="M31" s="39">
        <v>4594470715</v>
      </c>
      <c r="N31" s="36">
        <f t="shared" si="0"/>
        <v>1421000000</v>
      </c>
      <c r="O31" s="36">
        <f t="shared" si="0"/>
        <v>1863224286</v>
      </c>
      <c r="P31" s="36">
        <f t="shared" si="0"/>
        <v>5944901337</v>
      </c>
      <c r="Q31" s="36">
        <v>1332230622</v>
      </c>
      <c r="R31" s="36">
        <v>4594470715</v>
      </c>
      <c r="S31" s="36">
        <f t="shared" si="1"/>
        <v>5926701337</v>
      </c>
      <c r="T31" s="37">
        <v>0</v>
      </c>
      <c r="U31" s="37">
        <v>0</v>
      </c>
      <c r="V31" s="37">
        <v>0</v>
      </c>
      <c r="W31" s="10"/>
      <c r="X31" s="10"/>
      <c r="Y31" s="10"/>
      <c r="Z31" s="10"/>
      <c r="AA31" s="34">
        <v>0</v>
      </c>
      <c r="AB31" s="10"/>
      <c r="AC31" s="10"/>
      <c r="AD31" s="10"/>
      <c r="AE31" s="124">
        <v>0</v>
      </c>
      <c r="AF31" s="124">
        <v>0</v>
      </c>
      <c r="AG31" s="124">
        <v>0</v>
      </c>
      <c r="AH31" s="124">
        <v>0</v>
      </c>
      <c r="AI31" s="124">
        <v>0</v>
      </c>
      <c r="AJ31" s="124">
        <v>0</v>
      </c>
      <c r="AK31" s="124">
        <v>0</v>
      </c>
      <c r="AL31" s="124">
        <v>0</v>
      </c>
      <c r="AM31" s="124">
        <v>0</v>
      </c>
      <c r="AN31" s="124">
        <v>0</v>
      </c>
      <c r="AO31" s="124">
        <v>0</v>
      </c>
      <c r="AP31" s="124">
        <v>0</v>
      </c>
    </row>
    <row r="32" spans="1:42" ht="72" x14ac:dyDescent="0.25">
      <c r="A32" s="34">
        <v>0</v>
      </c>
      <c r="B32" s="34">
        <v>0</v>
      </c>
      <c r="C32" s="34">
        <v>0</v>
      </c>
      <c r="D32" s="34">
        <v>0</v>
      </c>
      <c r="E32" s="74">
        <v>0</v>
      </c>
      <c r="F32" s="34">
        <v>0</v>
      </c>
      <c r="G32" s="34"/>
      <c r="H32" s="36">
        <v>0</v>
      </c>
      <c r="I32" s="39"/>
      <c r="J32" s="39"/>
      <c r="K32" s="39"/>
      <c r="L32" s="39"/>
      <c r="M32" s="39"/>
      <c r="N32" s="36">
        <f t="shared" si="0"/>
        <v>0</v>
      </c>
      <c r="O32" s="36">
        <f t="shared" si="0"/>
        <v>0</v>
      </c>
      <c r="P32" s="36">
        <f t="shared" si="0"/>
        <v>0</v>
      </c>
      <c r="Q32" s="36"/>
      <c r="R32" s="36"/>
      <c r="S32" s="36">
        <f t="shared" si="1"/>
        <v>0</v>
      </c>
      <c r="T32" s="37" t="s">
        <v>3101</v>
      </c>
      <c r="U32" s="37" t="s">
        <v>316</v>
      </c>
      <c r="V32" s="37">
        <v>2</v>
      </c>
      <c r="W32" s="10">
        <v>2</v>
      </c>
      <c r="X32" s="10"/>
      <c r="Y32" s="10">
        <v>2</v>
      </c>
      <c r="Z32" s="10">
        <v>6</v>
      </c>
      <c r="AA32" s="34">
        <v>365</v>
      </c>
      <c r="AB32" s="10">
        <v>180</v>
      </c>
      <c r="AC32" s="10">
        <v>365</v>
      </c>
      <c r="AD32" s="177" t="s">
        <v>3102</v>
      </c>
      <c r="AE32" s="124" t="s">
        <v>218</v>
      </c>
      <c r="AF32" s="124" t="s">
        <v>218</v>
      </c>
      <c r="AG32" s="124" t="s">
        <v>218</v>
      </c>
      <c r="AH32" s="124" t="s">
        <v>218</v>
      </c>
      <c r="AI32" s="124" t="s">
        <v>218</v>
      </c>
      <c r="AJ32" s="124" t="s">
        <v>218</v>
      </c>
      <c r="AK32" s="124" t="s">
        <v>218</v>
      </c>
      <c r="AL32" s="124" t="s">
        <v>218</v>
      </c>
      <c r="AM32" s="124" t="s">
        <v>218</v>
      </c>
      <c r="AN32" s="124" t="s">
        <v>218</v>
      </c>
      <c r="AO32" s="124" t="s">
        <v>218</v>
      </c>
      <c r="AP32" s="124" t="s">
        <v>218</v>
      </c>
    </row>
    <row r="33" spans="1:42" ht="76.5" x14ac:dyDescent="0.25">
      <c r="A33" s="34">
        <v>0</v>
      </c>
      <c r="B33" s="34">
        <v>0</v>
      </c>
      <c r="C33" s="34">
        <v>0</v>
      </c>
      <c r="D33" s="34">
        <v>0</v>
      </c>
      <c r="E33" s="74">
        <v>0</v>
      </c>
      <c r="F33" s="34">
        <v>0</v>
      </c>
      <c r="G33" s="34"/>
      <c r="H33" s="36">
        <v>0</v>
      </c>
      <c r="I33" s="39"/>
      <c r="J33" s="39"/>
      <c r="K33" s="39"/>
      <c r="L33" s="39"/>
      <c r="M33" s="39"/>
      <c r="N33" s="36">
        <f t="shared" si="0"/>
        <v>0</v>
      </c>
      <c r="O33" s="36">
        <f t="shared" si="0"/>
        <v>0</v>
      </c>
      <c r="P33" s="36">
        <f t="shared" si="0"/>
        <v>0</v>
      </c>
      <c r="Q33" s="36"/>
      <c r="R33" s="36"/>
      <c r="S33" s="36">
        <f t="shared" si="1"/>
        <v>0</v>
      </c>
      <c r="T33" s="37" t="s">
        <v>3103</v>
      </c>
      <c r="U33" s="37" t="s">
        <v>316</v>
      </c>
      <c r="V33" s="37">
        <v>15000</v>
      </c>
      <c r="W33" s="10"/>
      <c r="X33" s="10"/>
      <c r="Y33" s="39">
        <v>2179</v>
      </c>
      <c r="Z33" s="10">
        <v>21400</v>
      </c>
      <c r="AA33" s="34">
        <v>270</v>
      </c>
      <c r="AB33" s="10">
        <v>120</v>
      </c>
      <c r="AC33" s="10">
        <v>270</v>
      </c>
      <c r="AD33" s="177" t="s">
        <v>3034</v>
      </c>
      <c r="AE33" s="124">
        <v>0</v>
      </c>
      <c r="AF33" s="124">
        <v>0</v>
      </c>
      <c r="AG33" s="124" t="s">
        <v>102</v>
      </c>
      <c r="AH33" s="124" t="s">
        <v>102</v>
      </c>
      <c r="AI33" s="124" t="s">
        <v>102</v>
      </c>
      <c r="AJ33" s="124" t="s">
        <v>102</v>
      </c>
      <c r="AK33" s="124" t="s">
        <v>102</v>
      </c>
      <c r="AL33" s="124" t="s">
        <v>102</v>
      </c>
      <c r="AM33" s="124" t="s">
        <v>102</v>
      </c>
      <c r="AN33" s="124" t="s">
        <v>102</v>
      </c>
      <c r="AO33" s="124" t="s">
        <v>102</v>
      </c>
      <c r="AP33" s="124">
        <v>0</v>
      </c>
    </row>
    <row r="34" spans="1:42" ht="48" x14ac:dyDescent="0.25">
      <c r="A34" s="34">
        <v>0</v>
      </c>
      <c r="B34" s="34">
        <v>0</v>
      </c>
      <c r="C34" s="34">
        <v>0</v>
      </c>
      <c r="D34" s="34">
        <v>0</v>
      </c>
      <c r="E34" s="74">
        <v>0</v>
      </c>
      <c r="F34" s="34">
        <v>0</v>
      </c>
      <c r="G34" s="34"/>
      <c r="H34" s="36">
        <v>0</v>
      </c>
      <c r="I34" s="39"/>
      <c r="J34" s="39"/>
      <c r="K34" s="39"/>
      <c r="L34" s="39"/>
      <c r="M34" s="39"/>
      <c r="N34" s="36">
        <f t="shared" si="0"/>
        <v>0</v>
      </c>
      <c r="O34" s="36">
        <f t="shared" si="0"/>
        <v>0</v>
      </c>
      <c r="P34" s="36">
        <f t="shared" si="0"/>
        <v>0</v>
      </c>
      <c r="Q34" s="36"/>
      <c r="R34" s="36"/>
      <c r="S34" s="36">
        <f t="shared" si="1"/>
        <v>0</v>
      </c>
      <c r="T34" s="37" t="s">
        <v>3104</v>
      </c>
      <c r="U34" s="37" t="s">
        <v>3076</v>
      </c>
      <c r="V34" s="37">
        <v>1</v>
      </c>
      <c r="W34" s="10">
        <v>1</v>
      </c>
      <c r="X34" s="10"/>
      <c r="Y34" s="10" t="s">
        <v>1919</v>
      </c>
      <c r="Z34" s="10">
        <v>1</v>
      </c>
      <c r="AA34" s="34">
        <v>270</v>
      </c>
      <c r="AB34" s="10">
        <v>120</v>
      </c>
      <c r="AC34" s="10">
        <v>270</v>
      </c>
      <c r="AD34" s="177" t="s">
        <v>3105</v>
      </c>
      <c r="AE34" s="124">
        <v>0</v>
      </c>
      <c r="AF34" s="124">
        <v>0</v>
      </c>
      <c r="AG34" s="124" t="s">
        <v>102</v>
      </c>
      <c r="AH34" s="124" t="s">
        <v>102</v>
      </c>
      <c r="AI34" s="124" t="s">
        <v>102</v>
      </c>
      <c r="AJ34" s="124" t="s">
        <v>102</v>
      </c>
      <c r="AK34" s="124" t="s">
        <v>102</v>
      </c>
      <c r="AL34" s="124" t="s">
        <v>102</v>
      </c>
      <c r="AM34" s="124" t="s">
        <v>102</v>
      </c>
      <c r="AN34" s="124" t="s">
        <v>102</v>
      </c>
      <c r="AO34" s="124" t="s">
        <v>102</v>
      </c>
      <c r="AP34" s="124">
        <v>0</v>
      </c>
    </row>
    <row r="35" spans="1:42" ht="62.25" customHeight="1" x14ac:dyDescent="0.25">
      <c r="A35" s="34">
        <v>0</v>
      </c>
      <c r="B35" s="34">
        <v>0</v>
      </c>
      <c r="C35" s="34">
        <v>0</v>
      </c>
      <c r="D35" s="34">
        <v>0</v>
      </c>
      <c r="E35" s="74">
        <v>0</v>
      </c>
      <c r="F35" s="34">
        <v>0</v>
      </c>
      <c r="G35" s="34"/>
      <c r="H35" s="36">
        <v>0</v>
      </c>
      <c r="I35" s="39"/>
      <c r="J35" s="39"/>
      <c r="K35" s="39"/>
      <c r="L35" s="39"/>
      <c r="M35" s="39"/>
      <c r="N35" s="36">
        <f t="shared" si="0"/>
        <v>0</v>
      </c>
      <c r="O35" s="36">
        <f t="shared" si="0"/>
        <v>0</v>
      </c>
      <c r="P35" s="36">
        <f t="shared" si="0"/>
        <v>0</v>
      </c>
      <c r="Q35" s="36"/>
      <c r="R35" s="36"/>
      <c r="S35" s="36">
        <f t="shared" si="1"/>
        <v>0</v>
      </c>
      <c r="T35" s="37" t="s">
        <v>3106</v>
      </c>
      <c r="U35" s="37" t="s">
        <v>2909</v>
      </c>
      <c r="V35" s="37">
        <v>94</v>
      </c>
      <c r="W35" s="10"/>
      <c r="X35" s="10"/>
      <c r="Y35" s="10"/>
      <c r="Z35" s="10">
        <v>93</v>
      </c>
      <c r="AA35" s="34">
        <v>270</v>
      </c>
      <c r="AB35" s="10"/>
      <c r="AC35" s="10">
        <v>180</v>
      </c>
      <c r="AD35" s="177" t="s">
        <v>3107</v>
      </c>
      <c r="AE35" s="124">
        <v>0</v>
      </c>
      <c r="AF35" s="124">
        <v>0</v>
      </c>
      <c r="AG35" s="124" t="s">
        <v>102</v>
      </c>
      <c r="AH35" s="124" t="s">
        <v>102</v>
      </c>
      <c r="AI35" s="124" t="s">
        <v>102</v>
      </c>
      <c r="AJ35" s="124" t="s">
        <v>102</v>
      </c>
      <c r="AK35" s="124" t="s">
        <v>102</v>
      </c>
      <c r="AL35" s="124" t="s">
        <v>102</v>
      </c>
      <c r="AM35" s="124" t="s">
        <v>102</v>
      </c>
      <c r="AN35" s="124" t="s">
        <v>102</v>
      </c>
      <c r="AO35" s="124" t="s">
        <v>102</v>
      </c>
      <c r="AP35" s="124">
        <v>0</v>
      </c>
    </row>
    <row r="36" spans="1:42" ht="55.5" customHeight="1" x14ac:dyDescent="0.25">
      <c r="A36" s="34">
        <v>0</v>
      </c>
      <c r="B36" s="34">
        <v>0</v>
      </c>
      <c r="C36" s="34">
        <v>0</v>
      </c>
      <c r="D36" s="34">
        <v>0</v>
      </c>
      <c r="E36" s="74">
        <v>0</v>
      </c>
      <c r="F36" s="34">
        <v>0</v>
      </c>
      <c r="G36" s="34"/>
      <c r="H36" s="36">
        <v>0</v>
      </c>
      <c r="I36" s="39"/>
      <c r="J36" s="39"/>
      <c r="K36" s="39"/>
      <c r="L36" s="39"/>
      <c r="M36" s="39"/>
      <c r="N36" s="36">
        <f t="shared" si="0"/>
        <v>0</v>
      </c>
      <c r="O36" s="36">
        <f t="shared" si="0"/>
        <v>0</v>
      </c>
      <c r="P36" s="36">
        <f t="shared" si="0"/>
        <v>0</v>
      </c>
      <c r="Q36" s="36"/>
      <c r="R36" s="36"/>
      <c r="S36" s="36">
        <f t="shared" si="1"/>
        <v>0</v>
      </c>
      <c r="T36" s="37" t="s">
        <v>3099</v>
      </c>
      <c r="U36" s="37" t="s">
        <v>316</v>
      </c>
      <c r="V36" s="37">
        <v>1</v>
      </c>
      <c r="W36" s="10">
        <v>1</v>
      </c>
      <c r="X36" s="10"/>
      <c r="Y36" s="10" t="s">
        <v>1922</v>
      </c>
      <c r="Z36" s="10">
        <v>1</v>
      </c>
      <c r="AA36" s="34">
        <v>270</v>
      </c>
      <c r="AB36" s="10">
        <v>90</v>
      </c>
      <c r="AC36" s="10">
        <v>270</v>
      </c>
      <c r="AD36" s="177" t="s">
        <v>3108</v>
      </c>
      <c r="AE36" s="124">
        <v>0</v>
      </c>
      <c r="AF36" s="124">
        <v>0</v>
      </c>
      <c r="AG36" s="124" t="s">
        <v>102</v>
      </c>
      <c r="AH36" s="124" t="s">
        <v>102</v>
      </c>
      <c r="AI36" s="124" t="s">
        <v>102</v>
      </c>
      <c r="AJ36" s="124" t="s">
        <v>102</v>
      </c>
      <c r="AK36" s="124" t="s">
        <v>102</v>
      </c>
      <c r="AL36" s="124" t="s">
        <v>102</v>
      </c>
      <c r="AM36" s="124" t="s">
        <v>102</v>
      </c>
      <c r="AN36" s="124" t="s">
        <v>102</v>
      </c>
      <c r="AO36" s="124" t="s">
        <v>102</v>
      </c>
      <c r="AP36" s="124">
        <v>0</v>
      </c>
    </row>
    <row r="37" spans="1:42" ht="60" x14ac:dyDescent="0.25">
      <c r="A37" s="34" t="s">
        <v>55</v>
      </c>
      <c r="B37" s="34" t="s">
        <v>332</v>
      </c>
      <c r="C37" s="34" t="s">
        <v>3037</v>
      </c>
      <c r="D37" s="34">
        <v>243410008</v>
      </c>
      <c r="E37" s="74" t="s">
        <v>3039</v>
      </c>
      <c r="F37" s="34" t="s">
        <v>3040</v>
      </c>
      <c r="G37" s="34" t="s">
        <v>3041</v>
      </c>
      <c r="H37" s="36">
        <v>454700000</v>
      </c>
      <c r="I37" s="36">
        <v>371692320</v>
      </c>
      <c r="J37" s="39">
        <v>471692320</v>
      </c>
      <c r="K37" s="39"/>
      <c r="L37" s="39"/>
      <c r="M37" s="39">
        <v>44110080</v>
      </c>
      <c r="N37" s="36">
        <f t="shared" si="0"/>
        <v>454700000</v>
      </c>
      <c r="O37" s="36">
        <f t="shared" si="0"/>
        <v>371692320</v>
      </c>
      <c r="P37" s="36">
        <f t="shared" si="0"/>
        <v>515802400</v>
      </c>
      <c r="Q37" s="36">
        <v>459987078</v>
      </c>
      <c r="R37" s="36">
        <v>44110080</v>
      </c>
      <c r="S37" s="36">
        <f t="shared" si="1"/>
        <v>504097158</v>
      </c>
      <c r="T37" s="37">
        <v>0</v>
      </c>
      <c r="U37" s="37">
        <v>0</v>
      </c>
      <c r="V37" s="37">
        <v>0</v>
      </c>
      <c r="W37" s="10"/>
      <c r="X37" s="10"/>
      <c r="Y37" s="10"/>
      <c r="Z37" s="10"/>
      <c r="AA37" s="34">
        <v>0</v>
      </c>
      <c r="AB37" s="10"/>
      <c r="AC37" s="10"/>
      <c r="AD37" s="10"/>
      <c r="AE37" s="124">
        <v>0</v>
      </c>
      <c r="AF37" s="124">
        <v>0</v>
      </c>
      <c r="AG37" s="124">
        <v>0</v>
      </c>
      <c r="AH37" s="124">
        <v>0</v>
      </c>
      <c r="AI37" s="124">
        <v>0</v>
      </c>
      <c r="AJ37" s="124">
        <v>0</v>
      </c>
      <c r="AK37" s="124">
        <v>0</v>
      </c>
      <c r="AL37" s="124">
        <v>0</v>
      </c>
      <c r="AM37" s="124">
        <v>0</v>
      </c>
      <c r="AN37" s="124">
        <v>0</v>
      </c>
      <c r="AO37" s="124">
        <v>0</v>
      </c>
      <c r="AP37" s="124">
        <v>0</v>
      </c>
    </row>
    <row r="38" spans="1:42" ht="48" x14ac:dyDescent="0.25">
      <c r="A38" s="34">
        <v>0</v>
      </c>
      <c r="B38" s="34">
        <v>0</v>
      </c>
      <c r="C38" s="34">
        <v>0</v>
      </c>
      <c r="D38" s="34">
        <v>0</v>
      </c>
      <c r="E38" s="74">
        <v>0</v>
      </c>
      <c r="F38" s="34">
        <v>0</v>
      </c>
      <c r="G38" s="34"/>
      <c r="H38" s="36">
        <v>0</v>
      </c>
      <c r="I38" s="39"/>
      <c r="J38" s="39"/>
      <c r="K38" s="39"/>
      <c r="L38" s="39"/>
      <c r="M38" s="39"/>
      <c r="N38" s="36">
        <f t="shared" si="0"/>
        <v>0</v>
      </c>
      <c r="O38" s="36">
        <f t="shared" si="0"/>
        <v>0</v>
      </c>
      <c r="P38" s="36">
        <f t="shared" si="0"/>
        <v>0</v>
      </c>
      <c r="Q38" s="36"/>
      <c r="R38" s="36"/>
      <c r="S38" s="36">
        <f t="shared" si="1"/>
        <v>0</v>
      </c>
      <c r="T38" s="37" t="s">
        <v>3109</v>
      </c>
      <c r="U38" s="37" t="s">
        <v>316</v>
      </c>
      <c r="V38" s="37">
        <v>2</v>
      </c>
      <c r="W38" s="10"/>
      <c r="X38" s="10"/>
      <c r="Y38" s="10">
        <v>1</v>
      </c>
      <c r="Z38" s="10">
        <v>6</v>
      </c>
      <c r="AA38" s="34">
        <v>365</v>
      </c>
      <c r="AB38" s="10">
        <v>180</v>
      </c>
      <c r="AC38" s="10">
        <v>365</v>
      </c>
      <c r="AD38" s="177" t="s">
        <v>3110</v>
      </c>
      <c r="AE38" s="124" t="s">
        <v>102</v>
      </c>
      <c r="AF38" s="124" t="s">
        <v>218</v>
      </c>
      <c r="AG38" s="124" t="s">
        <v>218</v>
      </c>
      <c r="AH38" s="124" t="s">
        <v>218</v>
      </c>
      <c r="AI38" s="124" t="s">
        <v>218</v>
      </c>
      <c r="AJ38" s="124" t="s">
        <v>218</v>
      </c>
      <c r="AK38" s="124" t="s">
        <v>218</v>
      </c>
      <c r="AL38" s="124" t="s">
        <v>218</v>
      </c>
      <c r="AM38" s="124" t="s">
        <v>218</v>
      </c>
      <c r="AN38" s="124" t="s">
        <v>218</v>
      </c>
      <c r="AO38" s="124" t="s">
        <v>218</v>
      </c>
      <c r="AP38" s="124">
        <v>0</v>
      </c>
    </row>
    <row r="39" spans="1:42" ht="48" x14ac:dyDescent="0.25">
      <c r="A39" s="34">
        <v>0</v>
      </c>
      <c r="B39" s="34">
        <v>0</v>
      </c>
      <c r="C39" s="34">
        <v>0</v>
      </c>
      <c r="D39" s="34">
        <v>0</v>
      </c>
      <c r="E39" s="74">
        <v>0</v>
      </c>
      <c r="F39" s="34">
        <v>0</v>
      </c>
      <c r="G39" s="34"/>
      <c r="H39" s="36">
        <v>0</v>
      </c>
      <c r="I39" s="39"/>
      <c r="J39" s="39"/>
      <c r="K39" s="39"/>
      <c r="L39" s="39"/>
      <c r="M39" s="39"/>
      <c r="N39" s="36">
        <f t="shared" si="0"/>
        <v>0</v>
      </c>
      <c r="O39" s="36">
        <f t="shared" si="0"/>
        <v>0</v>
      </c>
      <c r="P39" s="36">
        <f t="shared" si="0"/>
        <v>0</v>
      </c>
      <c r="Q39" s="36"/>
      <c r="R39" s="36"/>
      <c r="S39" s="36">
        <f t="shared" si="1"/>
        <v>0</v>
      </c>
      <c r="T39" s="37" t="s">
        <v>3111</v>
      </c>
      <c r="U39" s="37" t="s">
        <v>316</v>
      </c>
      <c r="V39" s="37">
        <v>125</v>
      </c>
      <c r="W39" s="10"/>
      <c r="X39" s="10"/>
      <c r="Y39" s="10">
        <v>23</v>
      </c>
      <c r="Z39" s="10">
        <v>125</v>
      </c>
      <c r="AA39" s="34">
        <v>270</v>
      </c>
      <c r="AB39" s="10">
        <v>150</v>
      </c>
      <c r="AC39" s="10">
        <v>270</v>
      </c>
      <c r="AD39" s="177" t="s">
        <v>3112</v>
      </c>
      <c r="AE39" s="124">
        <v>0</v>
      </c>
      <c r="AF39" s="124">
        <v>0</v>
      </c>
      <c r="AG39" s="124" t="s">
        <v>218</v>
      </c>
      <c r="AH39" s="124" t="s">
        <v>218</v>
      </c>
      <c r="AI39" s="124" t="s">
        <v>218</v>
      </c>
      <c r="AJ39" s="124" t="s">
        <v>218</v>
      </c>
      <c r="AK39" s="124" t="s">
        <v>218</v>
      </c>
      <c r="AL39" s="124" t="s">
        <v>218</v>
      </c>
      <c r="AM39" s="124" t="s">
        <v>218</v>
      </c>
      <c r="AN39" s="124" t="s">
        <v>218</v>
      </c>
      <c r="AO39" s="124" t="s">
        <v>218</v>
      </c>
      <c r="AP39" s="124">
        <v>0</v>
      </c>
    </row>
    <row r="40" spans="1:42" ht="51" x14ac:dyDescent="0.25">
      <c r="A40" s="34">
        <v>0</v>
      </c>
      <c r="B40" s="34">
        <v>0</v>
      </c>
      <c r="C40" s="34">
        <v>0</v>
      </c>
      <c r="D40" s="34">
        <v>0</v>
      </c>
      <c r="E40" s="74">
        <v>0</v>
      </c>
      <c r="F40" s="34">
        <v>0</v>
      </c>
      <c r="G40" s="34"/>
      <c r="H40" s="36">
        <v>0</v>
      </c>
      <c r="I40" s="39"/>
      <c r="J40" s="39"/>
      <c r="K40" s="39"/>
      <c r="L40" s="39"/>
      <c r="M40" s="39"/>
      <c r="N40" s="36">
        <f t="shared" si="0"/>
        <v>0</v>
      </c>
      <c r="O40" s="36">
        <f t="shared" si="0"/>
        <v>0</v>
      </c>
      <c r="P40" s="36">
        <f t="shared" si="0"/>
        <v>0</v>
      </c>
      <c r="Q40" s="36"/>
      <c r="R40" s="36"/>
      <c r="S40" s="36">
        <f t="shared" si="1"/>
        <v>0</v>
      </c>
      <c r="T40" s="37" t="s">
        <v>3113</v>
      </c>
      <c r="U40" s="37" t="s">
        <v>3066</v>
      </c>
      <c r="V40" s="37">
        <v>1</v>
      </c>
      <c r="W40" s="10">
        <v>1</v>
      </c>
      <c r="X40" s="10"/>
      <c r="Y40" s="10" t="s">
        <v>1922</v>
      </c>
      <c r="Z40" s="10">
        <v>1</v>
      </c>
      <c r="AA40" s="34">
        <v>360</v>
      </c>
      <c r="AB40" s="10">
        <v>150</v>
      </c>
      <c r="AC40" s="10">
        <v>150</v>
      </c>
      <c r="AD40" s="177" t="s">
        <v>3114</v>
      </c>
      <c r="AE40" s="124" t="s">
        <v>218</v>
      </c>
      <c r="AF40" s="124" t="s">
        <v>218</v>
      </c>
      <c r="AG40" s="124" t="s">
        <v>218</v>
      </c>
      <c r="AH40" s="124" t="s">
        <v>218</v>
      </c>
      <c r="AI40" s="124" t="s">
        <v>218</v>
      </c>
      <c r="AJ40" s="124" t="s">
        <v>218</v>
      </c>
      <c r="AK40" s="124" t="s">
        <v>218</v>
      </c>
      <c r="AL40" s="124" t="s">
        <v>218</v>
      </c>
      <c r="AM40" s="124" t="s">
        <v>218</v>
      </c>
      <c r="AN40" s="124" t="s">
        <v>218</v>
      </c>
      <c r="AO40" s="124" t="s">
        <v>218</v>
      </c>
      <c r="AP40" s="124" t="s">
        <v>218</v>
      </c>
    </row>
    <row r="41" spans="1:42" ht="53.25" customHeight="1" x14ac:dyDescent="0.25">
      <c r="A41" s="34">
        <v>0</v>
      </c>
      <c r="B41" s="34">
        <v>0</v>
      </c>
      <c r="C41" s="34">
        <v>0</v>
      </c>
      <c r="D41" s="34">
        <v>0</v>
      </c>
      <c r="E41" s="74">
        <v>0</v>
      </c>
      <c r="F41" s="34">
        <v>0</v>
      </c>
      <c r="G41" s="34"/>
      <c r="H41" s="36">
        <v>0</v>
      </c>
      <c r="I41" s="39"/>
      <c r="J41" s="39"/>
      <c r="K41" s="39"/>
      <c r="L41" s="39"/>
      <c r="M41" s="39"/>
      <c r="N41" s="36">
        <f t="shared" si="0"/>
        <v>0</v>
      </c>
      <c r="O41" s="36">
        <f t="shared" si="0"/>
        <v>0</v>
      </c>
      <c r="P41" s="36">
        <f t="shared" si="0"/>
        <v>0</v>
      </c>
      <c r="Q41" s="36"/>
      <c r="R41" s="36"/>
      <c r="S41" s="36">
        <f t="shared" si="1"/>
        <v>0</v>
      </c>
      <c r="T41" s="37" t="s">
        <v>3115</v>
      </c>
      <c r="U41" s="37" t="s">
        <v>316</v>
      </c>
      <c r="V41" s="37">
        <v>1</v>
      </c>
      <c r="W41" s="10"/>
      <c r="X41" s="10"/>
      <c r="Y41" s="10" t="s">
        <v>1922</v>
      </c>
      <c r="Z41" s="10">
        <v>1</v>
      </c>
      <c r="AA41" s="34">
        <v>1</v>
      </c>
      <c r="AB41" s="10">
        <v>90</v>
      </c>
      <c r="AC41" s="10">
        <v>90</v>
      </c>
      <c r="AD41" s="34" t="s">
        <v>3116</v>
      </c>
      <c r="AE41" s="124">
        <v>0</v>
      </c>
      <c r="AF41" s="124">
        <v>0</v>
      </c>
      <c r="AG41" s="124">
        <v>0</v>
      </c>
      <c r="AH41" s="124">
        <v>0</v>
      </c>
      <c r="AI41" s="124">
        <v>0</v>
      </c>
      <c r="AJ41" s="124" t="s">
        <v>218</v>
      </c>
      <c r="AK41" s="124" t="s">
        <v>218</v>
      </c>
      <c r="AL41" s="124" t="s">
        <v>218</v>
      </c>
      <c r="AM41" s="124">
        <v>0</v>
      </c>
      <c r="AN41" s="124">
        <v>0</v>
      </c>
      <c r="AO41" s="124">
        <v>0</v>
      </c>
      <c r="AP41" s="124">
        <v>0</v>
      </c>
    </row>
    <row r="42" spans="1:42" ht="65.25" customHeight="1" x14ac:dyDescent="0.25">
      <c r="A42" s="34">
        <v>0</v>
      </c>
      <c r="B42" s="34">
        <v>0</v>
      </c>
      <c r="C42" s="34">
        <v>0</v>
      </c>
      <c r="D42" s="34">
        <v>0</v>
      </c>
      <c r="E42" s="74">
        <v>0</v>
      </c>
      <c r="F42" s="34">
        <v>0</v>
      </c>
      <c r="G42" s="34"/>
      <c r="H42" s="36">
        <v>0</v>
      </c>
      <c r="I42" s="39"/>
      <c r="J42" s="39"/>
      <c r="K42" s="39"/>
      <c r="L42" s="39"/>
      <c r="M42" s="39"/>
      <c r="N42" s="36">
        <f t="shared" si="0"/>
        <v>0</v>
      </c>
      <c r="O42" s="36">
        <f t="shared" si="0"/>
        <v>0</v>
      </c>
      <c r="P42" s="36">
        <f t="shared" si="0"/>
        <v>0</v>
      </c>
      <c r="Q42" s="36"/>
      <c r="R42" s="36"/>
      <c r="S42" s="36">
        <f t="shared" si="1"/>
        <v>0</v>
      </c>
      <c r="T42" s="37" t="s">
        <v>3117</v>
      </c>
      <c r="U42" s="37" t="s">
        <v>3076</v>
      </c>
      <c r="V42" s="37">
        <v>1</v>
      </c>
      <c r="W42" s="10"/>
      <c r="X42" s="10"/>
      <c r="Y42" s="10" t="s">
        <v>1922</v>
      </c>
      <c r="Z42" s="10">
        <v>1</v>
      </c>
      <c r="AA42" s="34">
        <v>60</v>
      </c>
      <c r="AB42" s="10">
        <v>20</v>
      </c>
      <c r="AC42" s="10">
        <v>60</v>
      </c>
      <c r="AD42" s="177" t="s">
        <v>3118</v>
      </c>
      <c r="AE42" s="124">
        <v>0</v>
      </c>
      <c r="AF42" s="124">
        <v>0</v>
      </c>
      <c r="AG42" s="124">
        <v>0</v>
      </c>
      <c r="AH42" s="124" t="s">
        <v>218</v>
      </c>
      <c r="AI42" s="124" t="s">
        <v>218</v>
      </c>
      <c r="AJ42" s="124">
        <v>0</v>
      </c>
      <c r="AK42" s="124">
        <v>0</v>
      </c>
      <c r="AL42" s="124">
        <v>0</v>
      </c>
      <c r="AM42" s="124">
        <v>0</v>
      </c>
      <c r="AN42" s="124">
        <v>0</v>
      </c>
      <c r="AO42" s="124">
        <v>0</v>
      </c>
      <c r="AP42" s="124">
        <v>0</v>
      </c>
    </row>
    <row r="43" spans="1:42" ht="60" x14ac:dyDescent="0.25">
      <c r="A43" s="34" t="s">
        <v>55</v>
      </c>
      <c r="B43" s="34" t="s">
        <v>332</v>
      </c>
      <c r="C43" s="34" t="s">
        <v>3037</v>
      </c>
      <c r="D43" s="34">
        <v>243420008</v>
      </c>
      <c r="E43" s="74" t="s">
        <v>3048</v>
      </c>
      <c r="F43" s="34" t="s">
        <v>3049</v>
      </c>
      <c r="G43" s="34" t="s">
        <v>3050</v>
      </c>
      <c r="H43" s="36">
        <v>578900000</v>
      </c>
      <c r="I43" s="36">
        <v>485547393</v>
      </c>
      <c r="J43" s="39">
        <v>385547393</v>
      </c>
      <c r="K43" s="39"/>
      <c r="L43" s="39"/>
      <c r="M43" s="39"/>
      <c r="N43" s="36">
        <f t="shared" si="0"/>
        <v>578900000</v>
      </c>
      <c r="O43" s="36">
        <f t="shared" si="0"/>
        <v>485547393</v>
      </c>
      <c r="P43" s="36">
        <f t="shared" si="0"/>
        <v>385547393</v>
      </c>
      <c r="Q43" s="36">
        <v>385547393</v>
      </c>
      <c r="R43" s="36"/>
      <c r="S43" s="36">
        <f t="shared" si="1"/>
        <v>385547393</v>
      </c>
      <c r="T43" s="37">
        <v>0</v>
      </c>
      <c r="U43" s="37">
        <v>0</v>
      </c>
      <c r="V43" s="37">
        <v>0</v>
      </c>
      <c r="W43" s="10"/>
      <c r="X43" s="10"/>
      <c r="Y43" s="10"/>
      <c r="Z43" s="10"/>
      <c r="AA43" s="34">
        <v>0</v>
      </c>
      <c r="AB43" s="10"/>
      <c r="AC43" s="10"/>
      <c r="AD43" s="10"/>
      <c r="AE43" s="124">
        <v>0</v>
      </c>
      <c r="AF43" s="124">
        <v>0</v>
      </c>
      <c r="AG43" s="124">
        <v>0</v>
      </c>
      <c r="AH43" s="124">
        <v>0</v>
      </c>
      <c r="AI43" s="124">
        <v>0</v>
      </c>
      <c r="AJ43" s="124">
        <v>0</v>
      </c>
      <c r="AK43" s="124">
        <v>0</v>
      </c>
      <c r="AL43" s="124">
        <v>0</v>
      </c>
      <c r="AM43" s="124">
        <v>0</v>
      </c>
      <c r="AN43" s="124">
        <v>0</v>
      </c>
      <c r="AO43" s="124">
        <v>0</v>
      </c>
      <c r="AP43" s="124">
        <v>0</v>
      </c>
    </row>
    <row r="44" spans="1:42" ht="58.5" customHeight="1" x14ac:dyDescent="0.25">
      <c r="A44" s="34">
        <v>0</v>
      </c>
      <c r="B44" s="34">
        <v>0</v>
      </c>
      <c r="C44" s="34">
        <v>0</v>
      </c>
      <c r="D44" s="34">
        <v>0</v>
      </c>
      <c r="E44" s="74">
        <v>0</v>
      </c>
      <c r="F44" s="34">
        <v>0</v>
      </c>
      <c r="G44" s="34"/>
      <c r="H44" s="36">
        <v>0</v>
      </c>
      <c r="I44" s="39"/>
      <c r="J44" s="39"/>
      <c r="K44" s="39"/>
      <c r="L44" s="39"/>
      <c r="M44" s="39"/>
      <c r="N44" s="36">
        <f t="shared" si="0"/>
        <v>0</v>
      </c>
      <c r="O44" s="36">
        <f t="shared" si="0"/>
        <v>0</v>
      </c>
      <c r="P44" s="36">
        <f t="shared" si="0"/>
        <v>0</v>
      </c>
      <c r="Q44" s="36"/>
      <c r="R44" s="36"/>
      <c r="S44" s="36">
        <f t="shared" si="1"/>
        <v>0</v>
      </c>
      <c r="T44" s="37" t="s">
        <v>3119</v>
      </c>
      <c r="U44" s="37" t="s">
        <v>316</v>
      </c>
      <c r="V44" s="37">
        <v>2</v>
      </c>
      <c r="W44" s="10"/>
      <c r="X44" s="10"/>
      <c r="Y44" s="10">
        <v>1</v>
      </c>
      <c r="Z44" s="10">
        <v>2</v>
      </c>
      <c r="AA44" s="34">
        <v>365</v>
      </c>
      <c r="AB44" s="10">
        <v>180</v>
      </c>
      <c r="AC44" s="10">
        <v>365</v>
      </c>
      <c r="AD44" s="177" t="s">
        <v>3120</v>
      </c>
      <c r="AE44" s="124" t="s">
        <v>218</v>
      </c>
      <c r="AF44" s="124" t="s">
        <v>218</v>
      </c>
      <c r="AG44" s="124" t="s">
        <v>218</v>
      </c>
      <c r="AH44" s="124" t="s">
        <v>218</v>
      </c>
      <c r="AI44" s="124" t="s">
        <v>218</v>
      </c>
      <c r="AJ44" s="124" t="s">
        <v>218</v>
      </c>
      <c r="AK44" s="124" t="s">
        <v>218</v>
      </c>
      <c r="AL44" s="124" t="s">
        <v>218</v>
      </c>
      <c r="AM44" s="124" t="s">
        <v>218</v>
      </c>
      <c r="AN44" s="124" t="s">
        <v>218</v>
      </c>
      <c r="AO44" s="124" t="s">
        <v>218</v>
      </c>
      <c r="AP44" s="124" t="s">
        <v>218</v>
      </c>
    </row>
    <row r="45" spans="1:42" ht="67.5" customHeight="1" x14ac:dyDescent="0.25">
      <c r="A45" s="34">
        <v>0</v>
      </c>
      <c r="B45" s="34">
        <v>0</v>
      </c>
      <c r="C45" s="34">
        <v>0</v>
      </c>
      <c r="D45" s="34">
        <v>0</v>
      </c>
      <c r="E45" s="74">
        <v>0</v>
      </c>
      <c r="F45" s="34">
        <v>0</v>
      </c>
      <c r="G45" s="34"/>
      <c r="H45" s="36">
        <v>0</v>
      </c>
      <c r="I45" s="39"/>
      <c r="J45" s="39"/>
      <c r="K45" s="39"/>
      <c r="L45" s="39"/>
      <c r="M45" s="39"/>
      <c r="N45" s="36">
        <f t="shared" si="0"/>
        <v>0</v>
      </c>
      <c r="O45" s="36">
        <f t="shared" si="0"/>
        <v>0</v>
      </c>
      <c r="P45" s="36">
        <f t="shared" si="0"/>
        <v>0</v>
      </c>
      <c r="Q45" s="36"/>
      <c r="R45" s="36"/>
      <c r="S45" s="36">
        <f t="shared" si="1"/>
        <v>0</v>
      </c>
      <c r="T45" s="37" t="s">
        <v>3121</v>
      </c>
      <c r="U45" s="37" t="s">
        <v>316</v>
      </c>
      <c r="V45" s="37">
        <v>1</v>
      </c>
      <c r="W45" s="10">
        <v>1</v>
      </c>
      <c r="X45" s="10"/>
      <c r="Y45" s="10" t="s">
        <v>3122</v>
      </c>
      <c r="Z45" s="10" t="s">
        <v>3123</v>
      </c>
      <c r="AA45" s="34">
        <v>90</v>
      </c>
      <c r="AB45" s="10">
        <v>20</v>
      </c>
      <c r="AC45" s="10">
        <v>60</v>
      </c>
      <c r="AD45" s="177" t="s">
        <v>3124</v>
      </c>
      <c r="AE45" s="124" t="s">
        <v>218</v>
      </c>
      <c r="AF45" s="124" t="s">
        <v>218</v>
      </c>
      <c r="AG45" s="124" t="s">
        <v>218</v>
      </c>
      <c r="AH45" s="124">
        <v>0</v>
      </c>
      <c r="AI45" s="124">
        <v>0</v>
      </c>
      <c r="AJ45" s="124">
        <v>0</v>
      </c>
      <c r="AK45" s="124">
        <v>0</v>
      </c>
      <c r="AL45" s="124">
        <v>0</v>
      </c>
      <c r="AM45" s="124">
        <v>0</v>
      </c>
      <c r="AN45" s="124">
        <v>0</v>
      </c>
      <c r="AO45" s="124">
        <v>0</v>
      </c>
      <c r="AP45" s="124">
        <v>0</v>
      </c>
    </row>
    <row r="46" spans="1:42" ht="79.5" customHeight="1" x14ac:dyDescent="0.25">
      <c r="A46" s="34">
        <v>0</v>
      </c>
      <c r="B46" s="34">
        <v>0</v>
      </c>
      <c r="C46" s="34">
        <v>0</v>
      </c>
      <c r="D46" s="34">
        <v>0</v>
      </c>
      <c r="E46" s="74">
        <v>0</v>
      </c>
      <c r="F46" s="34">
        <v>0</v>
      </c>
      <c r="G46" s="34"/>
      <c r="H46" s="36">
        <v>0</v>
      </c>
      <c r="I46" s="39"/>
      <c r="J46" s="39"/>
      <c r="K46" s="39"/>
      <c r="L46" s="39"/>
      <c r="M46" s="39"/>
      <c r="N46" s="36">
        <f t="shared" si="0"/>
        <v>0</v>
      </c>
      <c r="O46" s="36">
        <f t="shared" si="0"/>
        <v>0</v>
      </c>
      <c r="P46" s="36">
        <f t="shared" si="0"/>
        <v>0</v>
      </c>
      <c r="Q46" s="36"/>
      <c r="R46" s="36"/>
      <c r="S46" s="36">
        <f t="shared" si="1"/>
        <v>0</v>
      </c>
      <c r="T46" s="37" t="s">
        <v>3125</v>
      </c>
      <c r="U46" s="37" t="s">
        <v>316</v>
      </c>
      <c r="V46" s="37">
        <v>21</v>
      </c>
      <c r="W46" s="10"/>
      <c r="X46" s="10"/>
      <c r="Y46" s="10"/>
      <c r="Z46" s="10">
        <v>9</v>
      </c>
      <c r="AA46" s="34">
        <v>120</v>
      </c>
      <c r="AB46" s="10"/>
      <c r="AC46" s="10">
        <v>60</v>
      </c>
      <c r="AD46" s="177" t="s">
        <v>3126</v>
      </c>
      <c r="AE46" s="124">
        <v>0</v>
      </c>
      <c r="AF46" s="124">
        <v>0</v>
      </c>
      <c r="AG46" s="124">
        <v>0</v>
      </c>
      <c r="AH46" s="124" t="s">
        <v>218</v>
      </c>
      <c r="AI46" s="124" t="s">
        <v>218</v>
      </c>
      <c r="AJ46" s="124" t="s">
        <v>218</v>
      </c>
      <c r="AK46" s="124" t="s">
        <v>218</v>
      </c>
      <c r="AL46" s="124">
        <v>0</v>
      </c>
      <c r="AM46" s="124">
        <v>0</v>
      </c>
      <c r="AN46" s="124">
        <v>0</v>
      </c>
      <c r="AO46" s="124">
        <v>0</v>
      </c>
      <c r="AP46" s="124">
        <v>0</v>
      </c>
    </row>
    <row r="47" spans="1:42" ht="61.5" customHeight="1" x14ac:dyDescent="0.25">
      <c r="A47" s="34">
        <v>0</v>
      </c>
      <c r="B47" s="34">
        <v>0</v>
      </c>
      <c r="C47" s="34">
        <v>0</v>
      </c>
      <c r="D47" s="34">
        <v>0</v>
      </c>
      <c r="E47" s="74">
        <v>0</v>
      </c>
      <c r="F47" s="34">
        <v>0</v>
      </c>
      <c r="G47" s="34"/>
      <c r="H47" s="36">
        <v>0</v>
      </c>
      <c r="I47" s="39"/>
      <c r="J47" s="39"/>
      <c r="K47" s="39"/>
      <c r="L47" s="39"/>
      <c r="M47" s="39"/>
      <c r="N47" s="36">
        <f t="shared" si="0"/>
        <v>0</v>
      </c>
      <c r="O47" s="36">
        <f t="shared" si="0"/>
        <v>0</v>
      </c>
      <c r="P47" s="36">
        <f t="shared" si="0"/>
        <v>0</v>
      </c>
      <c r="Q47" s="36"/>
      <c r="R47" s="36"/>
      <c r="S47" s="36">
        <f t="shared" si="1"/>
        <v>0</v>
      </c>
      <c r="T47" s="37" t="s">
        <v>3127</v>
      </c>
      <c r="U47" s="37" t="s">
        <v>3066</v>
      </c>
      <c r="V47" s="37">
        <v>1</v>
      </c>
      <c r="W47" s="10"/>
      <c r="X47" s="10"/>
      <c r="Y47" s="10"/>
      <c r="Z47" s="10">
        <v>0</v>
      </c>
      <c r="AA47" s="34">
        <v>150</v>
      </c>
      <c r="AB47" s="10"/>
      <c r="AC47" s="10"/>
      <c r="AD47" s="177" t="s">
        <v>3128</v>
      </c>
      <c r="AE47" s="124">
        <v>0</v>
      </c>
      <c r="AF47" s="124">
        <v>0</v>
      </c>
      <c r="AG47" s="124">
        <v>0</v>
      </c>
      <c r="AH47" s="124">
        <v>0</v>
      </c>
      <c r="AI47" s="124">
        <v>0</v>
      </c>
      <c r="AJ47" s="124">
        <v>0</v>
      </c>
      <c r="AK47" s="124">
        <v>0</v>
      </c>
      <c r="AL47" s="124" t="s">
        <v>218</v>
      </c>
      <c r="AM47" s="124" t="s">
        <v>218</v>
      </c>
      <c r="AN47" s="124" t="s">
        <v>218</v>
      </c>
      <c r="AO47" s="124" t="s">
        <v>218</v>
      </c>
      <c r="AP47" s="124" t="s">
        <v>218</v>
      </c>
    </row>
    <row r="48" spans="1:42" ht="60" x14ac:dyDescent="0.25">
      <c r="A48" s="34" t="s">
        <v>55</v>
      </c>
      <c r="B48" s="34" t="s">
        <v>332</v>
      </c>
      <c r="C48" s="34" t="s">
        <v>3037</v>
      </c>
      <c r="D48" s="34">
        <v>243430008</v>
      </c>
      <c r="E48" s="74" t="s">
        <v>3056</v>
      </c>
      <c r="F48" s="34" t="s">
        <v>3057</v>
      </c>
      <c r="G48" s="34" t="s">
        <v>3058</v>
      </c>
      <c r="H48" s="36">
        <v>661600000</v>
      </c>
      <c r="I48" s="36">
        <v>494810042</v>
      </c>
      <c r="J48" s="39">
        <v>434810042</v>
      </c>
      <c r="K48" s="39"/>
      <c r="L48" s="39"/>
      <c r="M48" s="39"/>
      <c r="N48" s="36">
        <f t="shared" si="0"/>
        <v>661600000</v>
      </c>
      <c r="O48" s="36">
        <f t="shared" si="0"/>
        <v>494810042</v>
      </c>
      <c r="P48" s="36">
        <f t="shared" si="0"/>
        <v>434810042</v>
      </c>
      <c r="Q48" s="36">
        <v>420183674</v>
      </c>
      <c r="R48" s="36"/>
      <c r="S48" s="36">
        <f t="shared" si="1"/>
        <v>420183674</v>
      </c>
      <c r="T48" s="37">
        <v>0</v>
      </c>
      <c r="U48" s="37">
        <v>0</v>
      </c>
      <c r="V48" s="37">
        <v>0</v>
      </c>
      <c r="W48" s="10"/>
      <c r="X48" s="10"/>
      <c r="Y48" s="10"/>
      <c r="Z48" s="10"/>
      <c r="AA48" s="34">
        <v>0</v>
      </c>
      <c r="AB48" s="10"/>
      <c r="AC48" s="10"/>
      <c r="AD48" s="10"/>
      <c r="AE48" s="124">
        <v>0</v>
      </c>
      <c r="AF48" s="124">
        <v>0</v>
      </c>
      <c r="AG48" s="124">
        <v>0</v>
      </c>
      <c r="AH48" s="124">
        <v>0</v>
      </c>
      <c r="AI48" s="124">
        <v>0</v>
      </c>
      <c r="AJ48" s="124">
        <v>0</v>
      </c>
      <c r="AK48" s="124">
        <v>0</v>
      </c>
      <c r="AL48" s="124">
        <v>0</v>
      </c>
      <c r="AM48" s="124">
        <v>0</v>
      </c>
      <c r="AN48" s="124">
        <v>0</v>
      </c>
      <c r="AO48" s="124">
        <v>0</v>
      </c>
      <c r="AP48" s="124">
        <v>0</v>
      </c>
    </row>
    <row r="49" spans="1:42" ht="81" customHeight="1" x14ac:dyDescent="0.25">
      <c r="A49" s="34">
        <v>0</v>
      </c>
      <c r="B49" s="34">
        <v>0</v>
      </c>
      <c r="C49" s="34">
        <v>0</v>
      </c>
      <c r="D49" s="34">
        <v>0</v>
      </c>
      <c r="E49" s="74">
        <v>0</v>
      </c>
      <c r="F49" s="34">
        <v>0</v>
      </c>
      <c r="G49" s="34"/>
      <c r="H49" s="36">
        <v>0</v>
      </c>
      <c r="I49" s="39"/>
      <c r="J49" s="39"/>
      <c r="K49" s="39"/>
      <c r="L49" s="39"/>
      <c r="M49" s="39"/>
      <c r="N49" s="36">
        <f t="shared" si="0"/>
        <v>0</v>
      </c>
      <c r="O49" s="36">
        <f t="shared" si="0"/>
        <v>0</v>
      </c>
      <c r="P49" s="36">
        <f t="shared" si="0"/>
        <v>0</v>
      </c>
      <c r="Q49" s="36"/>
      <c r="R49" s="36"/>
      <c r="S49" s="36">
        <f t="shared" si="1"/>
        <v>0</v>
      </c>
      <c r="T49" s="37" t="s">
        <v>3129</v>
      </c>
      <c r="U49" s="37" t="s">
        <v>316</v>
      </c>
      <c r="V49" s="37">
        <v>2</v>
      </c>
      <c r="W49" s="10"/>
      <c r="X49" s="10"/>
      <c r="Y49" s="10">
        <v>1</v>
      </c>
      <c r="Z49" s="10">
        <v>9</v>
      </c>
      <c r="AA49" s="34">
        <v>365</v>
      </c>
      <c r="AB49" s="10">
        <v>180</v>
      </c>
      <c r="AC49" s="10">
        <v>365</v>
      </c>
      <c r="AD49" s="177" t="s">
        <v>3130</v>
      </c>
      <c r="AE49" s="124" t="s">
        <v>218</v>
      </c>
      <c r="AF49" s="124" t="s">
        <v>218</v>
      </c>
      <c r="AG49" s="124" t="s">
        <v>218</v>
      </c>
      <c r="AH49" s="124" t="s">
        <v>218</v>
      </c>
      <c r="AI49" s="124" t="s">
        <v>218</v>
      </c>
      <c r="AJ49" s="124" t="s">
        <v>218</v>
      </c>
      <c r="AK49" s="124" t="s">
        <v>218</v>
      </c>
      <c r="AL49" s="124" t="s">
        <v>218</v>
      </c>
      <c r="AM49" s="124" t="s">
        <v>218</v>
      </c>
      <c r="AN49" s="124" t="s">
        <v>218</v>
      </c>
      <c r="AO49" s="124" t="s">
        <v>218</v>
      </c>
      <c r="AP49" s="124" t="s">
        <v>218</v>
      </c>
    </row>
    <row r="50" spans="1:42" ht="54.75" customHeight="1" x14ac:dyDescent="0.25">
      <c r="A50" s="34">
        <v>0</v>
      </c>
      <c r="B50" s="34">
        <v>0</v>
      </c>
      <c r="C50" s="34">
        <v>0</v>
      </c>
      <c r="D50" s="34">
        <v>0</v>
      </c>
      <c r="E50" s="34">
        <v>0</v>
      </c>
      <c r="F50" s="34">
        <v>0</v>
      </c>
      <c r="G50" s="34"/>
      <c r="H50" s="36">
        <v>0</v>
      </c>
      <c r="I50" s="39"/>
      <c r="J50" s="39"/>
      <c r="K50" s="39"/>
      <c r="L50" s="39"/>
      <c r="M50" s="39"/>
      <c r="N50" s="36">
        <f t="shared" si="0"/>
        <v>0</v>
      </c>
      <c r="O50" s="36">
        <f t="shared" si="0"/>
        <v>0</v>
      </c>
      <c r="P50" s="36">
        <f t="shared" si="0"/>
        <v>0</v>
      </c>
      <c r="Q50" s="36"/>
      <c r="R50" s="36"/>
      <c r="S50" s="36">
        <f t="shared" si="1"/>
        <v>0</v>
      </c>
      <c r="T50" s="37" t="s">
        <v>3131</v>
      </c>
      <c r="U50" s="37" t="s">
        <v>3132</v>
      </c>
      <c r="V50" s="37">
        <v>1</v>
      </c>
      <c r="W50" s="10"/>
      <c r="X50" s="10"/>
      <c r="Y50" s="10" t="s">
        <v>1922</v>
      </c>
      <c r="Z50" s="10">
        <v>1</v>
      </c>
      <c r="AA50" s="34">
        <v>360</v>
      </c>
      <c r="AB50" s="10">
        <v>150</v>
      </c>
      <c r="AC50" s="10">
        <v>360</v>
      </c>
      <c r="AD50" s="472" t="s">
        <v>3133</v>
      </c>
      <c r="AE50" s="124" t="s">
        <v>218</v>
      </c>
      <c r="AF50" s="124" t="s">
        <v>218</v>
      </c>
      <c r="AG50" s="124" t="s">
        <v>218</v>
      </c>
      <c r="AH50" s="124" t="s">
        <v>218</v>
      </c>
      <c r="AI50" s="124" t="s">
        <v>218</v>
      </c>
      <c r="AJ50" s="124" t="s">
        <v>218</v>
      </c>
      <c r="AK50" s="124" t="s">
        <v>218</v>
      </c>
      <c r="AL50" s="124" t="s">
        <v>218</v>
      </c>
      <c r="AM50" s="124" t="s">
        <v>218</v>
      </c>
      <c r="AN50" s="124" t="s">
        <v>218</v>
      </c>
      <c r="AO50" s="124" t="s">
        <v>218</v>
      </c>
      <c r="AP50" s="124" t="s">
        <v>218</v>
      </c>
    </row>
    <row r="51" spans="1:42" ht="60.75" customHeight="1" x14ac:dyDescent="0.25">
      <c r="A51" s="34">
        <v>0</v>
      </c>
      <c r="B51" s="34">
        <v>0</v>
      </c>
      <c r="C51" s="34">
        <v>0</v>
      </c>
      <c r="D51" s="34">
        <v>0</v>
      </c>
      <c r="E51" s="34">
        <v>0</v>
      </c>
      <c r="F51" s="34">
        <v>0</v>
      </c>
      <c r="G51" s="34"/>
      <c r="H51" s="36">
        <v>0</v>
      </c>
      <c r="I51" s="39"/>
      <c r="J51" s="39"/>
      <c r="K51" s="39"/>
      <c r="L51" s="39"/>
      <c r="M51" s="39"/>
      <c r="N51" s="36">
        <f t="shared" si="0"/>
        <v>0</v>
      </c>
      <c r="O51" s="36">
        <f t="shared" si="0"/>
        <v>0</v>
      </c>
      <c r="P51" s="36">
        <f t="shared" si="0"/>
        <v>0</v>
      </c>
      <c r="Q51" s="36"/>
      <c r="R51" s="36"/>
      <c r="S51" s="36">
        <f t="shared" si="1"/>
        <v>0</v>
      </c>
      <c r="T51" s="37" t="s">
        <v>3134</v>
      </c>
      <c r="U51" s="37" t="s">
        <v>3135</v>
      </c>
      <c r="V51" s="37">
        <v>1</v>
      </c>
      <c r="W51" s="10"/>
      <c r="X51" s="10"/>
      <c r="Y51" s="10" t="s">
        <v>1919</v>
      </c>
      <c r="Z51" s="10">
        <v>1</v>
      </c>
      <c r="AA51" s="34">
        <v>360</v>
      </c>
      <c r="AB51" s="10">
        <v>120</v>
      </c>
      <c r="AC51" s="10">
        <v>360</v>
      </c>
      <c r="AD51" s="177" t="s">
        <v>3136</v>
      </c>
      <c r="AE51" s="124" t="s">
        <v>218</v>
      </c>
      <c r="AF51" s="124" t="s">
        <v>218</v>
      </c>
      <c r="AG51" s="124" t="s">
        <v>218</v>
      </c>
      <c r="AH51" s="124" t="s">
        <v>218</v>
      </c>
      <c r="AI51" s="124" t="s">
        <v>218</v>
      </c>
      <c r="AJ51" s="124" t="s">
        <v>218</v>
      </c>
      <c r="AK51" s="124" t="s">
        <v>218</v>
      </c>
      <c r="AL51" s="124" t="s">
        <v>218</v>
      </c>
      <c r="AM51" s="124" t="s">
        <v>218</v>
      </c>
      <c r="AN51" s="124" t="s">
        <v>218</v>
      </c>
      <c r="AO51" s="124" t="s">
        <v>218</v>
      </c>
      <c r="AP51" s="124" t="s">
        <v>218</v>
      </c>
    </row>
  </sheetData>
  <sheetProtection algorithmName="SHA-512" hashValue="RzZFzvpaddYah06VXqsrCUqTs72oDNVN1eENO5rg+SbGvxB3akm2ACPFU13glX1tUSl8mud6gG0pr4/Cq6ANQg==" saltValue="daQDcJp5/eBf5tkCMb6yPw==" spinCount="100000" sheet="1" objects="1" scenarios="1" formatCells="0" insertRows="0" selectLockedCells="1"/>
  <mergeCells count="28">
    <mergeCell ref="S7:S8"/>
    <mergeCell ref="T7:AC7"/>
    <mergeCell ref="AD7:AD8"/>
    <mergeCell ref="AE7:AP7"/>
    <mergeCell ref="M7:M8"/>
    <mergeCell ref="N7:N8"/>
    <mergeCell ref="O7:O8"/>
    <mergeCell ref="P7:P8"/>
    <mergeCell ref="Q7:Q8"/>
    <mergeCell ref="R7:R8"/>
    <mergeCell ref="L7:L8"/>
    <mergeCell ref="A7:A8"/>
    <mergeCell ref="B7:B8"/>
    <mergeCell ref="C7:C8"/>
    <mergeCell ref="D7:D8"/>
    <mergeCell ref="E7:E8"/>
    <mergeCell ref="F7:F8"/>
    <mergeCell ref="G7:G8"/>
    <mergeCell ref="H7:H8"/>
    <mergeCell ref="I7:I8"/>
    <mergeCell ref="J7:J8"/>
    <mergeCell ref="K7:K8"/>
    <mergeCell ref="A1:P1"/>
    <mergeCell ref="A2:P2"/>
    <mergeCell ref="A3:P3"/>
    <mergeCell ref="A4:P4"/>
    <mergeCell ref="A5:B5"/>
    <mergeCell ref="C5:K5"/>
  </mergeCells>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259"/>
  <sheetViews>
    <sheetView topLeftCell="A4" zoomScale="80" zoomScaleNormal="80" workbookViewId="0">
      <pane ySplit="5" topLeftCell="A9" activePane="bottomLeft" state="frozen"/>
      <selection activeCell="A4" sqref="A4"/>
      <selection pane="bottomLeft" activeCell="H9" sqref="H9"/>
    </sheetView>
  </sheetViews>
  <sheetFormatPr baseColWidth="10" defaultColWidth="13.28515625" defaultRowHeight="15" x14ac:dyDescent="0.25"/>
  <cols>
    <col min="1" max="1" width="14.140625" style="1" customWidth="1"/>
    <col min="2" max="2" width="18.140625" style="1" customWidth="1"/>
    <col min="3" max="3" width="17" style="1" customWidth="1"/>
    <col min="4" max="4" width="13.28515625" style="1"/>
    <col min="5" max="5" width="16.140625" style="1" customWidth="1"/>
    <col min="6" max="6" width="16.7109375" style="1" customWidth="1"/>
    <col min="7" max="7" width="13.28515625" style="1"/>
    <col min="8" max="8" width="25.140625" style="1" customWidth="1"/>
    <col min="9" max="9" width="19.5703125" style="1" customWidth="1"/>
    <col min="10" max="10" width="19.42578125" style="1" customWidth="1"/>
    <col min="11" max="11" width="25.28515625" style="1" customWidth="1"/>
    <col min="12" max="12" width="16.5703125" style="1" customWidth="1"/>
    <col min="13" max="13" width="15.5703125" style="1" customWidth="1"/>
    <col min="14" max="14" width="16.140625" style="470" customWidth="1"/>
    <col min="15" max="16" width="13.28515625" style="1"/>
    <col min="17" max="17" width="63" style="1" customWidth="1"/>
    <col min="18" max="18" width="18.85546875" style="1" customWidth="1"/>
    <col min="19" max="16384" width="13.28515625" style="1"/>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row>
    <row r="5" spans="1:97" x14ac:dyDescent="0.25">
      <c r="A5" s="2"/>
      <c r="B5" s="2"/>
      <c r="C5" s="2"/>
      <c r="D5" s="2"/>
      <c r="E5" s="2"/>
      <c r="F5" s="2"/>
      <c r="G5" s="2"/>
      <c r="H5" s="2"/>
      <c r="I5" s="2"/>
      <c r="J5" s="2"/>
      <c r="K5" s="2"/>
      <c r="L5" s="4"/>
      <c r="M5" s="5"/>
      <c r="N5" s="246"/>
      <c r="O5" s="5"/>
    </row>
    <row r="6" spans="1:97" x14ac:dyDescent="0.25">
      <c r="A6" s="7" t="s">
        <v>4</v>
      </c>
      <c r="B6" s="606" t="s">
        <v>2995</v>
      </c>
      <c r="C6" s="606"/>
      <c r="D6" s="606"/>
      <c r="E6" s="606"/>
      <c r="F6" s="606"/>
      <c r="G6" s="606"/>
      <c r="H6" s="606"/>
      <c r="I6" s="606"/>
      <c r="J6" s="606"/>
      <c r="K6" s="606"/>
      <c r="L6" s="606"/>
      <c r="M6" s="606"/>
      <c r="N6" s="606"/>
      <c r="O6" s="606"/>
    </row>
    <row r="7" spans="1:97"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9" t="s">
        <v>22</v>
      </c>
    </row>
    <row r="8" spans="1:97" ht="36" customHeight="1" x14ac:dyDescent="0.25">
      <c r="A8" s="618"/>
      <c r="B8" s="618"/>
      <c r="C8" s="618"/>
      <c r="D8" s="618"/>
      <c r="E8" s="618"/>
      <c r="F8" s="618"/>
      <c r="G8" s="618"/>
      <c r="H8" s="618"/>
      <c r="I8" s="622"/>
      <c r="J8" s="622"/>
      <c r="K8" s="618"/>
      <c r="L8" s="618"/>
      <c r="M8" s="618"/>
      <c r="N8" s="624"/>
      <c r="O8" s="624"/>
      <c r="P8" s="624"/>
      <c r="Q8" s="620"/>
      <c r="S8" s="8"/>
      <c r="T8" s="8"/>
      <c r="U8" s="8"/>
      <c r="V8" s="8"/>
      <c r="W8" s="8"/>
      <c r="X8" s="8"/>
      <c r="Y8" s="8"/>
      <c r="Z8" s="8"/>
      <c r="AA8" s="8"/>
      <c r="AB8" s="8"/>
      <c r="AC8" s="8"/>
      <c r="AD8" s="8"/>
      <c r="AE8" s="8"/>
      <c r="AF8" s="8"/>
      <c r="AG8" s="8"/>
      <c r="AH8" s="8"/>
      <c r="AK8" s="9"/>
      <c r="AO8" s="9"/>
      <c r="AS8" s="9"/>
      <c r="AW8" s="9"/>
      <c r="BA8" s="9"/>
      <c r="BE8" s="9"/>
      <c r="BI8" s="9"/>
      <c r="BM8" s="9"/>
      <c r="BQ8" s="9"/>
      <c r="BU8" s="9"/>
      <c r="BY8" s="9"/>
      <c r="CC8" s="9"/>
      <c r="CG8" s="9"/>
      <c r="CK8" s="9"/>
      <c r="CO8" s="9"/>
      <c r="CS8" s="9"/>
    </row>
    <row r="9" spans="1:97" ht="105" x14ac:dyDescent="0.25">
      <c r="A9" s="10" t="s">
        <v>55</v>
      </c>
      <c r="B9" s="10" t="s">
        <v>332</v>
      </c>
      <c r="C9" s="10" t="s">
        <v>2996</v>
      </c>
      <c r="D9" s="10">
        <v>243110007</v>
      </c>
      <c r="E9" s="10" t="s">
        <v>2997</v>
      </c>
      <c r="F9" s="50" t="s">
        <v>2998</v>
      </c>
      <c r="G9" s="10" t="s">
        <v>2999</v>
      </c>
      <c r="H9" s="10" t="s">
        <v>3000</v>
      </c>
      <c r="I9" s="467">
        <v>-32259203</v>
      </c>
      <c r="J9" s="82">
        <v>-32259203</v>
      </c>
      <c r="K9" s="10" t="s">
        <v>3001</v>
      </c>
      <c r="L9" s="10">
        <v>12</v>
      </c>
      <c r="M9" s="10">
        <v>23</v>
      </c>
      <c r="N9" s="10"/>
      <c r="O9" s="10">
        <v>23</v>
      </c>
      <c r="P9" s="82">
        <v>23</v>
      </c>
      <c r="Q9" s="15" t="s">
        <v>3002</v>
      </c>
      <c r="R9" s="8"/>
      <c r="U9" s="9"/>
      <c r="V9" s="8"/>
      <c r="W9" s="8"/>
      <c r="X9" s="8"/>
      <c r="Y9" s="8"/>
      <c r="Z9" s="8"/>
      <c r="AA9" s="8"/>
      <c r="AB9" s="8"/>
      <c r="AC9" s="8"/>
      <c r="AD9" s="8"/>
      <c r="AE9" s="8"/>
      <c r="AF9" s="8"/>
      <c r="AG9" s="8"/>
      <c r="AH9" s="8"/>
      <c r="AK9" s="9"/>
      <c r="AO9" s="9"/>
      <c r="AS9" s="9"/>
      <c r="AW9" s="9"/>
      <c r="BA9" s="9"/>
      <c r="BE9" s="9"/>
      <c r="BI9" s="9"/>
      <c r="BM9" s="9"/>
      <c r="BQ9" s="9"/>
      <c r="BU9" s="9"/>
      <c r="BY9" s="9"/>
      <c r="CC9" s="9"/>
      <c r="CG9" s="9"/>
      <c r="CK9" s="9"/>
      <c r="CO9" s="9"/>
      <c r="CS9" s="9"/>
    </row>
    <row r="10" spans="1:97" ht="105" customHeight="1" x14ac:dyDescent="0.25">
      <c r="A10" s="10" t="s">
        <v>55</v>
      </c>
      <c r="B10" s="10" t="s">
        <v>332</v>
      </c>
      <c r="C10" s="10" t="s">
        <v>2996</v>
      </c>
      <c r="D10" s="10" t="s">
        <v>3003</v>
      </c>
      <c r="E10" s="10" t="s">
        <v>3004</v>
      </c>
      <c r="F10" s="50" t="s">
        <v>3005</v>
      </c>
      <c r="G10" s="10" t="s">
        <v>3006</v>
      </c>
      <c r="H10" s="10" t="s">
        <v>3007</v>
      </c>
      <c r="I10" s="467">
        <v>0</v>
      </c>
      <c r="J10" s="10">
        <v>0</v>
      </c>
      <c r="K10" s="10" t="s">
        <v>3008</v>
      </c>
      <c r="L10" s="10">
        <v>750</v>
      </c>
      <c r="M10" s="10">
        <v>750</v>
      </c>
      <c r="N10" s="10"/>
      <c r="O10" s="10">
        <v>329</v>
      </c>
      <c r="P10" s="10">
        <v>1092</v>
      </c>
      <c r="Q10" s="18" t="s">
        <v>3009</v>
      </c>
      <c r="R10" s="8"/>
      <c r="U10" s="9"/>
      <c r="V10" s="8"/>
      <c r="W10" s="8"/>
      <c r="X10" s="8"/>
      <c r="Y10" s="8"/>
      <c r="Z10" s="8"/>
      <c r="AA10" s="8"/>
      <c r="AB10" s="8"/>
      <c r="AC10" s="8"/>
      <c r="AD10" s="8"/>
      <c r="AE10" s="8"/>
      <c r="AF10" s="8"/>
      <c r="AG10" s="8"/>
      <c r="AH10" s="8"/>
      <c r="AK10" s="9"/>
      <c r="AO10" s="9"/>
      <c r="AS10" s="9"/>
      <c r="AW10" s="9"/>
      <c r="BA10" s="9"/>
      <c r="BE10" s="9"/>
      <c r="BI10" s="9"/>
      <c r="BM10" s="9"/>
      <c r="BQ10" s="9"/>
      <c r="BU10" s="9"/>
      <c r="BY10" s="9"/>
      <c r="CC10" s="9"/>
      <c r="CG10" s="9"/>
      <c r="CK10" s="9"/>
      <c r="CO10" s="9"/>
      <c r="CS10" s="9"/>
    </row>
    <row r="11" spans="1:97" ht="132.75" customHeight="1" x14ac:dyDescent="0.25">
      <c r="A11" s="10" t="s">
        <v>55</v>
      </c>
      <c r="B11" s="10" t="s">
        <v>332</v>
      </c>
      <c r="C11" s="10" t="s">
        <v>2996</v>
      </c>
      <c r="D11" s="10" t="s">
        <v>3010</v>
      </c>
      <c r="E11" s="10" t="s">
        <v>3011</v>
      </c>
      <c r="F11" s="50" t="s">
        <v>3012</v>
      </c>
      <c r="G11" s="10" t="s">
        <v>3013</v>
      </c>
      <c r="H11" s="10" t="s">
        <v>3014</v>
      </c>
      <c r="I11" s="467">
        <v>-40000000</v>
      </c>
      <c r="J11" s="10">
        <v>-90000000</v>
      </c>
      <c r="K11" s="10" t="s">
        <v>3015</v>
      </c>
      <c r="L11" s="10">
        <v>13000</v>
      </c>
      <c r="M11" s="10">
        <v>13000</v>
      </c>
      <c r="N11" s="10"/>
      <c r="O11" s="10">
        <v>0</v>
      </c>
      <c r="P11" s="10">
        <v>13681</v>
      </c>
      <c r="Q11" s="15" t="s">
        <v>3016</v>
      </c>
      <c r="R11" s="8"/>
      <c r="U11" s="9"/>
      <c r="V11" s="8"/>
      <c r="W11" s="8"/>
      <c r="X11" s="8"/>
      <c r="Y11" s="8"/>
      <c r="Z11" s="8"/>
      <c r="AA11" s="8"/>
      <c r="AB11" s="8"/>
      <c r="AC11" s="8"/>
      <c r="AD11" s="8"/>
      <c r="AE11" s="8"/>
      <c r="AF11" s="8"/>
      <c r="AG11" s="8"/>
      <c r="AH11" s="8"/>
      <c r="AK11" s="9"/>
      <c r="AO11" s="9"/>
      <c r="AS11" s="9"/>
      <c r="AW11" s="9"/>
      <c r="BA11" s="9"/>
      <c r="BE11" s="9"/>
      <c r="BI11" s="9"/>
      <c r="BM11" s="9"/>
      <c r="BQ11" s="9"/>
      <c r="BU11" s="9"/>
      <c r="BY11" s="9"/>
      <c r="CC11" s="9"/>
      <c r="CG11" s="9"/>
      <c r="CK11" s="9"/>
      <c r="CO11" s="9"/>
      <c r="CS11" s="9"/>
    </row>
    <row r="12" spans="1:97" ht="72" customHeight="1" x14ac:dyDescent="0.25">
      <c r="A12" s="10">
        <v>0</v>
      </c>
      <c r="B12" s="10">
        <v>0</v>
      </c>
      <c r="C12" s="10">
        <v>0</v>
      </c>
      <c r="D12" s="10">
        <v>0</v>
      </c>
      <c r="E12" s="10" t="s">
        <v>342</v>
      </c>
      <c r="F12" s="50">
        <v>0</v>
      </c>
      <c r="G12" s="10">
        <v>0</v>
      </c>
      <c r="H12" s="10">
        <v>0</v>
      </c>
      <c r="I12" s="467"/>
      <c r="J12" s="10"/>
      <c r="K12" s="10" t="s">
        <v>3017</v>
      </c>
      <c r="L12" s="10">
        <v>10</v>
      </c>
      <c r="M12" s="10">
        <v>20</v>
      </c>
      <c r="N12" s="126"/>
      <c r="O12" s="126">
        <v>0.05</v>
      </c>
      <c r="P12" s="10">
        <v>30</v>
      </c>
      <c r="Q12" s="10" t="s">
        <v>3018</v>
      </c>
      <c r="R12" s="468"/>
      <c r="U12" s="9"/>
      <c r="V12" s="8"/>
      <c r="W12" s="8"/>
      <c r="X12" s="8"/>
      <c r="Y12" s="8"/>
      <c r="Z12" s="8"/>
      <c r="AA12" s="8"/>
      <c r="AB12" s="8"/>
      <c r="AC12" s="8"/>
      <c r="AD12" s="8"/>
      <c r="AE12" s="8"/>
      <c r="AF12" s="8"/>
      <c r="AG12" s="8"/>
      <c r="AH12" s="8"/>
      <c r="AK12" s="9"/>
      <c r="AO12" s="9"/>
      <c r="AS12" s="9"/>
      <c r="AW12" s="9"/>
      <c r="BA12" s="9"/>
      <c r="BE12" s="9"/>
      <c r="BI12" s="9"/>
      <c r="BM12" s="9"/>
      <c r="BQ12" s="9"/>
      <c r="BU12" s="9"/>
      <c r="BY12" s="9"/>
      <c r="CC12" s="9"/>
      <c r="CG12" s="9"/>
      <c r="CK12" s="9"/>
      <c r="CO12" s="9"/>
      <c r="CS12" s="9"/>
    </row>
    <row r="13" spans="1:97" ht="129" customHeight="1" x14ac:dyDescent="0.25">
      <c r="A13" s="10" t="s">
        <v>55</v>
      </c>
      <c r="B13" s="10" t="s">
        <v>332</v>
      </c>
      <c r="C13" s="10" t="s">
        <v>3019</v>
      </c>
      <c r="D13" s="10">
        <v>243210007</v>
      </c>
      <c r="E13" s="10" t="s">
        <v>3020</v>
      </c>
      <c r="F13" s="50" t="s">
        <v>3021</v>
      </c>
      <c r="G13" s="10" t="s">
        <v>3022</v>
      </c>
      <c r="H13" s="10" t="s">
        <v>3023</v>
      </c>
      <c r="I13" s="467">
        <v>-208652533</v>
      </c>
      <c r="J13" s="10">
        <v>-208652533</v>
      </c>
      <c r="K13" s="10" t="s">
        <v>3024</v>
      </c>
      <c r="L13" s="10">
        <v>3284</v>
      </c>
      <c r="M13" s="10">
        <v>3284</v>
      </c>
      <c r="N13" s="10"/>
      <c r="O13" s="10">
        <v>4872</v>
      </c>
      <c r="P13" s="10">
        <v>5619</v>
      </c>
      <c r="Q13" s="10" t="s">
        <v>3025</v>
      </c>
      <c r="R13" s="469"/>
      <c r="U13" s="9"/>
      <c r="V13" s="8"/>
      <c r="W13" s="8"/>
      <c r="X13" s="8"/>
      <c r="Y13" s="8"/>
      <c r="Z13" s="8"/>
      <c r="AA13" s="8"/>
      <c r="AB13" s="8"/>
      <c r="AC13" s="8"/>
      <c r="AD13" s="8"/>
      <c r="AE13" s="8"/>
      <c r="AF13" s="8"/>
      <c r="AG13" s="8"/>
      <c r="AH13" s="8"/>
      <c r="AK13" s="9"/>
      <c r="AO13" s="9"/>
      <c r="AS13" s="9"/>
      <c r="AW13" s="9"/>
      <c r="BA13" s="9"/>
      <c r="BE13" s="9"/>
      <c r="BI13" s="9"/>
      <c r="BM13" s="9"/>
      <c r="BQ13" s="9"/>
      <c r="BU13" s="9"/>
      <c r="BY13" s="9"/>
      <c r="CC13" s="9"/>
      <c r="CG13" s="9"/>
      <c r="CK13" s="9"/>
      <c r="CO13" s="9"/>
      <c r="CS13" s="9"/>
    </row>
    <row r="14" spans="1:97" ht="66" customHeight="1" x14ac:dyDescent="0.25">
      <c r="A14" s="10"/>
      <c r="B14" s="10"/>
      <c r="C14" s="10"/>
      <c r="D14" s="10"/>
      <c r="E14" s="10"/>
      <c r="F14" s="50"/>
      <c r="G14" s="10"/>
      <c r="H14" s="10"/>
      <c r="I14" s="467"/>
      <c r="J14" s="10"/>
      <c r="K14" s="10" t="s">
        <v>3026</v>
      </c>
      <c r="L14" s="10">
        <v>857</v>
      </c>
      <c r="M14" s="10">
        <v>857</v>
      </c>
      <c r="N14" s="10"/>
      <c r="O14" s="10">
        <v>487</v>
      </c>
      <c r="P14" s="10">
        <v>1066</v>
      </c>
      <c r="Q14" s="10" t="s">
        <v>3027</v>
      </c>
      <c r="R14" s="8"/>
      <c r="U14" s="9"/>
      <c r="V14" s="8"/>
      <c r="W14" s="8"/>
      <c r="X14" s="8"/>
      <c r="Y14" s="8"/>
      <c r="Z14" s="8"/>
      <c r="AA14" s="8"/>
      <c r="AB14" s="8"/>
      <c r="AC14" s="8"/>
      <c r="AD14" s="8"/>
      <c r="AE14" s="8"/>
      <c r="AF14" s="8"/>
      <c r="AG14" s="8"/>
      <c r="AH14" s="8"/>
      <c r="AK14" s="9"/>
      <c r="AO14" s="9"/>
      <c r="AS14" s="9"/>
      <c r="AW14" s="9"/>
      <c r="BA14" s="9"/>
      <c r="BE14" s="9"/>
      <c r="BI14" s="9"/>
      <c r="BM14" s="9"/>
      <c r="BQ14" s="9"/>
      <c r="BU14" s="9"/>
      <c r="BY14" s="9"/>
      <c r="CC14" s="9"/>
      <c r="CG14" s="9"/>
      <c r="CK14" s="9"/>
      <c r="CO14" s="9"/>
      <c r="CS14" s="9"/>
    </row>
    <row r="15" spans="1:97" ht="165.75" customHeight="1" x14ac:dyDescent="0.25">
      <c r="A15" s="10" t="s">
        <v>55</v>
      </c>
      <c r="B15" s="10" t="s">
        <v>332</v>
      </c>
      <c r="C15" s="10" t="s">
        <v>3028</v>
      </c>
      <c r="D15" s="10">
        <v>243310007</v>
      </c>
      <c r="E15" s="10" t="s">
        <v>3029</v>
      </c>
      <c r="F15" s="50" t="s">
        <v>3030</v>
      </c>
      <c r="G15" s="10" t="s">
        <v>3031</v>
      </c>
      <c r="H15" s="10" t="s">
        <v>3032</v>
      </c>
      <c r="I15" s="467">
        <v>94430622</v>
      </c>
      <c r="J15" s="10">
        <v>-70569378</v>
      </c>
      <c r="K15" s="10" t="s">
        <v>3033</v>
      </c>
      <c r="L15" s="10">
        <v>17596</v>
      </c>
      <c r="M15" s="10">
        <v>17596</v>
      </c>
      <c r="N15" s="10"/>
      <c r="O15" s="10">
        <v>0</v>
      </c>
      <c r="P15" s="10">
        <v>21400</v>
      </c>
      <c r="Q15" s="15" t="s">
        <v>3034</v>
      </c>
      <c r="R15" s="469"/>
      <c r="U15" s="9"/>
      <c r="V15" s="8"/>
      <c r="W15" s="8"/>
      <c r="X15" s="8"/>
      <c r="Y15" s="8"/>
      <c r="Z15" s="8"/>
      <c r="AA15" s="8"/>
      <c r="AB15" s="8"/>
      <c r="AC15" s="8"/>
      <c r="AD15" s="8"/>
      <c r="AE15" s="8"/>
      <c r="AF15" s="8"/>
      <c r="AG15" s="8"/>
      <c r="AH15" s="8"/>
      <c r="AK15" s="9"/>
      <c r="AO15" s="9"/>
      <c r="AS15" s="9"/>
      <c r="AW15" s="9"/>
      <c r="BA15" s="9"/>
      <c r="BE15" s="9"/>
      <c r="BI15" s="9"/>
      <c r="BM15" s="9"/>
      <c r="BQ15" s="9"/>
      <c r="BU15" s="9"/>
      <c r="BY15" s="9"/>
      <c r="CC15" s="9"/>
      <c r="CG15" s="9"/>
      <c r="CK15" s="9"/>
      <c r="CO15" s="9"/>
      <c r="CS15" s="9"/>
    </row>
    <row r="16" spans="1:97" ht="104.25" customHeight="1" x14ac:dyDescent="0.25">
      <c r="A16" s="10"/>
      <c r="B16" s="10"/>
      <c r="C16" s="10"/>
      <c r="D16" s="10"/>
      <c r="E16" s="10"/>
      <c r="F16" s="50"/>
      <c r="G16" s="10"/>
      <c r="H16" s="10"/>
      <c r="I16" s="467"/>
      <c r="J16" s="10"/>
      <c r="K16" s="10" t="s">
        <v>3035</v>
      </c>
      <c r="L16" s="10">
        <v>17596</v>
      </c>
      <c r="M16" s="10">
        <v>17596</v>
      </c>
      <c r="N16" s="10"/>
      <c r="O16" s="10">
        <v>2179</v>
      </c>
      <c r="P16" s="10">
        <v>24025</v>
      </c>
      <c r="Q16" s="15" t="s">
        <v>3036</v>
      </c>
      <c r="R16" s="8"/>
      <c r="U16" s="9"/>
      <c r="V16" s="8"/>
      <c r="W16" s="8"/>
      <c r="X16" s="8"/>
      <c r="Y16" s="8"/>
      <c r="Z16" s="8"/>
      <c r="AA16" s="8"/>
      <c r="AB16" s="8"/>
      <c r="AC16" s="8"/>
      <c r="AD16" s="8"/>
      <c r="AE16" s="8"/>
      <c r="AF16" s="8"/>
      <c r="AG16" s="8"/>
      <c r="AH16" s="8"/>
      <c r="AK16" s="9"/>
      <c r="AO16" s="9"/>
      <c r="AS16" s="9"/>
      <c r="AW16" s="9"/>
      <c r="BA16" s="9"/>
      <c r="BE16" s="9"/>
      <c r="BI16" s="9"/>
      <c r="BM16" s="9"/>
      <c r="BQ16" s="9"/>
      <c r="BU16" s="9"/>
      <c r="BY16" s="9"/>
      <c r="CC16" s="9"/>
      <c r="CG16" s="9"/>
      <c r="CK16" s="9"/>
      <c r="CO16" s="9"/>
      <c r="CS16" s="9"/>
    </row>
    <row r="17" spans="1:97" ht="94.5" customHeight="1" x14ac:dyDescent="0.25">
      <c r="A17" s="10" t="s">
        <v>55</v>
      </c>
      <c r="B17" s="10" t="s">
        <v>332</v>
      </c>
      <c r="C17" s="10" t="s">
        <v>3037</v>
      </c>
      <c r="D17" s="10">
        <v>243410008</v>
      </c>
      <c r="E17" s="10" t="s">
        <v>3038</v>
      </c>
      <c r="F17" s="50" t="s">
        <v>3039</v>
      </c>
      <c r="G17" s="10" t="s">
        <v>3040</v>
      </c>
      <c r="H17" s="10" t="s">
        <v>3041</v>
      </c>
      <c r="I17" s="467">
        <v>-83007680</v>
      </c>
      <c r="J17" s="10">
        <v>16992320</v>
      </c>
      <c r="K17" s="10" t="s">
        <v>3042</v>
      </c>
      <c r="L17" s="10">
        <v>2031</v>
      </c>
      <c r="M17" s="10">
        <v>1105</v>
      </c>
      <c r="N17" s="10"/>
      <c r="O17" s="10">
        <v>369</v>
      </c>
      <c r="P17" s="10">
        <v>2183</v>
      </c>
      <c r="Q17" s="15" t="s">
        <v>3043</v>
      </c>
      <c r="R17" s="468"/>
      <c r="U17" s="9"/>
      <c r="V17" s="8"/>
      <c r="W17" s="8"/>
      <c r="X17" s="8"/>
      <c r="Y17" s="8"/>
      <c r="Z17" s="8"/>
      <c r="AA17" s="8"/>
      <c r="AB17" s="8"/>
      <c r="AC17" s="8"/>
      <c r="AD17" s="8"/>
      <c r="AE17" s="8"/>
      <c r="AF17" s="8"/>
      <c r="AG17" s="8"/>
      <c r="AH17" s="8"/>
      <c r="AK17" s="9"/>
      <c r="AO17" s="9"/>
      <c r="AS17" s="9"/>
      <c r="AW17" s="9"/>
      <c r="BA17" s="9"/>
      <c r="BE17" s="9"/>
      <c r="BI17" s="9"/>
      <c r="BM17" s="9"/>
      <c r="BQ17" s="9"/>
      <c r="BU17" s="9"/>
      <c r="BY17" s="9"/>
      <c r="CC17" s="9"/>
      <c r="CG17" s="9"/>
      <c r="CK17" s="9"/>
      <c r="CO17" s="9"/>
      <c r="CS17" s="9"/>
    </row>
    <row r="18" spans="1:97" ht="89.25" customHeight="1" x14ac:dyDescent="0.25">
      <c r="A18" s="10"/>
      <c r="B18" s="10"/>
      <c r="C18" s="10"/>
      <c r="D18" s="10"/>
      <c r="E18" s="10"/>
      <c r="F18" s="50"/>
      <c r="G18" s="10"/>
      <c r="H18" s="10"/>
      <c r="I18" s="467"/>
      <c r="J18" s="10"/>
      <c r="K18" s="10" t="s">
        <v>3044</v>
      </c>
      <c r="L18" s="10">
        <v>900</v>
      </c>
      <c r="M18" s="10">
        <v>900</v>
      </c>
      <c r="N18" s="10"/>
      <c r="O18" s="10">
        <v>322</v>
      </c>
      <c r="P18" s="10">
        <v>1013</v>
      </c>
      <c r="Q18" s="15" t="s">
        <v>3045</v>
      </c>
      <c r="R18" s="8"/>
      <c r="U18" s="9"/>
      <c r="V18" s="8"/>
      <c r="W18" s="8"/>
      <c r="X18" s="8"/>
      <c r="Y18" s="8"/>
      <c r="Z18" s="8"/>
      <c r="AA18" s="8"/>
      <c r="AB18" s="8"/>
      <c r="AC18" s="8"/>
      <c r="AD18" s="8"/>
      <c r="AE18" s="8"/>
      <c r="AF18" s="8"/>
      <c r="AG18" s="8"/>
      <c r="AH18" s="8"/>
      <c r="AK18" s="9"/>
      <c r="AO18" s="9"/>
      <c r="AS18" s="9"/>
      <c r="AW18" s="9"/>
      <c r="BA18" s="9"/>
      <c r="BE18" s="9"/>
      <c r="BI18" s="9"/>
      <c r="BM18" s="9"/>
      <c r="BQ18" s="9"/>
      <c r="BU18" s="9"/>
      <c r="BY18" s="9"/>
      <c r="CC18" s="9"/>
      <c r="CG18" s="9"/>
      <c r="CK18" s="9"/>
      <c r="CO18" s="9"/>
      <c r="CS18" s="9"/>
    </row>
    <row r="19" spans="1:97" ht="107.25" customHeight="1" x14ac:dyDescent="0.25">
      <c r="A19" s="10"/>
      <c r="B19" s="10"/>
      <c r="C19" s="10"/>
      <c r="D19" s="10"/>
      <c r="E19" s="10"/>
      <c r="F19" s="50"/>
      <c r="G19" s="10"/>
      <c r="H19" s="10"/>
      <c r="I19" s="467"/>
      <c r="J19" s="10"/>
      <c r="K19" s="10" t="s">
        <v>3046</v>
      </c>
      <c r="L19" s="10">
        <v>15</v>
      </c>
      <c r="M19" s="10">
        <v>15</v>
      </c>
      <c r="N19" s="10"/>
      <c r="O19" s="10">
        <v>0</v>
      </c>
      <c r="P19" s="10">
        <v>0</v>
      </c>
      <c r="Q19" s="15" t="s">
        <v>3047</v>
      </c>
      <c r="R19" s="8"/>
      <c r="U19" s="9"/>
      <c r="V19" s="8"/>
      <c r="W19" s="8"/>
      <c r="X19" s="8"/>
      <c r="Y19" s="8"/>
      <c r="Z19" s="8"/>
      <c r="AA19" s="8"/>
      <c r="AB19" s="8"/>
      <c r="AC19" s="8"/>
      <c r="AD19" s="8"/>
      <c r="AE19" s="8"/>
      <c r="AF19" s="8"/>
      <c r="AG19" s="8"/>
      <c r="AH19" s="8"/>
      <c r="AK19" s="9"/>
      <c r="AO19" s="9"/>
      <c r="AS19" s="9"/>
      <c r="AW19" s="9"/>
      <c r="BA19" s="9"/>
      <c r="BE19" s="9"/>
      <c r="BI19" s="9"/>
      <c r="BM19" s="9"/>
      <c r="BQ19" s="9"/>
      <c r="BU19" s="9"/>
      <c r="BY19" s="9"/>
      <c r="CC19" s="9"/>
      <c r="CG19" s="9"/>
      <c r="CK19" s="9"/>
      <c r="CO19" s="9"/>
      <c r="CS19" s="9"/>
    </row>
    <row r="20" spans="1:97" ht="91.5" customHeight="1" x14ac:dyDescent="0.25">
      <c r="A20" s="10" t="s">
        <v>55</v>
      </c>
      <c r="B20" s="10" t="s">
        <v>332</v>
      </c>
      <c r="C20" s="10" t="s">
        <v>3037</v>
      </c>
      <c r="D20" s="10">
        <v>243420008</v>
      </c>
      <c r="E20" s="201" t="str">
        <f t="shared" ref="E20" si="0">MID(D20,9,LEN(D20)-8)</f>
        <v>8</v>
      </c>
      <c r="F20" s="50" t="s">
        <v>3048</v>
      </c>
      <c r="G20" s="10" t="s">
        <v>3049</v>
      </c>
      <c r="H20" s="10" t="s">
        <v>3050</v>
      </c>
      <c r="I20" s="467">
        <v>-93352607</v>
      </c>
      <c r="J20" s="10">
        <v>-193352607</v>
      </c>
      <c r="K20" s="10" t="s">
        <v>3051</v>
      </c>
      <c r="L20" s="10">
        <v>20</v>
      </c>
      <c r="M20" s="10">
        <v>20</v>
      </c>
      <c r="N20" s="10"/>
      <c r="O20" s="10">
        <v>2</v>
      </c>
      <c r="P20" s="10">
        <v>15</v>
      </c>
      <c r="Q20" s="15" t="s">
        <v>3052</v>
      </c>
      <c r="R20" s="8"/>
      <c r="U20" s="9"/>
      <c r="V20" s="8"/>
      <c r="W20" s="8"/>
      <c r="X20" s="8"/>
      <c r="Y20" s="8"/>
      <c r="Z20" s="8"/>
      <c r="AA20" s="8"/>
      <c r="AB20" s="8"/>
      <c r="AC20" s="8"/>
      <c r="AD20" s="8"/>
      <c r="AE20" s="8"/>
      <c r="AF20" s="8"/>
      <c r="AG20" s="8"/>
      <c r="AH20" s="8"/>
      <c r="AK20" s="9"/>
      <c r="AO20" s="9"/>
      <c r="AS20" s="9"/>
      <c r="AW20" s="9"/>
      <c r="BA20" s="9"/>
      <c r="BE20" s="9"/>
      <c r="BI20" s="9"/>
      <c r="BM20" s="9"/>
      <c r="BQ20" s="9"/>
      <c r="BU20" s="9"/>
      <c r="BY20" s="9"/>
      <c r="CC20" s="9"/>
      <c r="CG20" s="9"/>
      <c r="CK20" s="9"/>
      <c r="CO20" s="9"/>
      <c r="CS20" s="9"/>
    </row>
    <row r="21" spans="1:97" ht="70.5" customHeight="1" x14ac:dyDescent="0.25">
      <c r="A21" s="10"/>
      <c r="B21" s="10"/>
      <c r="C21" s="10"/>
      <c r="D21" s="10"/>
      <c r="E21" s="10"/>
      <c r="F21" s="10"/>
      <c r="G21" s="27"/>
      <c r="H21" s="10"/>
      <c r="I21" s="467"/>
      <c r="J21" s="10"/>
      <c r="K21" s="10" t="s">
        <v>3053</v>
      </c>
      <c r="L21" s="10">
        <v>36</v>
      </c>
      <c r="M21" s="10">
        <v>36</v>
      </c>
      <c r="N21" s="10"/>
      <c r="O21" s="10">
        <v>0</v>
      </c>
      <c r="P21" s="10">
        <v>34</v>
      </c>
      <c r="Q21" s="15" t="s">
        <v>3054</v>
      </c>
      <c r="R21" s="8"/>
      <c r="U21" s="9"/>
      <c r="V21" s="8"/>
      <c r="W21" s="8"/>
      <c r="X21" s="8"/>
      <c r="Y21" s="8"/>
      <c r="Z21" s="8"/>
      <c r="AA21" s="8"/>
      <c r="AB21" s="8"/>
      <c r="AC21" s="8"/>
      <c r="AD21" s="8"/>
      <c r="AE21" s="8"/>
      <c r="AF21" s="8"/>
      <c r="AG21" s="8"/>
      <c r="AH21" s="8"/>
      <c r="AK21" s="9"/>
      <c r="AO21" s="9"/>
      <c r="AS21" s="9"/>
      <c r="AW21" s="9"/>
      <c r="BA21" s="9"/>
      <c r="BE21" s="9"/>
      <c r="BI21" s="9"/>
      <c r="BM21" s="9"/>
      <c r="BQ21" s="9"/>
      <c r="BU21" s="9"/>
      <c r="BY21" s="9"/>
      <c r="CC21" s="9"/>
      <c r="CG21" s="9"/>
      <c r="CK21" s="9"/>
      <c r="CO21" s="9"/>
      <c r="CS21" s="9"/>
    </row>
    <row r="22" spans="1:97" ht="77.25" customHeight="1" x14ac:dyDescent="0.25">
      <c r="A22" s="10" t="s">
        <v>55</v>
      </c>
      <c r="B22" s="10" t="s">
        <v>332</v>
      </c>
      <c r="C22" s="10" t="s">
        <v>3037</v>
      </c>
      <c r="D22" s="10">
        <v>243430008</v>
      </c>
      <c r="E22" s="10" t="s">
        <v>3055</v>
      </c>
      <c r="F22" s="50" t="s">
        <v>3056</v>
      </c>
      <c r="G22" s="10" t="s">
        <v>3057</v>
      </c>
      <c r="H22" s="10" t="s">
        <v>3058</v>
      </c>
      <c r="I22" s="467">
        <v>-166789958</v>
      </c>
      <c r="J22" s="10">
        <v>-226789958</v>
      </c>
      <c r="K22" s="10" t="s">
        <v>3059</v>
      </c>
      <c r="L22" s="10">
        <v>4000</v>
      </c>
      <c r="M22" s="10">
        <v>4000</v>
      </c>
      <c r="N22" s="10"/>
      <c r="O22" s="10">
        <v>822</v>
      </c>
      <c r="P22" s="10">
        <v>5954</v>
      </c>
      <c r="Q22" s="15" t="s">
        <v>3060</v>
      </c>
      <c r="R22" s="8"/>
      <c r="U22" s="9"/>
      <c r="V22" s="8"/>
      <c r="W22" s="8"/>
      <c r="X22" s="8"/>
      <c r="Y22" s="8"/>
      <c r="Z22" s="8"/>
      <c r="AA22" s="8"/>
      <c r="AB22" s="8"/>
      <c r="AC22" s="8"/>
      <c r="AD22" s="8"/>
      <c r="AE22" s="8"/>
      <c r="AF22" s="8"/>
      <c r="AG22" s="8"/>
      <c r="AH22" s="8"/>
      <c r="AK22" s="9"/>
      <c r="AO22" s="9"/>
      <c r="AS22" s="9"/>
      <c r="AW22" s="9"/>
      <c r="BA22" s="9"/>
      <c r="BE22" s="9"/>
      <c r="BI22" s="9"/>
      <c r="BM22" s="9"/>
      <c r="BQ22" s="9"/>
      <c r="BU22" s="9"/>
      <c r="BY22" s="9"/>
      <c r="CC22" s="9"/>
      <c r="CG22" s="9"/>
      <c r="CK22" s="9"/>
      <c r="CO22" s="9"/>
      <c r="CS22" s="9"/>
    </row>
    <row r="23" spans="1:97" ht="74.25" customHeight="1" x14ac:dyDescent="0.25">
      <c r="A23" s="10"/>
      <c r="B23" s="10"/>
      <c r="C23" s="10"/>
      <c r="D23" s="10"/>
      <c r="E23" s="10"/>
      <c r="F23" s="10"/>
      <c r="G23" s="50"/>
      <c r="H23" s="10"/>
      <c r="I23" s="467"/>
      <c r="J23" s="10"/>
      <c r="K23" s="10" t="s">
        <v>3061</v>
      </c>
      <c r="L23" s="10">
        <v>40</v>
      </c>
      <c r="M23" s="10">
        <v>40</v>
      </c>
      <c r="N23" s="10"/>
      <c r="O23" s="10">
        <v>9</v>
      </c>
      <c r="P23" s="10">
        <v>39</v>
      </c>
      <c r="Q23" s="15" t="s">
        <v>3062</v>
      </c>
      <c r="R23" s="8"/>
      <c r="U23" s="9"/>
      <c r="V23" s="8"/>
      <c r="W23" s="8"/>
      <c r="X23" s="8"/>
      <c r="Y23" s="8"/>
      <c r="Z23" s="8"/>
      <c r="AA23" s="8"/>
      <c r="AB23" s="8"/>
      <c r="AC23" s="8"/>
      <c r="AD23" s="8"/>
      <c r="AE23" s="8"/>
      <c r="AF23" s="8"/>
      <c r="AG23" s="8"/>
      <c r="AH23" s="8"/>
      <c r="AK23" s="9"/>
      <c r="AO23" s="9"/>
      <c r="AS23" s="9"/>
      <c r="AW23" s="9"/>
      <c r="BA23" s="9"/>
      <c r="BE23" s="9"/>
      <c r="BI23" s="9"/>
      <c r="BM23" s="9"/>
      <c r="BQ23" s="9"/>
      <c r="BU23" s="9"/>
      <c r="BY23" s="9"/>
      <c r="CC23" s="9"/>
      <c r="CG23" s="9"/>
      <c r="CK23" s="9"/>
      <c r="CO23" s="9"/>
      <c r="CS23" s="9"/>
    </row>
    <row r="24" spans="1:97" x14ac:dyDescent="0.25">
      <c r="A24" s="124"/>
      <c r="B24" s="124"/>
      <c r="C24" s="124"/>
      <c r="D24" s="124"/>
      <c r="E24" s="124"/>
      <c r="F24" s="124"/>
      <c r="G24" s="124"/>
      <c r="H24" s="10"/>
      <c r="I24" s="14"/>
      <c r="J24" s="10"/>
      <c r="K24" s="10"/>
      <c r="L24" s="124"/>
      <c r="M24" s="124"/>
      <c r="N24" s="10"/>
      <c r="O24" s="10"/>
      <c r="P24" s="10"/>
      <c r="Q24" s="177"/>
      <c r="S24" s="8"/>
      <c r="T24" s="8"/>
      <c r="U24" s="8"/>
      <c r="V24" s="8"/>
      <c r="W24" s="8"/>
      <c r="X24" s="8"/>
      <c r="Y24" s="8"/>
      <c r="Z24" s="8"/>
      <c r="AA24" s="8"/>
      <c r="AB24" s="8"/>
      <c r="AC24" s="8"/>
      <c r="AD24" s="8"/>
      <c r="AE24" s="8"/>
      <c r="AF24" s="8"/>
      <c r="AG24" s="8"/>
      <c r="AH24" s="8"/>
      <c r="AK24" s="9"/>
      <c r="AO24" s="9"/>
      <c r="AS24" s="9"/>
      <c r="AW24" s="9"/>
      <c r="BA24" s="9"/>
      <c r="BE24" s="9"/>
      <c r="BI24" s="9"/>
      <c r="BM24" s="9"/>
      <c r="BQ24" s="9"/>
      <c r="BU24" s="9"/>
      <c r="BY24" s="9"/>
      <c r="CC24" s="9"/>
      <c r="CG24" s="9"/>
      <c r="CK24" s="9"/>
      <c r="CO24" s="9"/>
      <c r="CS24" s="9"/>
    </row>
    <row r="25" spans="1:97" x14ac:dyDescent="0.25">
      <c r="H25" s="27"/>
      <c r="I25" s="27"/>
      <c r="J25" s="27"/>
      <c r="K25" s="27"/>
      <c r="N25" s="27"/>
    </row>
    <row r="26" spans="1:97" x14ac:dyDescent="0.25">
      <c r="N26" s="27"/>
    </row>
    <row r="27" spans="1:97" x14ac:dyDescent="0.25">
      <c r="N27" s="27"/>
    </row>
    <row r="28" spans="1:97" x14ac:dyDescent="0.25">
      <c r="N28" s="27"/>
    </row>
    <row r="29" spans="1:97" x14ac:dyDescent="0.25">
      <c r="N29" s="27"/>
    </row>
    <row r="30" spans="1:97" x14ac:dyDescent="0.25">
      <c r="N30" s="27"/>
    </row>
    <row r="31" spans="1:97" x14ac:dyDescent="0.25">
      <c r="N31" s="27"/>
    </row>
    <row r="32" spans="1:97" x14ac:dyDescent="0.25">
      <c r="N32" s="27"/>
    </row>
    <row r="33" spans="14:14" x14ac:dyDescent="0.25">
      <c r="N33" s="27"/>
    </row>
    <row r="34" spans="14:14" x14ac:dyDescent="0.25">
      <c r="N34" s="27"/>
    </row>
    <row r="35" spans="14:14" x14ac:dyDescent="0.25">
      <c r="N35" s="27"/>
    </row>
    <row r="36" spans="14:14" x14ac:dyDescent="0.25">
      <c r="N36" s="27"/>
    </row>
    <row r="37" spans="14:14" x14ac:dyDescent="0.25">
      <c r="N37" s="27"/>
    </row>
    <row r="38" spans="14:14" x14ac:dyDescent="0.25">
      <c r="N38" s="27"/>
    </row>
    <row r="39" spans="14:14" x14ac:dyDescent="0.25">
      <c r="N39" s="27"/>
    </row>
    <row r="40" spans="14:14" x14ac:dyDescent="0.25">
      <c r="N40" s="27"/>
    </row>
    <row r="41" spans="14:14" x14ac:dyDescent="0.25">
      <c r="N41" s="27"/>
    </row>
    <row r="42" spans="14:14" x14ac:dyDescent="0.25">
      <c r="N42" s="27"/>
    </row>
    <row r="43" spans="14:14" x14ac:dyDescent="0.25">
      <c r="N43" s="27"/>
    </row>
    <row r="44" spans="14:14" x14ac:dyDescent="0.25">
      <c r="N44" s="27"/>
    </row>
    <row r="45" spans="14:14" x14ac:dyDescent="0.25">
      <c r="N45" s="27"/>
    </row>
    <row r="46" spans="14:14" x14ac:dyDescent="0.25">
      <c r="N46" s="27"/>
    </row>
    <row r="47" spans="14:14" x14ac:dyDescent="0.25">
      <c r="N47" s="27"/>
    </row>
    <row r="48" spans="14:14" x14ac:dyDescent="0.25">
      <c r="N48" s="27"/>
    </row>
    <row r="49" spans="14:14" x14ac:dyDescent="0.25">
      <c r="N49" s="27"/>
    </row>
    <row r="50" spans="14:14" x14ac:dyDescent="0.25">
      <c r="N50" s="27"/>
    </row>
    <row r="51" spans="14:14" x14ac:dyDescent="0.25">
      <c r="N51" s="27"/>
    </row>
    <row r="52" spans="14:14" x14ac:dyDescent="0.25">
      <c r="N52" s="27"/>
    </row>
    <row r="53" spans="14:14" x14ac:dyDescent="0.25">
      <c r="N53" s="27"/>
    </row>
    <row r="54" spans="14:14" x14ac:dyDescent="0.25">
      <c r="N54" s="27"/>
    </row>
    <row r="55" spans="14:14" x14ac:dyDescent="0.25">
      <c r="N55" s="27"/>
    </row>
    <row r="56" spans="14:14" x14ac:dyDescent="0.25">
      <c r="N56" s="27"/>
    </row>
    <row r="57" spans="14:14" x14ac:dyDescent="0.25">
      <c r="N57" s="27"/>
    </row>
    <row r="58" spans="14:14" x14ac:dyDescent="0.25">
      <c r="N58" s="27"/>
    </row>
    <row r="59" spans="14:14" x14ac:dyDescent="0.25">
      <c r="N59" s="27"/>
    </row>
    <row r="60" spans="14:14" x14ac:dyDescent="0.25">
      <c r="N60" s="27"/>
    </row>
    <row r="61" spans="14:14" x14ac:dyDescent="0.25">
      <c r="N61" s="27"/>
    </row>
    <row r="62" spans="14:14" x14ac:dyDescent="0.25">
      <c r="N62" s="27"/>
    </row>
    <row r="63" spans="14:14" x14ac:dyDescent="0.25">
      <c r="N63" s="27"/>
    </row>
    <row r="64" spans="14:14" x14ac:dyDescent="0.25">
      <c r="N64" s="27"/>
    </row>
    <row r="65" spans="14:14" x14ac:dyDescent="0.25">
      <c r="N65" s="27"/>
    </row>
    <row r="66" spans="14:14" x14ac:dyDescent="0.25">
      <c r="N66" s="27"/>
    </row>
    <row r="67" spans="14:14" x14ac:dyDescent="0.25">
      <c r="N67" s="27"/>
    </row>
    <row r="68" spans="14:14" x14ac:dyDescent="0.25">
      <c r="N68" s="27"/>
    </row>
    <row r="69" spans="14:14" x14ac:dyDescent="0.25">
      <c r="N69" s="27"/>
    </row>
    <row r="70" spans="14:14" x14ac:dyDescent="0.25">
      <c r="N70" s="27"/>
    </row>
    <row r="71" spans="14:14" x14ac:dyDescent="0.25">
      <c r="N71" s="27"/>
    </row>
    <row r="72" spans="14:14" x14ac:dyDescent="0.25">
      <c r="N72" s="27"/>
    </row>
    <row r="73" spans="14:14" x14ac:dyDescent="0.25">
      <c r="N73" s="27"/>
    </row>
    <row r="74" spans="14:14" x14ac:dyDescent="0.25">
      <c r="N74" s="27"/>
    </row>
    <row r="75" spans="14:14" x14ac:dyDescent="0.25">
      <c r="N75" s="27"/>
    </row>
    <row r="76" spans="14:14" x14ac:dyDescent="0.25">
      <c r="N76" s="27"/>
    </row>
    <row r="77" spans="14:14" x14ac:dyDescent="0.25">
      <c r="N77" s="27"/>
    </row>
    <row r="78" spans="14:14" x14ac:dyDescent="0.25">
      <c r="N78" s="27"/>
    </row>
    <row r="79" spans="14:14" x14ac:dyDescent="0.25">
      <c r="N79" s="27"/>
    </row>
    <row r="80" spans="14:14" x14ac:dyDescent="0.25">
      <c r="N80" s="27"/>
    </row>
    <row r="81" spans="14:14" x14ac:dyDescent="0.25">
      <c r="N81" s="27"/>
    </row>
    <row r="82" spans="14:14" x14ac:dyDescent="0.25">
      <c r="N82" s="27"/>
    </row>
    <row r="83" spans="14:14" x14ac:dyDescent="0.25">
      <c r="N83" s="27"/>
    </row>
    <row r="84" spans="14:14" x14ac:dyDescent="0.25">
      <c r="N84" s="27"/>
    </row>
    <row r="85" spans="14:14" x14ac:dyDescent="0.25">
      <c r="N85" s="27"/>
    </row>
    <row r="86" spans="14:14" x14ac:dyDescent="0.25">
      <c r="N86" s="27"/>
    </row>
    <row r="87" spans="14:14" x14ac:dyDescent="0.25">
      <c r="N87" s="27"/>
    </row>
    <row r="88" spans="14:14" x14ac:dyDescent="0.25">
      <c r="N88" s="27"/>
    </row>
    <row r="89" spans="14:14" x14ac:dyDescent="0.25">
      <c r="N89" s="27"/>
    </row>
    <row r="90" spans="14:14" x14ac:dyDescent="0.25">
      <c r="N90" s="27"/>
    </row>
    <row r="91" spans="14:14" x14ac:dyDescent="0.25">
      <c r="N91" s="27"/>
    </row>
    <row r="92" spans="14:14" x14ac:dyDescent="0.25">
      <c r="N92" s="27"/>
    </row>
    <row r="93" spans="14:14" x14ac:dyDescent="0.25">
      <c r="N93" s="27"/>
    </row>
    <row r="94" spans="14:14" x14ac:dyDescent="0.25">
      <c r="N94" s="27"/>
    </row>
    <row r="95" spans="14:14" x14ac:dyDescent="0.25">
      <c r="N95" s="27"/>
    </row>
    <row r="96" spans="14:14" x14ac:dyDescent="0.25">
      <c r="N96" s="27"/>
    </row>
    <row r="97" spans="14:14" x14ac:dyDescent="0.25">
      <c r="N97" s="27"/>
    </row>
    <row r="98" spans="14:14" x14ac:dyDescent="0.25">
      <c r="N98" s="27"/>
    </row>
    <row r="99" spans="14:14" x14ac:dyDescent="0.25">
      <c r="N99" s="27"/>
    </row>
    <row r="100" spans="14:14" x14ac:dyDescent="0.25">
      <c r="N100" s="27"/>
    </row>
    <row r="101" spans="14:14" x14ac:dyDescent="0.25">
      <c r="N101" s="27"/>
    </row>
    <row r="102" spans="14:14" x14ac:dyDescent="0.25">
      <c r="N102" s="27"/>
    </row>
    <row r="103" spans="14:14" x14ac:dyDescent="0.25">
      <c r="N103" s="27"/>
    </row>
    <row r="104" spans="14:14" x14ac:dyDescent="0.25">
      <c r="N104" s="27"/>
    </row>
    <row r="105" spans="14:14" x14ac:dyDescent="0.25">
      <c r="N105" s="27"/>
    </row>
    <row r="106" spans="14:14" x14ac:dyDescent="0.25">
      <c r="N106" s="27"/>
    </row>
    <row r="107" spans="14:14" x14ac:dyDescent="0.25">
      <c r="N107" s="27"/>
    </row>
    <row r="108" spans="14:14" x14ac:dyDescent="0.25">
      <c r="N108" s="27"/>
    </row>
    <row r="109" spans="14:14" x14ac:dyDescent="0.25">
      <c r="N109" s="27"/>
    </row>
    <row r="110" spans="14:14" x14ac:dyDescent="0.25">
      <c r="N110" s="27"/>
    </row>
    <row r="111" spans="14:14" x14ac:dyDescent="0.25">
      <c r="N111" s="27"/>
    </row>
    <row r="112" spans="14:14" x14ac:dyDescent="0.25">
      <c r="N112" s="27"/>
    </row>
    <row r="113" spans="14:14" x14ac:dyDescent="0.25">
      <c r="N113" s="27"/>
    </row>
    <row r="114" spans="14:14" x14ac:dyDescent="0.25">
      <c r="N114" s="27"/>
    </row>
    <row r="115" spans="14:14" x14ac:dyDescent="0.25">
      <c r="N115" s="27"/>
    </row>
    <row r="116" spans="14:14" x14ac:dyDescent="0.25">
      <c r="N116" s="27"/>
    </row>
    <row r="117" spans="14:14" x14ac:dyDescent="0.25">
      <c r="N117" s="27"/>
    </row>
    <row r="118" spans="14:14" x14ac:dyDescent="0.25">
      <c r="N118" s="27"/>
    </row>
    <row r="119" spans="14:14" x14ac:dyDescent="0.25">
      <c r="N119" s="27"/>
    </row>
    <row r="120" spans="14:14" x14ac:dyDescent="0.25">
      <c r="N120" s="27"/>
    </row>
    <row r="121" spans="14:14" x14ac:dyDescent="0.25">
      <c r="N121" s="27"/>
    </row>
    <row r="122" spans="14:14" x14ac:dyDescent="0.25">
      <c r="N122" s="27"/>
    </row>
    <row r="123" spans="14:14" x14ac:dyDescent="0.25">
      <c r="N123" s="27"/>
    </row>
    <row r="124" spans="14:14" x14ac:dyDescent="0.25">
      <c r="N124" s="27"/>
    </row>
    <row r="125" spans="14:14" x14ac:dyDescent="0.25">
      <c r="N125" s="27"/>
    </row>
    <row r="126" spans="14:14" x14ac:dyDescent="0.25">
      <c r="N126" s="27"/>
    </row>
    <row r="127" spans="14:14" x14ac:dyDescent="0.25">
      <c r="N127" s="27"/>
    </row>
    <row r="128" spans="14:14" x14ac:dyDescent="0.25">
      <c r="N128" s="27"/>
    </row>
    <row r="129" spans="14:14" x14ac:dyDescent="0.25">
      <c r="N129" s="27"/>
    </row>
    <row r="130" spans="14:14" x14ac:dyDescent="0.25">
      <c r="N130" s="27"/>
    </row>
    <row r="131" spans="14:14" x14ac:dyDescent="0.25">
      <c r="N131" s="27"/>
    </row>
    <row r="132" spans="14:14" x14ac:dyDescent="0.25">
      <c r="N132" s="27"/>
    </row>
    <row r="133" spans="14:14" x14ac:dyDescent="0.25">
      <c r="N133" s="27"/>
    </row>
    <row r="134" spans="14:14" x14ac:dyDescent="0.25">
      <c r="N134" s="27"/>
    </row>
    <row r="135" spans="14:14" x14ac:dyDescent="0.25">
      <c r="N135" s="27"/>
    </row>
    <row r="136" spans="14:14" x14ac:dyDescent="0.25">
      <c r="N136" s="27"/>
    </row>
    <row r="137" spans="14:14" x14ac:dyDescent="0.25">
      <c r="N137" s="27"/>
    </row>
    <row r="138" spans="14:14" x14ac:dyDescent="0.25">
      <c r="N138" s="27"/>
    </row>
    <row r="139" spans="14:14" x14ac:dyDescent="0.25">
      <c r="N139" s="27"/>
    </row>
    <row r="140" spans="14:14" x14ac:dyDescent="0.25">
      <c r="N140" s="27"/>
    </row>
    <row r="141" spans="14:14" x14ac:dyDescent="0.25">
      <c r="N141" s="27"/>
    </row>
    <row r="142" spans="14:14" x14ac:dyDescent="0.25">
      <c r="N142" s="27"/>
    </row>
    <row r="143" spans="14:14" x14ac:dyDescent="0.25">
      <c r="N143" s="27"/>
    </row>
    <row r="144" spans="14:14" x14ac:dyDescent="0.25">
      <c r="N144" s="27"/>
    </row>
    <row r="145" spans="14:14" x14ac:dyDescent="0.25">
      <c r="N145" s="27"/>
    </row>
    <row r="146" spans="14:14" x14ac:dyDescent="0.25">
      <c r="N146" s="27"/>
    </row>
    <row r="147" spans="14:14" x14ac:dyDescent="0.25">
      <c r="N147" s="27"/>
    </row>
    <row r="148" spans="14:14" x14ac:dyDescent="0.25">
      <c r="N148" s="27"/>
    </row>
    <row r="149" spans="14:14" x14ac:dyDescent="0.25">
      <c r="N149" s="27"/>
    </row>
    <row r="150" spans="14:14" x14ac:dyDescent="0.25">
      <c r="N150" s="27"/>
    </row>
    <row r="151" spans="14:14" x14ac:dyDescent="0.25">
      <c r="N151" s="27"/>
    </row>
    <row r="152" spans="14:14" x14ac:dyDescent="0.25">
      <c r="N152" s="27"/>
    </row>
    <row r="153" spans="14:14" x14ac:dyDescent="0.25">
      <c r="N153" s="27"/>
    </row>
    <row r="154" spans="14:14" x14ac:dyDescent="0.25">
      <c r="N154" s="27"/>
    </row>
    <row r="155" spans="14:14" x14ac:dyDescent="0.25">
      <c r="N155" s="27"/>
    </row>
    <row r="156" spans="14:14" x14ac:dyDescent="0.25">
      <c r="N156" s="27"/>
    </row>
    <row r="157" spans="14:14" x14ac:dyDescent="0.25">
      <c r="N157" s="27"/>
    </row>
    <row r="158" spans="14:14" x14ac:dyDescent="0.25">
      <c r="N158" s="27"/>
    </row>
    <row r="159" spans="14:14" x14ac:dyDescent="0.25">
      <c r="N159" s="27"/>
    </row>
    <row r="160" spans="14:14" x14ac:dyDescent="0.25">
      <c r="N160" s="27"/>
    </row>
    <row r="161" spans="14:14" x14ac:dyDescent="0.25">
      <c r="N161" s="27"/>
    </row>
    <row r="162" spans="14:14" x14ac:dyDescent="0.25">
      <c r="N162" s="27"/>
    </row>
    <row r="163" spans="14:14" x14ac:dyDescent="0.25">
      <c r="N163" s="27"/>
    </row>
    <row r="164" spans="14:14" x14ac:dyDescent="0.25">
      <c r="N164" s="27"/>
    </row>
    <row r="165" spans="14:14" x14ac:dyDescent="0.25">
      <c r="N165" s="27"/>
    </row>
    <row r="166" spans="14:14" x14ac:dyDescent="0.25">
      <c r="N166" s="27"/>
    </row>
    <row r="167" spans="14:14" x14ac:dyDescent="0.25">
      <c r="N167" s="27"/>
    </row>
    <row r="168" spans="14:14" x14ac:dyDescent="0.25">
      <c r="N168" s="27"/>
    </row>
    <row r="169" spans="14:14" x14ac:dyDescent="0.25">
      <c r="N169" s="27"/>
    </row>
    <row r="170" spans="14:14" x14ac:dyDescent="0.25">
      <c r="N170" s="27"/>
    </row>
    <row r="171" spans="14:14" x14ac:dyDescent="0.25">
      <c r="N171" s="27"/>
    </row>
    <row r="172" spans="14:14" x14ac:dyDescent="0.25">
      <c r="N172" s="27"/>
    </row>
    <row r="173" spans="14:14" x14ac:dyDescent="0.25">
      <c r="N173" s="27"/>
    </row>
    <row r="174" spans="14:14" x14ac:dyDescent="0.25">
      <c r="N174" s="27"/>
    </row>
    <row r="175" spans="14:14" x14ac:dyDescent="0.25">
      <c r="N175" s="27"/>
    </row>
    <row r="176" spans="14:14" x14ac:dyDescent="0.25">
      <c r="N176" s="27"/>
    </row>
    <row r="177" spans="14:14" x14ac:dyDescent="0.25">
      <c r="N177" s="27"/>
    </row>
    <row r="178" spans="14:14" x14ac:dyDescent="0.25">
      <c r="N178" s="27"/>
    </row>
    <row r="179" spans="14:14" x14ac:dyDescent="0.25">
      <c r="N179" s="27"/>
    </row>
    <row r="180" spans="14:14" x14ac:dyDescent="0.25">
      <c r="N180" s="27"/>
    </row>
    <row r="181" spans="14:14" x14ac:dyDescent="0.25">
      <c r="N181" s="27"/>
    </row>
    <row r="182" spans="14:14" x14ac:dyDescent="0.25">
      <c r="N182" s="27"/>
    </row>
    <row r="183" spans="14:14" x14ac:dyDescent="0.25">
      <c r="N183" s="27"/>
    </row>
    <row r="184" spans="14:14" x14ac:dyDescent="0.25">
      <c r="N184" s="27"/>
    </row>
    <row r="185" spans="14:14" x14ac:dyDescent="0.25">
      <c r="N185" s="27"/>
    </row>
    <row r="186" spans="14:14" x14ac:dyDescent="0.25">
      <c r="N186" s="27"/>
    </row>
    <row r="187" spans="14:14" x14ac:dyDescent="0.25">
      <c r="N187" s="27"/>
    </row>
    <row r="188" spans="14:14" x14ac:dyDescent="0.25">
      <c r="N188" s="27"/>
    </row>
    <row r="189" spans="14:14" x14ac:dyDescent="0.25">
      <c r="N189" s="27"/>
    </row>
    <row r="190" spans="14:14" x14ac:dyDescent="0.25">
      <c r="N190" s="27"/>
    </row>
    <row r="191" spans="14:14" x14ac:dyDescent="0.25">
      <c r="N191" s="27"/>
    </row>
    <row r="192" spans="14:14" x14ac:dyDescent="0.25">
      <c r="N192" s="27"/>
    </row>
    <row r="193" spans="14:14" x14ac:dyDescent="0.25">
      <c r="N193" s="27"/>
    </row>
    <row r="194" spans="14:14" x14ac:dyDescent="0.25">
      <c r="N194" s="27"/>
    </row>
    <row r="195" spans="14:14" x14ac:dyDescent="0.25">
      <c r="N195" s="27"/>
    </row>
    <row r="196" spans="14:14" x14ac:dyDescent="0.25">
      <c r="N196" s="27"/>
    </row>
    <row r="197" spans="14:14" x14ac:dyDescent="0.25">
      <c r="N197" s="27"/>
    </row>
    <row r="198" spans="14:14" x14ac:dyDescent="0.25">
      <c r="N198" s="27"/>
    </row>
    <row r="199" spans="14:14" x14ac:dyDescent="0.25">
      <c r="N199" s="27"/>
    </row>
    <row r="200" spans="14:14" x14ac:dyDescent="0.25">
      <c r="N200" s="27"/>
    </row>
    <row r="201" spans="14:14" x14ac:dyDescent="0.25">
      <c r="N201" s="27"/>
    </row>
    <row r="202" spans="14:14" x14ac:dyDescent="0.25">
      <c r="N202" s="27"/>
    </row>
    <row r="203" spans="14:14" x14ac:dyDescent="0.25">
      <c r="N203" s="27"/>
    </row>
    <row r="204" spans="14:14" x14ac:dyDescent="0.25">
      <c r="N204" s="27"/>
    </row>
    <row r="205" spans="14:14" x14ac:dyDescent="0.25">
      <c r="N205" s="27"/>
    </row>
    <row r="206" spans="14:14" x14ac:dyDescent="0.25">
      <c r="N206" s="27"/>
    </row>
    <row r="207" spans="14:14" x14ac:dyDescent="0.25">
      <c r="N207" s="27"/>
    </row>
    <row r="208" spans="14:14" x14ac:dyDescent="0.25">
      <c r="N208" s="27"/>
    </row>
    <row r="209" spans="14:14" x14ac:dyDescent="0.25">
      <c r="N209" s="27"/>
    </row>
    <row r="210" spans="14:14" x14ac:dyDescent="0.25">
      <c r="N210" s="27"/>
    </row>
    <row r="211" spans="14:14" x14ac:dyDescent="0.25">
      <c r="N211" s="27"/>
    </row>
    <row r="212" spans="14:14" x14ac:dyDescent="0.25">
      <c r="N212" s="27"/>
    </row>
    <row r="213" spans="14:14" x14ac:dyDescent="0.25">
      <c r="N213" s="27"/>
    </row>
    <row r="214" spans="14:14" x14ac:dyDescent="0.25">
      <c r="N214" s="27"/>
    </row>
    <row r="215" spans="14:14" x14ac:dyDescent="0.25">
      <c r="N215" s="27"/>
    </row>
    <row r="216" spans="14:14" x14ac:dyDescent="0.25">
      <c r="N216" s="27"/>
    </row>
    <row r="217" spans="14:14" x14ac:dyDescent="0.25">
      <c r="N217" s="27"/>
    </row>
    <row r="218" spans="14:14" x14ac:dyDescent="0.25">
      <c r="N218" s="27"/>
    </row>
    <row r="219" spans="14:14" x14ac:dyDescent="0.25">
      <c r="N219" s="27"/>
    </row>
    <row r="220" spans="14:14" x14ac:dyDescent="0.25">
      <c r="N220" s="27"/>
    </row>
    <row r="221" spans="14:14" x14ac:dyDescent="0.25">
      <c r="N221" s="27"/>
    </row>
    <row r="222" spans="14:14" x14ac:dyDescent="0.25">
      <c r="N222" s="27"/>
    </row>
    <row r="223" spans="14:14" x14ac:dyDescent="0.25">
      <c r="N223" s="27"/>
    </row>
    <row r="224" spans="14:14" x14ac:dyDescent="0.25">
      <c r="N224" s="27"/>
    </row>
    <row r="225" spans="14:14" x14ac:dyDescent="0.25">
      <c r="N225" s="27"/>
    </row>
    <row r="226" spans="14:14" x14ac:dyDescent="0.25">
      <c r="N226" s="27"/>
    </row>
    <row r="227" spans="14:14" x14ac:dyDescent="0.25">
      <c r="N227" s="27"/>
    </row>
    <row r="228" spans="14:14" x14ac:dyDescent="0.25">
      <c r="N228" s="27"/>
    </row>
    <row r="229" spans="14:14" x14ac:dyDescent="0.25">
      <c r="N229" s="27"/>
    </row>
    <row r="230" spans="14:14" x14ac:dyDescent="0.25">
      <c r="N230" s="27"/>
    </row>
    <row r="231" spans="14:14" x14ac:dyDescent="0.25">
      <c r="N231" s="27"/>
    </row>
    <row r="232" spans="14:14" x14ac:dyDescent="0.25">
      <c r="N232" s="27"/>
    </row>
    <row r="233" spans="14:14" x14ac:dyDescent="0.25">
      <c r="N233" s="27"/>
    </row>
    <row r="234" spans="14:14" x14ac:dyDescent="0.25">
      <c r="N234" s="27"/>
    </row>
    <row r="235" spans="14:14" x14ac:dyDescent="0.25">
      <c r="N235" s="27"/>
    </row>
    <row r="236" spans="14:14" x14ac:dyDescent="0.25">
      <c r="N236" s="27"/>
    </row>
    <row r="237" spans="14:14" x14ac:dyDescent="0.25">
      <c r="N237" s="27"/>
    </row>
    <row r="238" spans="14:14" x14ac:dyDescent="0.25">
      <c r="N238" s="27"/>
    </row>
    <row r="239" spans="14:14" x14ac:dyDescent="0.25">
      <c r="N239" s="27"/>
    </row>
    <row r="240" spans="14:14" x14ac:dyDescent="0.25">
      <c r="N240" s="27"/>
    </row>
    <row r="241" spans="14:14" x14ac:dyDescent="0.25">
      <c r="N241" s="27"/>
    </row>
    <row r="242" spans="14:14" x14ac:dyDescent="0.25">
      <c r="N242" s="27"/>
    </row>
    <row r="243" spans="14:14" x14ac:dyDescent="0.25">
      <c r="N243" s="27"/>
    </row>
    <row r="244" spans="14:14" x14ac:dyDescent="0.25">
      <c r="N244" s="27"/>
    </row>
    <row r="245" spans="14:14" x14ac:dyDescent="0.25">
      <c r="N245" s="27"/>
    </row>
    <row r="246" spans="14:14" x14ac:dyDescent="0.25">
      <c r="N246" s="27"/>
    </row>
    <row r="247" spans="14:14" x14ac:dyDescent="0.25">
      <c r="N247" s="27"/>
    </row>
    <row r="248" spans="14:14" x14ac:dyDescent="0.25">
      <c r="N248" s="27"/>
    </row>
    <row r="249" spans="14:14" x14ac:dyDescent="0.25">
      <c r="N249" s="27"/>
    </row>
    <row r="250" spans="14:14" x14ac:dyDescent="0.25">
      <c r="N250" s="27"/>
    </row>
    <row r="251" spans="14:14" x14ac:dyDescent="0.25">
      <c r="N251" s="27"/>
    </row>
    <row r="252" spans="14:14" x14ac:dyDescent="0.25">
      <c r="N252" s="27"/>
    </row>
    <row r="253" spans="14:14" x14ac:dyDescent="0.25">
      <c r="N253" s="27"/>
    </row>
    <row r="254" spans="14:14" x14ac:dyDescent="0.25">
      <c r="N254" s="27"/>
    </row>
    <row r="255" spans="14:14" x14ac:dyDescent="0.25">
      <c r="N255" s="27"/>
    </row>
    <row r="256" spans="14:14" x14ac:dyDescent="0.25">
      <c r="N256" s="27"/>
    </row>
    <row r="257" spans="14:14" x14ac:dyDescent="0.25">
      <c r="N257" s="27"/>
    </row>
    <row r="258" spans="14:14" x14ac:dyDescent="0.25">
      <c r="N258" s="27"/>
    </row>
    <row r="259" spans="14:14" x14ac:dyDescent="0.25">
      <c r="N259" s="27"/>
    </row>
    <row r="260" spans="14:14" x14ac:dyDescent="0.25">
      <c r="N260" s="27"/>
    </row>
    <row r="261" spans="14:14" x14ac:dyDescent="0.25">
      <c r="N261" s="27"/>
    </row>
    <row r="262" spans="14:14" x14ac:dyDescent="0.25">
      <c r="N262" s="27"/>
    </row>
    <row r="263" spans="14:14" x14ac:dyDescent="0.25">
      <c r="N263" s="27"/>
    </row>
    <row r="264" spans="14:14" x14ac:dyDescent="0.25">
      <c r="N264" s="27"/>
    </row>
    <row r="265" spans="14:14" x14ac:dyDescent="0.25">
      <c r="N265" s="27"/>
    </row>
    <row r="266" spans="14:14" x14ac:dyDescent="0.25">
      <c r="N266" s="27"/>
    </row>
    <row r="267" spans="14:14" x14ac:dyDescent="0.25">
      <c r="N267" s="27"/>
    </row>
    <row r="268" spans="14:14" x14ac:dyDescent="0.25">
      <c r="N268" s="27"/>
    </row>
    <row r="269" spans="14:14" x14ac:dyDescent="0.25">
      <c r="N269" s="27"/>
    </row>
    <row r="270" spans="14:14" x14ac:dyDescent="0.25">
      <c r="N270" s="27"/>
    </row>
    <row r="271" spans="14:14" x14ac:dyDescent="0.25">
      <c r="N271" s="27"/>
    </row>
    <row r="272" spans="14:14" x14ac:dyDescent="0.25">
      <c r="N272" s="27"/>
    </row>
    <row r="273" spans="14:14" x14ac:dyDescent="0.25">
      <c r="N273" s="27"/>
    </row>
    <row r="274" spans="14:14" x14ac:dyDescent="0.25">
      <c r="N274" s="27"/>
    </row>
    <row r="275" spans="14:14" x14ac:dyDescent="0.25">
      <c r="N275" s="27"/>
    </row>
    <row r="276" spans="14:14" x14ac:dyDescent="0.25">
      <c r="N276" s="27"/>
    </row>
    <row r="277" spans="14:14" x14ac:dyDescent="0.25">
      <c r="N277" s="27"/>
    </row>
    <row r="278" spans="14:14" x14ac:dyDescent="0.25">
      <c r="N278" s="27"/>
    </row>
    <row r="279" spans="14:14" x14ac:dyDescent="0.25">
      <c r="N279" s="27"/>
    </row>
    <row r="280" spans="14:14" x14ac:dyDescent="0.25">
      <c r="N280" s="27"/>
    </row>
    <row r="281" spans="14:14" x14ac:dyDescent="0.25">
      <c r="N281" s="27"/>
    </row>
    <row r="282" spans="14:14" x14ac:dyDescent="0.25">
      <c r="N282" s="27"/>
    </row>
    <row r="283" spans="14:14" x14ac:dyDescent="0.25">
      <c r="N283" s="27"/>
    </row>
    <row r="284" spans="14:14" x14ac:dyDescent="0.25">
      <c r="N284" s="27"/>
    </row>
    <row r="285" spans="14:14" x14ac:dyDescent="0.25">
      <c r="N285" s="27"/>
    </row>
    <row r="286" spans="14:14" x14ac:dyDescent="0.25">
      <c r="N286" s="27"/>
    </row>
    <row r="287" spans="14:14" x14ac:dyDescent="0.25">
      <c r="N287" s="27"/>
    </row>
    <row r="288" spans="14:14" x14ac:dyDescent="0.25">
      <c r="N288" s="27"/>
    </row>
    <row r="289" spans="14:14" x14ac:dyDescent="0.25">
      <c r="N289" s="27"/>
    </row>
    <row r="290" spans="14:14" x14ac:dyDescent="0.25">
      <c r="N290" s="27"/>
    </row>
    <row r="291" spans="14:14" x14ac:dyDescent="0.25">
      <c r="N291" s="27"/>
    </row>
    <row r="292" spans="14:14" x14ac:dyDescent="0.25">
      <c r="N292" s="27"/>
    </row>
    <row r="293" spans="14:14" x14ac:dyDescent="0.25">
      <c r="N293" s="27"/>
    </row>
    <row r="294" spans="14:14" x14ac:dyDescent="0.25">
      <c r="N294" s="27"/>
    </row>
    <row r="295" spans="14:14" x14ac:dyDescent="0.25">
      <c r="N295" s="27"/>
    </row>
    <row r="296" spans="14:14" x14ac:dyDescent="0.25">
      <c r="N296" s="27"/>
    </row>
    <row r="297" spans="14:14" x14ac:dyDescent="0.25">
      <c r="N297" s="27"/>
    </row>
    <row r="298" spans="14:14" x14ac:dyDescent="0.25">
      <c r="N298" s="27"/>
    </row>
    <row r="299" spans="14:14" x14ac:dyDescent="0.25">
      <c r="N299" s="27"/>
    </row>
    <row r="300" spans="14:14" x14ac:dyDescent="0.25">
      <c r="N300" s="27"/>
    </row>
    <row r="301" spans="14:14" x14ac:dyDescent="0.25">
      <c r="N301" s="27"/>
    </row>
    <row r="302" spans="14:14" x14ac:dyDescent="0.25">
      <c r="N302" s="27"/>
    </row>
    <row r="303" spans="14:14" x14ac:dyDescent="0.25">
      <c r="N303" s="27"/>
    </row>
    <row r="304" spans="14:14" x14ac:dyDescent="0.25">
      <c r="N304" s="27"/>
    </row>
    <row r="305" spans="14:14" x14ac:dyDescent="0.25">
      <c r="N305" s="27"/>
    </row>
    <row r="306" spans="14:14" x14ac:dyDescent="0.25">
      <c r="N306" s="27"/>
    </row>
    <row r="307" spans="14:14" x14ac:dyDescent="0.25">
      <c r="N307" s="27"/>
    </row>
    <row r="308" spans="14:14" x14ac:dyDescent="0.25">
      <c r="N308" s="27"/>
    </row>
    <row r="309" spans="14:14" x14ac:dyDescent="0.25">
      <c r="N309" s="27"/>
    </row>
    <row r="310" spans="14:14" x14ac:dyDescent="0.25">
      <c r="N310" s="27"/>
    </row>
    <row r="311" spans="14:14" x14ac:dyDescent="0.25">
      <c r="N311" s="27"/>
    </row>
    <row r="312" spans="14:14" x14ac:dyDescent="0.25">
      <c r="N312" s="27"/>
    </row>
    <row r="313" spans="14:14" x14ac:dyDescent="0.25">
      <c r="N313" s="27"/>
    </row>
    <row r="314" spans="14:14" x14ac:dyDescent="0.25">
      <c r="N314" s="27"/>
    </row>
    <row r="315" spans="14:14" x14ac:dyDescent="0.25">
      <c r="N315" s="27"/>
    </row>
    <row r="316" spans="14:14" x14ac:dyDescent="0.25">
      <c r="N316" s="27"/>
    </row>
    <row r="317" spans="14:14" x14ac:dyDescent="0.25">
      <c r="N317" s="27"/>
    </row>
    <row r="318" spans="14:14" x14ac:dyDescent="0.25">
      <c r="N318" s="27"/>
    </row>
    <row r="319" spans="14:14" x14ac:dyDescent="0.25">
      <c r="N319" s="27"/>
    </row>
    <row r="320" spans="14:14" x14ac:dyDescent="0.25">
      <c r="N320" s="27"/>
    </row>
    <row r="321" spans="14:14" x14ac:dyDescent="0.25">
      <c r="N321" s="27"/>
    </row>
    <row r="322" spans="14:14" x14ac:dyDescent="0.25">
      <c r="N322" s="27"/>
    </row>
    <row r="323" spans="14:14" x14ac:dyDescent="0.25">
      <c r="N323" s="27"/>
    </row>
    <row r="324" spans="14:14" x14ac:dyDescent="0.25">
      <c r="N324" s="27"/>
    </row>
    <row r="325" spans="14:14" x14ac:dyDescent="0.25">
      <c r="N325" s="27"/>
    </row>
    <row r="326" spans="14:14" x14ac:dyDescent="0.25">
      <c r="N326" s="27"/>
    </row>
    <row r="327" spans="14:14" x14ac:dyDescent="0.25">
      <c r="N327" s="27"/>
    </row>
    <row r="328" spans="14:14" x14ac:dyDescent="0.25">
      <c r="N328" s="27"/>
    </row>
    <row r="329" spans="14:14" x14ac:dyDescent="0.25">
      <c r="N329" s="27"/>
    </row>
    <row r="330" spans="14:14" x14ac:dyDescent="0.25">
      <c r="N330" s="27"/>
    </row>
    <row r="331" spans="14:14" x14ac:dyDescent="0.25">
      <c r="N331" s="27"/>
    </row>
    <row r="332" spans="14:14" x14ac:dyDescent="0.25">
      <c r="N332" s="27"/>
    </row>
    <row r="333" spans="14:14" x14ac:dyDescent="0.25">
      <c r="N333" s="27"/>
    </row>
    <row r="334" spans="14:14" x14ac:dyDescent="0.25">
      <c r="N334" s="27"/>
    </row>
    <row r="335" spans="14:14" x14ac:dyDescent="0.25">
      <c r="N335" s="27"/>
    </row>
    <row r="336" spans="14:14" x14ac:dyDescent="0.25">
      <c r="N336" s="27"/>
    </row>
    <row r="337" spans="14:14" x14ac:dyDescent="0.25">
      <c r="N337" s="27"/>
    </row>
    <row r="338" spans="14:14" x14ac:dyDescent="0.25">
      <c r="N338" s="27"/>
    </row>
    <row r="339" spans="14:14" x14ac:dyDescent="0.25">
      <c r="N339" s="27"/>
    </row>
    <row r="340" spans="14:14" x14ac:dyDescent="0.25">
      <c r="N340" s="27"/>
    </row>
    <row r="341" spans="14:14" x14ac:dyDescent="0.25">
      <c r="N341" s="27"/>
    </row>
    <row r="342" spans="14:14" x14ac:dyDescent="0.25">
      <c r="N342" s="27"/>
    </row>
    <row r="343" spans="14:14" x14ac:dyDescent="0.25">
      <c r="N343" s="27"/>
    </row>
    <row r="344" spans="14:14" x14ac:dyDescent="0.25">
      <c r="N344" s="27"/>
    </row>
    <row r="345" spans="14:14" x14ac:dyDescent="0.25">
      <c r="N345" s="27"/>
    </row>
    <row r="346" spans="14:14" x14ac:dyDescent="0.25">
      <c r="N346" s="27"/>
    </row>
    <row r="347" spans="14:14" x14ac:dyDescent="0.25">
      <c r="N347" s="27"/>
    </row>
    <row r="348" spans="14:14" x14ac:dyDescent="0.25">
      <c r="N348" s="27"/>
    </row>
    <row r="349" spans="14:14" x14ac:dyDescent="0.25">
      <c r="N349" s="27"/>
    </row>
    <row r="350" spans="14:14" x14ac:dyDescent="0.25">
      <c r="N350" s="27"/>
    </row>
    <row r="351" spans="14:14" x14ac:dyDescent="0.25">
      <c r="N351" s="27"/>
    </row>
    <row r="352" spans="14:14" x14ac:dyDescent="0.25">
      <c r="N352" s="27"/>
    </row>
    <row r="353" spans="14:14" x14ac:dyDescent="0.25">
      <c r="N353" s="27"/>
    </row>
    <row r="354" spans="14:14" x14ac:dyDescent="0.25">
      <c r="N354" s="27"/>
    </row>
    <row r="355" spans="14:14" x14ac:dyDescent="0.25">
      <c r="N355" s="27"/>
    </row>
    <row r="356" spans="14:14" x14ac:dyDescent="0.25">
      <c r="N356" s="27"/>
    </row>
    <row r="357" spans="14:14" x14ac:dyDescent="0.25">
      <c r="N357" s="27"/>
    </row>
    <row r="358" spans="14:14" x14ac:dyDescent="0.25">
      <c r="N358" s="27"/>
    </row>
    <row r="359" spans="14:14" x14ac:dyDescent="0.25">
      <c r="N359" s="27"/>
    </row>
    <row r="360" spans="14:14" x14ac:dyDescent="0.25">
      <c r="N360" s="27"/>
    </row>
    <row r="361" spans="14:14" x14ac:dyDescent="0.25">
      <c r="N361" s="27"/>
    </row>
    <row r="362" spans="14:14" x14ac:dyDescent="0.25">
      <c r="N362" s="27"/>
    </row>
    <row r="363" spans="14:14" x14ac:dyDescent="0.25">
      <c r="N363" s="27"/>
    </row>
    <row r="364" spans="14:14" x14ac:dyDescent="0.25">
      <c r="N364" s="27"/>
    </row>
    <row r="365" spans="14:14" x14ac:dyDescent="0.25">
      <c r="N365" s="27"/>
    </row>
    <row r="366" spans="14:14" x14ac:dyDescent="0.25">
      <c r="N366" s="27"/>
    </row>
    <row r="367" spans="14:14" x14ac:dyDescent="0.25">
      <c r="N367" s="27"/>
    </row>
    <row r="368" spans="14:14" x14ac:dyDescent="0.25">
      <c r="N368" s="27"/>
    </row>
    <row r="369" spans="14:14" x14ac:dyDescent="0.25">
      <c r="N369" s="27"/>
    </row>
    <row r="370" spans="14:14" x14ac:dyDescent="0.25">
      <c r="N370" s="27"/>
    </row>
    <row r="371" spans="14:14" x14ac:dyDescent="0.25">
      <c r="N371" s="27"/>
    </row>
    <row r="372" spans="14:14" x14ac:dyDescent="0.25">
      <c r="N372" s="27"/>
    </row>
    <row r="373" spans="14:14" x14ac:dyDescent="0.25">
      <c r="N373" s="27"/>
    </row>
    <row r="374" spans="14:14" x14ac:dyDescent="0.25">
      <c r="N374" s="27"/>
    </row>
    <row r="375" spans="14:14" x14ac:dyDescent="0.25">
      <c r="N375" s="27"/>
    </row>
    <row r="376" spans="14:14" x14ac:dyDescent="0.25">
      <c r="N376" s="27"/>
    </row>
    <row r="377" spans="14:14" x14ac:dyDescent="0.25">
      <c r="N377" s="27"/>
    </row>
    <row r="378" spans="14:14" x14ac:dyDescent="0.25">
      <c r="N378" s="27"/>
    </row>
    <row r="379" spans="14:14" x14ac:dyDescent="0.25">
      <c r="N379" s="27"/>
    </row>
    <row r="380" spans="14:14" x14ac:dyDescent="0.25">
      <c r="N380" s="27"/>
    </row>
    <row r="381" spans="14:14" x14ac:dyDescent="0.25">
      <c r="N381" s="27"/>
    </row>
    <row r="382" spans="14:14" x14ac:dyDescent="0.25">
      <c r="N382" s="27"/>
    </row>
    <row r="383" spans="14:14" x14ac:dyDescent="0.25">
      <c r="N383" s="27"/>
    </row>
    <row r="384" spans="14:14" x14ac:dyDescent="0.25">
      <c r="N384" s="27"/>
    </row>
    <row r="385" spans="14:14" x14ac:dyDescent="0.25">
      <c r="N385" s="27"/>
    </row>
    <row r="386" spans="14:14" x14ac:dyDescent="0.25">
      <c r="N386" s="27"/>
    </row>
    <row r="387" spans="14:14" x14ac:dyDescent="0.25">
      <c r="N387" s="27"/>
    </row>
    <row r="388" spans="14:14" x14ac:dyDescent="0.25">
      <c r="N388" s="27"/>
    </row>
    <row r="389" spans="14:14" x14ac:dyDescent="0.25">
      <c r="N389" s="27"/>
    </row>
    <row r="390" spans="14:14" x14ac:dyDescent="0.25">
      <c r="N390" s="27"/>
    </row>
    <row r="391" spans="14:14" x14ac:dyDescent="0.25">
      <c r="N391" s="27"/>
    </row>
    <row r="392" spans="14:14" x14ac:dyDescent="0.25">
      <c r="N392" s="27"/>
    </row>
    <row r="393" spans="14:14" x14ac:dyDescent="0.25">
      <c r="N393" s="27"/>
    </row>
    <row r="394" spans="14:14" x14ac:dyDescent="0.25">
      <c r="N394" s="27"/>
    </row>
    <row r="395" spans="14:14" x14ac:dyDescent="0.25">
      <c r="N395" s="27"/>
    </row>
    <row r="396" spans="14:14" x14ac:dyDescent="0.25">
      <c r="N396" s="27"/>
    </row>
    <row r="397" spans="14:14" x14ac:dyDescent="0.25">
      <c r="N397" s="27"/>
    </row>
    <row r="398" spans="14:14" x14ac:dyDescent="0.25">
      <c r="N398" s="27"/>
    </row>
    <row r="399" spans="14:14" x14ac:dyDescent="0.25">
      <c r="N399" s="27"/>
    </row>
    <row r="400" spans="14:14" x14ac:dyDescent="0.25">
      <c r="N400" s="27"/>
    </row>
    <row r="401" spans="14:14" x14ac:dyDescent="0.25">
      <c r="N401" s="27"/>
    </row>
    <row r="402" spans="14:14" x14ac:dyDescent="0.25">
      <c r="N402" s="27"/>
    </row>
    <row r="403" spans="14:14" x14ac:dyDescent="0.25">
      <c r="N403" s="27"/>
    </row>
    <row r="404" spans="14:14" x14ac:dyDescent="0.25">
      <c r="N404" s="27"/>
    </row>
    <row r="405" spans="14:14" x14ac:dyDescent="0.25">
      <c r="N405" s="27"/>
    </row>
    <row r="406" spans="14:14" x14ac:dyDescent="0.25">
      <c r="N406" s="27"/>
    </row>
    <row r="407" spans="14:14" x14ac:dyDescent="0.25">
      <c r="N407" s="27"/>
    </row>
    <row r="408" spans="14:14" x14ac:dyDescent="0.25">
      <c r="N408" s="27"/>
    </row>
    <row r="409" spans="14:14" x14ac:dyDescent="0.25">
      <c r="N409" s="27"/>
    </row>
    <row r="410" spans="14:14" x14ac:dyDescent="0.25">
      <c r="N410" s="27"/>
    </row>
    <row r="411" spans="14:14" x14ac:dyDescent="0.25">
      <c r="N411" s="27"/>
    </row>
    <row r="412" spans="14:14" x14ac:dyDescent="0.25">
      <c r="N412" s="27"/>
    </row>
    <row r="413" spans="14:14" x14ac:dyDescent="0.25">
      <c r="N413" s="27"/>
    </row>
    <row r="414" spans="14:14" x14ac:dyDescent="0.25">
      <c r="N414" s="27"/>
    </row>
    <row r="415" spans="14:14" x14ac:dyDescent="0.25">
      <c r="N415" s="27"/>
    </row>
    <row r="416" spans="14:14" x14ac:dyDescent="0.25">
      <c r="N416" s="27"/>
    </row>
    <row r="417" spans="14:14" x14ac:dyDescent="0.25">
      <c r="N417" s="27"/>
    </row>
    <row r="418" spans="14:14" x14ac:dyDescent="0.25">
      <c r="N418" s="27"/>
    </row>
    <row r="419" spans="14:14" x14ac:dyDescent="0.25">
      <c r="N419" s="27"/>
    </row>
    <row r="420" spans="14:14" x14ac:dyDescent="0.25">
      <c r="N420" s="27"/>
    </row>
    <row r="421" spans="14:14" x14ac:dyDescent="0.25">
      <c r="N421" s="27"/>
    </row>
    <row r="422" spans="14:14" x14ac:dyDescent="0.25">
      <c r="N422" s="27"/>
    </row>
    <row r="423" spans="14:14" x14ac:dyDescent="0.25">
      <c r="N423" s="27"/>
    </row>
    <row r="424" spans="14:14" x14ac:dyDescent="0.25">
      <c r="N424" s="27"/>
    </row>
    <row r="425" spans="14:14" x14ac:dyDescent="0.25">
      <c r="N425" s="27"/>
    </row>
    <row r="426" spans="14:14" x14ac:dyDescent="0.25">
      <c r="N426" s="27"/>
    </row>
    <row r="427" spans="14:14" x14ac:dyDescent="0.25">
      <c r="N427" s="27"/>
    </row>
    <row r="428" spans="14:14" x14ac:dyDescent="0.25">
      <c r="N428" s="27"/>
    </row>
    <row r="429" spans="14:14" x14ac:dyDescent="0.25">
      <c r="N429" s="27"/>
    </row>
    <row r="430" spans="14:14" x14ac:dyDescent="0.25">
      <c r="N430" s="27"/>
    </row>
    <row r="431" spans="14:14" x14ac:dyDescent="0.25">
      <c r="N431" s="27"/>
    </row>
    <row r="432" spans="14:14" x14ac:dyDescent="0.25">
      <c r="N432" s="27"/>
    </row>
    <row r="433" spans="14:14" x14ac:dyDescent="0.25">
      <c r="N433" s="27"/>
    </row>
    <row r="434" spans="14:14" x14ac:dyDescent="0.25">
      <c r="N434" s="27"/>
    </row>
    <row r="435" spans="14:14" x14ac:dyDescent="0.25">
      <c r="N435" s="27"/>
    </row>
    <row r="436" spans="14:14" x14ac:dyDescent="0.25">
      <c r="N436" s="27"/>
    </row>
    <row r="437" spans="14:14" x14ac:dyDescent="0.25">
      <c r="N437" s="27"/>
    </row>
    <row r="438" spans="14:14" x14ac:dyDescent="0.25">
      <c r="N438" s="27"/>
    </row>
    <row r="439" spans="14:14" x14ac:dyDescent="0.25">
      <c r="N439" s="27"/>
    </row>
    <row r="440" spans="14:14" x14ac:dyDescent="0.25">
      <c r="N440" s="27"/>
    </row>
    <row r="441" spans="14:14" x14ac:dyDescent="0.25">
      <c r="N441" s="27"/>
    </row>
    <row r="442" spans="14:14" x14ac:dyDescent="0.25">
      <c r="N442" s="27"/>
    </row>
    <row r="443" spans="14:14" x14ac:dyDescent="0.25">
      <c r="N443" s="27"/>
    </row>
    <row r="444" spans="14:14" x14ac:dyDescent="0.25">
      <c r="N444" s="27"/>
    </row>
    <row r="445" spans="14:14" x14ac:dyDescent="0.25">
      <c r="N445" s="27"/>
    </row>
    <row r="446" spans="14:14" x14ac:dyDescent="0.25">
      <c r="N446" s="27"/>
    </row>
    <row r="447" spans="14:14" x14ac:dyDescent="0.25">
      <c r="N447" s="27"/>
    </row>
    <row r="448" spans="14:14" x14ac:dyDescent="0.25">
      <c r="N448" s="27"/>
    </row>
    <row r="449" spans="14:14" x14ac:dyDescent="0.25">
      <c r="N449" s="27"/>
    </row>
    <row r="450" spans="14:14" x14ac:dyDescent="0.25">
      <c r="N450" s="27"/>
    </row>
    <row r="451" spans="14:14" x14ac:dyDescent="0.25">
      <c r="N451" s="27"/>
    </row>
    <row r="452" spans="14:14" x14ac:dyDescent="0.25">
      <c r="N452" s="27"/>
    </row>
    <row r="453" spans="14:14" x14ac:dyDescent="0.25">
      <c r="N453" s="27"/>
    </row>
    <row r="454" spans="14:14" x14ac:dyDescent="0.25">
      <c r="N454" s="27"/>
    </row>
    <row r="455" spans="14:14" x14ac:dyDescent="0.25">
      <c r="N455" s="27"/>
    </row>
    <row r="456" spans="14:14" x14ac:dyDescent="0.25">
      <c r="N456" s="27"/>
    </row>
    <row r="457" spans="14:14" x14ac:dyDescent="0.25">
      <c r="N457" s="27"/>
    </row>
    <row r="458" spans="14:14" x14ac:dyDescent="0.25">
      <c r="N458" s="27"/>
    </row>
    <row r="459" spans="14:14" x14ac:dyDescent="0.25">
      <c r="N459" s="27"/>
    </row>
    <row r="460" spans="14:14" x14ac:dyDescent="0.25">
      <c r="N460" s="27"/>
    </row>
    <row r="461" spans="14:14" x14ac:dyDescent="0.25">
      <c r="N461" s="27"/>
    </row>
    <row r="462" spans="14:14" x14ac:dyDescent="0.25">
      <c r="N462" s="27"/>
    </row>
    <row r="463" spans="14:14" x14ac:dyDescent="0.25">
      <c r="N463" s="27"/>
    </row>
    <row r="464" spans="14:14" x14ac:dyDescent="0.25">
      <c r="N464" s="27"/>
    </row>
    <row r="465" spans="14:14" x14ac:dyDescent="0.25">
      <c r="N465" s="27"/>
    </row>
    <row r="466" spans="14:14" x14ac:dyDescent="0.25">
      <c r="N466" s="27"/>
    </row>
    <row r="467" spans="14:14" x14ac:dyDescent="0.25">
      <c r="N467" s="27"/>
    </row>
    <row r="468" spans="14:14" x14ac:dyDescent="0.25">
      <c r="N468" s="27"/>
    </row>
    <row r="469" spans="14:14" x14ac:dyDescent="0.25">
      <c r="N469" s="27"/>
    </row>
    <row r="470" spans="14:14" x14ac:dyDescent="0.25">
      <c r="N470" s="27"/>
    </row>
    <row r="471" spans="14:14" x14ac:dyDescent="0.25">
      <c r="N471" s="27"/>
    </row>
    <row r="472" spans="14:14" x14ac:dyDescent="0.25">
      <c r="N472" s="27"/>
    </row>
    <row r="473" spans="14:14" x14ac:dyDescent="0.25">
      <c r="N473" s="27"/>
    </row>
    <row r="474" spans="14:14" x14ac:dyDescent="0.25">
      <c r="N474" s="27"/>
    </row>
    <row r="475" spans="14:14" x14ac:dyDescent="0.25">
      <c r="N475" s="27"/>
    </row>
    <row r="476" spans="14:14" x14ac:dyDescent="0.25">
      <c r="N476" s="27"/>
    </row>
    <row r="477" spans="14:14" x14ac:dyDescent="0.25">
      <c r="N477" s="27"/>
    </row>
    <row r="478" spans="14:14" x14ac:dyDescent="0.25">
      <c r="N478" s="27"/>
    </row>
    <row r="479" spans="14:14" x14ac:dyDescent="0.25">
      <c r="N479" s="27"/>
    </row>
    <row r="480" spans="14:14" x14ac:dyDescent="0.25">
      <c r="N480" s="27"/>
    </row>
    <row r="481" spans="14:14" x14ac:dyDescent="0.25">
      <c r="N481" s="27"/>
    </row>
    <row r="482" spans="14:14" x14ac:dyDescent="0.25">
      <c r="N482" s="27"/>
    </row>
    <row r="483" spans="14:14" x14ac:dyDescent="0.25">
      <c r="N483" s="27"/>
    </row>
    <row r="484" spans="14:14" x14ac:dyDescent="0.25">
      <c r="N484" s="27"/>
    </row>
    <row r="485" spans="14:14" x14ac:dyDescent="0.25">
      <c r="N485" s="27"/>
    </row>
    <row r="486" spans="14:14" x14ac:dyDescent="0.25">
      <c r="N486" s="27"/>
    </row>
    <row r="487" spans="14:14" x14ac:dyDescent="0.25">
      <c r="N487" s="27"/>
    </row>
    <row r="488" spans="14:14" x14ac:dyDescent="0.25">
      <c r="N488" s="27"/>
    </row>
    <row r="489" spans="14:14" x14ac:dyDescent="0.25">
      <c r="N489" s="27"/>
    </row>
    <row r="490" spans="14:14" x14ac:dyDescent="0.25">
      <c r="N490" s="27"/>
    </row>
    <row r="491" spans="14:14" x14ac:dyDescent="0.25">
      <c r="N491" s="27"/>
    </row>
    <row r="492" spans="14:14" x14ac:dyDescent="0.25">
      <c r="N492" s="27"/>
    </row>
    <row r="493" spans="14:14" x14ac:dyDescent="0.25">
      <c r="N493" s="27"/>
    </row>
    <row r="494" spans="14:14" x14ac:dyDescent="0.25">
      <c r="N494" s="27"/>
    </row>
    <row r="495" spans="14:14" x14ac:dyDescent="0.25">
      <c r="N495" s="27"/>
    </row>
    <row r="496" spans="14:14" x14ac:dyDescent="0.25">
      <c r="N496" s="27"/>
    </row>
    <row r="497" spans="14:14" x14ac:dyDescent="0.25">
      <c r="N497" s="27"/>
    </row>
    <row r="498" spans="14:14" x14ac:dyDescent="0.25">
      <c r="N498" s="27"/>
    </row>
    <row r="499" spans="14:14" x14ac:dyDescent="0.25">
      <c r="N499" s="27"/>
    </row>
    <row r="500" spans="14:14" x14ac:dyDescent="0.25">
      <c r="N500" s="27"/>
    </row>
    <row r="501" spans="14:14" x14ac:dyDescent="0.25">
      <c r="N501" s="27"/>
    </row>
    <row r="502" spans="14:14" x14ac:dyDescent="0.25">
      <c r="N502" s="27"/>
    </row>
    <row r="503" spans="14:14" x14ac:dyDescent="0.25">
      <c r="N503" s="27"/>
    </row>
    <row r="504" spans="14:14" x14ac:dyDescent="0.25">
      <c r="N504" s="27"/>
    </row>
    <row r="505" spans="14:14" x14ac:dyDescent="0.25">
      <c r="N505" s="27"/>
    </row>
    <row r="506" spans="14:14" x14ac:dyDescent="0.25">
      <c r="N506" s="27"/>
    </row>
    <row r="507" spans="14:14" x14ac:dyDescent="0.25">
      <c r="N507" s="27"/>
    </row>
    <row r="508" spans="14:14" x14ac:dyDescent="0.25">
      <c r="N508" s="27"/>
    </row>
    <row r="509" spans="14:14" x14ac:dyDescent="0.25">
      <c r="N509" s="27"/>
    </row>
    <row r="510" spans="14:14" x14ac:dyDescent="0.25">
      <c r="N510" s="27"/>
    </row>
    <row r="511" spans="14:14" x14ac:dyDescent="0.25">
      <c r="N511" s="27"/>
    </row>
    <row r="512" spans="14:14" x14ac:dyDescent="0.25">
      <c r="N512" s="27"/>
    </row>
    <row r="513" spans="14:14" x14ac:dyDescent="0.25">
      <c r="N513" s="27"/>
    </row>
    <row r="514" spans="14:14" x14ac:dyDescent="0.25">
      <c r="N514" s="27"/>
    </row>
    <row r="515" spans="14:14" x14ac:dyDescent="0.25">
      <c r="N515" s="27"/>
    </row>
    <row r="516" spans="14:14" x14ac:dyDescent="0.25">
      <c r="N516" s="27"/>
    </row>
    <row r="517" spans="14:14" x14ac:dyDescent="0.25">
      <c r="N517" s="27"/>
    </row>
    <row r="518" spans="14:14" x14ac:dyDescent="0.25">
      <c r="N518" s="27"/>
    </row>
    <row r="519" spans="14:14" x14ac:dyDescent="0.25">
      <c r="N519" s="27"/>
    </row>
    <row r="520" spans="14:14" x14ac:dyDescent="0.25">
      <c r="N520" s="27"/>
    </row>
    <row r="521" spans="14:14" x14ac:dyDescent="0.25">
      <c r="N521" s="27"/>
    </row>
    <row r="522" spans="14:14" x14ac:dyDescent="0.25">
      <c r="N522" s="27"/>
    </row>
    <row r="523" spans="14:14" x14ac:dyDescent="0.25">
      <c r="N523" s="27"/>
    </row>
    <row r="524" spans="14:14" x14ac:dyDescent="0.25">
      <c r="N524" s="27"/>
    </row>
    <row r="525" spans="14:14" x14ac:dyDescent="0.25">
      <c r="N525" s="27"/>
    </row>
    <row r="526" spans="14:14" x14ac:dyDescent="0.25">
      <c r="N526" s="27"/>
    </row>
    <row r="527" spans="14:14" x14ac:dyDescent="0.25">
      <c r="N527" s="27"/>
    </row>
    <row r="528" spans="14:14" x14ac:dyDescent="0.25">
      <c r="N528" s="27"/>
    </row>
    <row r="529" spans="14:14" x14ac:dyDescent="0.25">
      <c r="N529" s="27"/>
    </row>
    <row r="530" spans="14:14" x14ac:dyDescent="0.25">
      <c r="N530" s="27"/>
    </row>
    <row r="531" spans="14:14" x14ac:dyDescent="0.25">
      <c r="N531" s="27"/>
    </row>
    <row r="532" spans="14:14" x14ac:dyDescent="0.25">
      <c r="N532" s="27"/>
    </row>
    <row r="533" spans="14:14" x14ac:dyDescent="0.25">
      <c r="N533" s="27"/>
    </row>
    <row r="534" spans="14:14" x14ac:dyDescent="0.25">
      <c r="N534" s="27"/>
    </row>
    <row r="535" spans="14:14" x14ac:dyDescent="0.25">
      <c r="N535" s="27"/>
    </row>
    <row r="536" spans="14:14" x14ac:dyDescent="0.25">
      <c r="N536" s="27"/>
    </row>
    <row r="537" spans="14:14" x14ac:dyDescent="0.25">
      <c r="N537" s="27"/>
    </row>
    <row r="538" spans="14:14" x14ac:dyDescent="0.25">
      <c r="N538" s="27"/>
    </row>
    <row r="539" spans="14:14" x14ac:dyDescent="0.25">
      <c r="N539" s="27"/>
    </row>
    <row r="540" spans="14:14" x14ac:dyDescent="0.25">
      <c r="N540" s="27"/>
    </row>
    <row r="541" spans="14:14" x14ac:dyDescent="0.25">
      <c r="N541" s="27"/>
    </row>
    <row r="542" spans="14:14" x14ac:dyDescent="0.25">
      <c r="N542" s="27"/>
    </row>
    <row r="543" spans="14:14" x14ac:dyDescent="0.25">
      <c r="N543" s="27"/>
    </row>
    <row r="544" spans="14:14" x14ac:dyDescent="0.25">
      <c r="N544" s="27"/>
    </row>
    <row r="545" spans="14:14" x14ac:dyDescent="0.25">
      <c r="N545" s="27"/>
    </row>
    <row r="546" spans="14:14" x14ac:dyDescent="0.25">
      <c r="N546" s="27"/>
    </row>
    <row r="547" spans="14:14" x14ac:dyDescent="0.25">
      <c r="N547" s="27"/>
    </row>
    <row r="548" spans="14:14" x14ac:dyDescent="0.25">
      <c r="N548" s="27"/>
    </row>
    <row r="549" spans="14:14" x14ac:dyDescent="0.25">
      <c r="N549" s="27"/>
    </row>
    <row r="550" spans="14:14" x14ac:dyDescent="0.25">
      <c r="N550" s="27"/>
    </row>
    <row r="551" spans="14:14" x14ac:dyDescent="0.25">
      <c r="N551" s="27"/>
    </row>
    <row r="552" spans="14:14" x14ac:dyDescent="0.25">
      <c r="N552" s="27"/>
    </row>
    <row r="553" spans="14:14" x14ac:dyDescent="0.25">
      <c r="N553" s="27"/>
    </row>
    <row r="554" spans="14:14" x14ac:dyDescent="0.25">
      <c r="N554" s="27"/>
    </row>
    <row r="555" spans="14:14" x14ac:dyDescent="0.25">
      <c r="N555" s="27"/>
    </row>
    <row r="556" spans="14:14" x14ac:dyDescent="0.25">
      <c r="N556" s="27"/>
    </row>
    <row r="557" spans="14:14" x14ac:dyDescent="0.25">
      <c r="N557" s="27"/>
    </row>
    <row r="558" spans="14:14" x14ac:dyDescent="0.25">
      <c r="N558" s="27"/>
    </row>
    <row r="559" spans="14:14" x14ac:dyDescent="0.25">
      <c r="N559" s="27"/>
    </row>
    <row r="560" spans="14:14" x14ac:dyDescent="0.25">
      <c r="N560" s="27"/>
    </row>
    <row r="561" spans="14:14" x14ac:dyDescent="0.25">
      <c r="N561" s="27"/>
    </row>
    <row r="562" spans="14:14" x14ac:dyDescent="0.25">
      <c r="N562" s="27"/>
    </row>
    <row r="563" spans="14:14" x14ac:dyDescent="0.25">
      <c r="N563" s="27"/>
    </row>
    <row r="564" spans="14:14" x14ac:dyDescent="0.25">
      <c r="N564" s="27"/>
    </row>
    <row r="565" spans="14:14" x14ac:dyDescent="0.25">
      <c r="N565" s="27"/>
    </row>
    <row r="566" spans="14:14" x14ac:dyDescent="0.25">
      <c r="N566" s="27"/>
    </row>
    <row r="567" spans="14:14" x14ac:dyDescent="0.25">
      <c r="N567" s="27"/>
    </row>
    <row r="568" spans="14:14" x14ac:dyDescent="0.25">
      <c r="N568" s="27"/>
    </row>
    <row r="569" spans="14:14" x14ac:dyDescent="0.25">
      <c r="N569" s="27"/>
    </row>
    <row r="570" spans="14:14" x14ac:dyDescent="0.25">
      <c r="N570" s="27"/>
    </row>
    <row r="571" spans="14:14" x14ac:dyDescent="0.25">
      <c r="N571" s="27"/>
    </row>
    <row r="572" spans="14:14" x14ac:dyDescent="0.25">
      <c r="N572" s="27"/>
    </row>
    <row r="573" spans="14:14" x14ac:dyDescent="0.25">
      <c r="N573" s="27"/>
    </row>
    <row r="574" spans="14:14" x14ac:dyDescent="0.25">
      <c r="N574" s="27"/>
    </row>
    <row r="575" spans="14:14" x14ac:dyDescent="0.25">
      <c r="N575" s="27"/>
    </row>
    <row r="576" spans="14:14" x14ac:dyDescent="0.25">
      <c r="N576" s="27"/>
    </row>
    <row r="577" spans="14:14" x14ac:dyDescent="0.25">
      <c r="N577" s="27"/>
    </row>
    <row r="578" spans="14:14" x14ac:dyDescent="0.25">
      <c r="N578" s="27"/>
    </row>
    <row r="579" spans="14:14" x14ac:dyDescent="0.25">
      <c r="N579" s="27"/>
    </row>
    <row r="580" spans="14:14" x14ac:dyDescent="0.25">
      <c r="N580" s="27"/>
    </row>
    <row r="581" spans="14:14" x14ac:dyDescent="0.25">
      <c r="N581" s="27"/>
    </row>
    <row r="582" spans="14:14" x14ac:dyDescent="0.25">
      <c r="N582" s="27"/>
    </row>
    <row r="583" spans="14:14" x14ac:dyDescent="0.25">
      <c r="N583" s="27"/>
    </row>
    <row r="584" spans="14:14" x14ac:dyDescent="0.25">
      <c r="N584" s="27"/>
    </row>
    <row r="585" spans="14:14" x14ac:dyDescent="0.25">
      <c r="N585" s="27"/>
    </row>
    <row r="586" spans="14:14" x14ac:dyDescent="0.25">
      <c r="N586" s="27"/>
    </row>
    <row r="587" spans="14:14" x14ac:dyDescent="0.25">
      <c r="N587" s="27"/>
    </row>
    <row r="588" spans="14:14" x14ac:dyDescent="0.25">
      <c r="N588" s="27"/>
    </row>
    <row r="589" spans="14:14" x14ac:dyDescent="0.25">
      <c r="N589" s="27"/>
    </row>
    <row r="590" spans="14:14" x14ac:dyDescent="0.25">
      <c r="N590" s="27"/>
    </row>
    <row r="591" spans="14:14" x14ac:dyDescent="0.25">
      <c r="N591" s="27"/>
    </row>
    <row r="592" spans="14:14" x14ac:dyDescent="0.25">
      <c r="N592" s="27"/>
    </row>
    <row r="593" spans="14:14" x14ac:dyDescent="0.25">
      <c r="N593" s="27"/>
    </row>
    <row r="594" spans="14:14" x14ac:dyDescent="0.25">
      <c r="N594" s="27"/>
    </row>
    <row r="595" spans="14:14" x14ac:dyDescent="0.25">
      <c r="N595" s="27"/>
    </row>
    <row r="596" spans="14:14" x14ac:dyDescent="0.25">
      <c r="N596" s="27"/>
    </row>
    <row r="597" spans="14:14" x14ac:dyDescent="0.25">
      <c r="N597" s="27"/>
    </row>
    <row r="598" spans="14:14" x14ac:dyDescent="0.25">
      <c r="N598" s="27"/>
    </row>
    <row r="599" spans="14:14" x14ac:dyDescent="0.25">
      <c r="N599" s="27"/>
    </row>
    <row r="600" spans="14:14" x14ac:dyDescent="0.25">
      <c r="N600" s="27"/>
    </row>
    <row r="601" spans="14:14" x14ac:dyDescent="0.25">
      <c r="N601" s="27"/>
    </row>
    <row r="602" spans="14:14" x14ac:dyDescent="0.25">
      <c r="N602" s="27"/>
    </row>
    <row r="603" spans="14:14" x14ac:dyDescent="0.25">
      <c r="N603" s="27"/>
    </row>
    <row r="604" spans="14:14" x14ac:dyDescent="0.25">
      <c r="N604" s="27"/>
    </row>
    <row r="605" spans="14:14" x14ac:dyDescent="0.25">
      <c r="N605" s="27"/>
    </row>
    <row r="606" spans="14:14" x14ac:dyDescent="0.25">
      <c r="N606" s="27"/>
    </row>
    <row r="607" spans="14:14" x14ac:dyDescent="0.25">
      <c r="N607" s="27"/>
    </row>
    <row r="608" spans="14:14" x14ac:dyDescent="0.25">
      <c r="N608" s="27"/>
    </row>
    <row r="609" spans="14:14" x14ac:dyDescent="0.25">
      <c r="N609" s="27"/>
    </row>
    <row r="610" spans="14:14" x14ac:dyDescent="0.25">
      <c r="N610" s="27"/>
    </row>
    <row r="611" spans="14:14" x14ac:dyDescent="0.25">
      <c r="N611" s="27"/>
    </row>
    <row r="612" spans="14:14" x14ac:dyDescent="0.25">
      <c r="N612" s="27"/>
    </row>
    <row r="613" spans="14:14" x14ac:dyDescent="0.25">
      <c r="N613" s="27"/>
    </row>
    <row r="614" spans="14:14" x14ac:dyDescent="0.25">
      <c r="N614" s="27"/>
    </row>
    <row r="615" spans="14:14" x14ac:dyDescent="0.25">
      <c r="N615" s="27"/>
    </row>
    <row r="616" spans="14:14" x14ac:dyDescent="0.25">
      <c r="N616" s="27"/>
    </row>
    <row r="617" spans="14:14" x14ac:dyDescent="0.25">
      <c r="N617" s="27"/>
    </row>
    <row r="618" spans="14:14" x14ac:dyDescent="0.25">
      <c r="N618" s="27"/>
    </row>
    <row r="619" spans="14:14" x14ac:dyDescent="0.25">
      <c r="N619" s="27"/>
    </row>
    <row r="620" spans="14:14" x14ac:dyDescent="0.25">
      <c r="N620" s="27"/>
    </row>
    <row r="621" spans="14:14" x14ac:dyDescent="0.25">
      <c r="N621" s="27"/>
    </row>
    <row r="622" spans="14:14" x14ac:dyDescent="0.25">
      <c r="N622" s="27"/>
    </row>
    <row r="623" spans="14:14" x14ac:dyDescent="0.25">
      <c r="N623" s="27"/>
    </row>
    <row r="624" spans="14:14" x14ac:dyDescent="0.25">
      <c r="N624" s="27"/>
    </row>
    <row r="625" spans="14:14" x14ac:dyDescent="0.25">
      <c r="N625" s="27"/>
    </row>
    <row r="626" spans="14:14" x14ac:dyDescent="0.25">
      <c r="N626" s="27"/>
    </row>
    <row r="627" spans="14:14" x14ac:dyDescent="0.25">
      <c r="N627" s="27"/>
    </row>
    <row r="628" spans="14:14" x14ac:dyDescent="0.25">
      <c r="N628" s="27"/>
    </row>
    <row r="629" spans="14:14" x14ac:dyDescent="0.25">
      <c r="N629" s="27"/>
    </row>
    <row r="630" spans="14:14" x14ac:dyDescent="0.25">
      <c r="N630" s="27"/>
    </row>
    <row r="631" spans="14:14" x14ac:dyDescent="0.25">
      <c r="N631" s="27"/>
    </row>
    <row r="632" spans="14:14" x14ac:dyDescent="0.25">
      <c r="N632" s="27"/>
    </row>
    <row r="633" spans="14:14" x14ac:dyDescent="0.25">
      <c r="N633" s="27"/>
    </row>
    <row r="634" spans="14:14" x14ac:dyDescent="0.25">
      <c r="N634" s="27"/>
    </row>
    <row r="635" spans="14:14" x14ac:dyDescent="0.25">
      <c r="N635" s="27"/>
    </row>
    <row r="636" spans="14:14" x14ac:dyDescent="0.25">
      <c r="N636" s="27"/>
    </row>
    <row r="637" spans="14:14" x14ac:dyDescent="0.25">
      <c r="N637" s="27"/>
    </row>
    <row r="638" spans="14:14" x14ac:dyDescent="0.25">
      <c r="N638" s="27"/>
    </row>
    <row r="639" spans="14:14" x14ac:dyDescent="0.25">
      <c r="N639" s="27"/>
    </row>
    <row r="640" spans="14:14" x14ac:dyDescent="0.25">
      <c r="N640" s="27"/>
    </row>
    <row r="641" spans="14:14" x14ac:dyDescent="0.25">
      <c r="N641" s="27"/>
    </row>
    <row r="642" spans="14:14" x14ac:dyDescent="0.25">
      <c r="N642" s="27"/>
    </row>
    <row r="643" spans="14:14" x14ac:dyDescent="0.25">
      <c r="N643" s="27"/>
    </row>
    <row r="644" spans="14:14" x14ac:dyDescent="0.25">
      <c r="N644" s="27"/>
    </row>
    <row r="645" spans="14:14" x14ac:dyDescent="0.25">
      <c r="N645" s="27"/>
    </row>
    <row r="646" spans="14:14" x14ac:dyDescent="0.25">
      <c r="N646" s="27"/>
    </row>
    <row r="647" spans="14:14" x14ac:dyDescent="0.25">
      <c r="N647" s="27"/>
    </row>
    <row r="648" spans="14:14" x14ac:dyDescent="0.25">
      <c r="N648" s="27"/>
    </row>
    <row r="649" spans="14:14" x14ac:dyDescent="0.25">
      <c r="N649" s="27"/>
    </row>
    <row r="650" spans="14:14" x14ac:dyDescent="0.25">
      <c r="N650" s="27"/>
    </row>
    <row r="651" spans="14:14" x14ac:dyDescent="0.25">
      <c r="N651" s="27"/>
    </row>
    <row r="652" spans="14:14" x14ac:dyDescent="0.25">
      <c r="N652" s="27"/>
    </row>
    <row r="653" spans="14:14" x14ac:dyDescent="0.25">
      <c r="N653" s="27"/>
    </row>
    <row r="654" spans="14:14" x14ac:dyDescent="0.25">
      <c r="N654" s="27"/>
    </row>
    <row r="655" spans="14:14" x14ac:dyDescent="0.25">
      <c r="N655" s="27"/>
    </row>
    <row r="656" spans="14:14" x14ac:dyDescent="0.25">
      <c r="N656" s="27"/>
    </row>
    <row r="657" spans="14:14" x14ac:dyDescent="0.25">
      <c r="N657" s="27"/>
    </row>
    <row r="658" spans="14:14" x14ac:dyDescent="0.25">
      <c r="N658" s="27"/>
    </row>
    <row r="659" spans="14:14" x14ac:dyDescent="0.25">
      <c r="N659" s="27"/>
    </row>
    <row r="660" spans="14:14" x14ac:dyDescent="0.25">
      <c r="N660" s="27"/>
    </row>
    <row r="661" spans="14:14" x14ac:dyDescent="0.25">
      <c r="N661" s="27"/>
    </row>
    <row r="662" spans="14:14" x14ac:dyDescent="0.25">
      <c r="N662" s="27"/>
    </row>
    <row r="663" spans="14:14" x14ac:dyDescent="0.25">
      <c r="N663" s="27"/>
    </row>
    <row r="664" spans="14:14" x14ac:dyDescent="0.25">
      <c r="N664" s="27"/>
    </row>
    <row r="665" spans="14:14" x14ac:dyDescent="0.25">
      <c r="N665" s="27"/>
    </row>
    <row r="666" spans="14:14" x14ac:dyDescent="0.25">
      <c r="N666" s="27"/>
    </row>
    <row r="667" spans="14:14" x14ac:dyDescent="0.25">
      <c r="N667" s="27"/>
    </row>
    <row r="668" spans="14:14" x14ac:dyDescent="0.25">
      <c r="N668" s="27"/>
    </row>
    <row r="669" spans="14:14" x14ac:dyDescent="0.25">
      <c r="N669" s="27"/>
    </row>
    <row r="670" spans="14:14" x14ac:dyDescent="0.25">
      <c r="N670" s="27"/>
    </row>
    <row r="671" spans="14:14" x14ac:dyDescent="0.25">
      <c r="N671" s="27"/>
    </row>
    <row r="672" spans="14:14" x14ac:dyDescent="0.25">
      <c r="N672" s="27"/>
    </row>
    <row r="673" spans="14:14" x14ac:dyDescent="0.25">
      <c r="N673" s="27"/>
    </row>
    <row r="674" spans="14:14" x14ac:dyDescent="0.25">
      <c r="N674" s="27"/>
    </row>
    <row r="675" spans="14:14" x14ac:dyDescent="0.25">
      <c r="N675" s="27"/>
    </row>
    <row r="676" spans="14:14" x14ac:dyDescent="0.25">
      <c r="N676" s="27"/>
    </row>
    <row r="677" spans="14:14" x14ac:dyDescent="0.25">
      <c r="N677" s="27"/>
    </row>
    <row r="678" spans="14:14" x14ac:dyDescent="0.25">
      <c r="N678" s="27"/>
    </row>
    <row r="679" spans="14:14" x14ac:dyDescent="0.25">
      <c r="N679" s="27"/>
    </row>
    <row r="680" spans="14:14" x14ac:dyDescent="0.25">
      <c r="N680" s="27"/>
    </row>
    <row r="681" spans="14:14" x14ac:dyDescent="0.25">
      <c r="N681" s="27"/>
    </row>
    <row r="682" spans="14:14" x14ac:dyDescent="0.25">
      <c r="N682" s="27"/>
    </row>
    <row r="683" spans="14:14" x14ac:dyDescent="0.25">
      <c r="N683" s="27"/>
    </row>
    <row r="684" spans="14:14" x14ac:dyDescent="0.25">
      <c r="N684" s="27"/>
    </row>
    <row r="685" spans="14:14" x14ac:dyDescent="0.25">
      <c r="N685" s="27"/>
    </row>
    <row r="686" spans="14:14" x14ac:dyDescent="0.25">
      <c r="N686" s="27"/>
    </row>
    <row r="687" spans="14:14" x14ac:dyDescent="0.25">
      <c r="N687" s="27"/>
    </row>
    <row r="688" spans="14:14" x14ac:dyDescent="0.25">
      <c r="N688" s="27"/>
    </row>
    <row r="689" spans="14:14" x14ac:dyDescent="0.25">
      <c r="N689" s="27"/>
    </row>
    <row r="690" spans="14:14" x14ac:dyDescent="0.25">
      <c r="N690" s="27"/>
    </row>
    <row r="691" spans="14:14" x14ac:dyDescent="0.25">
      <c r="N691" s="27"/>
    </row>
    <row r="692" spans="14:14" x14ac:dyDescent="0.25">
      <c r="N692" s="27"/>
    </row>
    <row r="693" spans="14:14" x14ac:dyDescent="0.25">
      <c r="N693" s="27"/>
    </row>
    <row r="694" spans="14:14" x14ac:dyDescent="0.25">
      <c r="N694" s="27"/>
    </row>
    <row r="695" spans="14:14" x14ac:dyDescent="0.25">
      <c r="N695" s="27"/>
    </row>
    <row r="696" spans="14:14" x14ac:dyDescent="0.25">
      <c r="N696" s="27"/>
    </row>
    <row r="697" spans="14:14" x14ac:dyDescent="0.25">
      <c r="N697" s="27"/>
    </row>
    <row r="698" spans="14:14" x14ac:dyDescent="0.25">
      <c r="N698" s="27"/>
    </row>
    <row r="699" spans="14:14" x14ac:dyDescent="0.25">
      <c r="N699" s="27"/>
    </row>
    <row r="700" spans="14:14" x14ac:dyDescent="0.25">
      <c r="N700" s="27"/>
    </row>
    <row r="701" spans="14:14" x14ac:dyDescent="0.25">
      <c r="N701" s="27"/>
    </row>
    <row r="702" spans="14:14" x14ac:dyDescent="0.25">
      <c r="N702" s="27"/>
    </row>
    <row r="703" spans="14:14" x14ac:dyDescent="0.25">
      <c r="N703" s="27"/>
    </row>
    <row r="704" spans="14:14" x14ac:dyDescent="0.25">
      <c r="N704" s="27"/>
    </row>
    <row r="705" spans="14:14" x14ac:dyDescent="0.25">
      <c r="N705" s="27"/>
    </row>
    <row r="706" spans="14:14" x14ac:dyDescent="0.25">
      <c r="N706" s="27"/>
    </row>
    <row r="707" spans="14:14" x14ac:dyDescent="0.25">
      <c r="N707" s="27"/>
    </row>
    <row r="708" spans="14:14" x14ac:dyDescent="0.25">
      <c r="N708" s="27"/>
    </row>
    <row r="709" spans="14:14" x14ac:dyDescent="0.25">
      <c r="N709" s="27"/>
    </row>
    <row r="710" spans="14:14" x14ac:dyDescent="0.25">
      <c r="N710" s="27"/>
    </row>
    <row r="711" spans="14:14" x14ac:dyDescent="0.25">
      <c r="N711" s="27"/>
    </row>
    <row r="712" spans="14:14" x14ac:dyDescent="0.25">
      <c r="N712" s="27"/>
    </row>
    <row r="713" spans="14:14" x14ac:dyDescent="0.25">
      <c r="N713" s="27"/>
    </row>
    <row r="714" spans="14:14" x14ac:dyDescent="0.25">
      <c r="N714" s="27"/>
    </row>
    <row r="715" spans="14:14" x14ac:dyDescent="0.25">
      <c r="N715" s="27"/>
    </row>
    <row r="716" spans="14:14" x14ac:dyDescent="0.25">
      <c r="N716" s="27"/>
    </row>
    <row r="717" spans="14:14" x14ac:dyDescent="0.25">
      <c r="N717" s="27"/>
    </row>
    <row r="718" spans="14:14" x14ac:dyDescent="0.25">
      <c r="N718" s="27"/>
    </row>
    <row r="719" spans="14:14" x14ac:dyDescent="0.25">
      <c r="N719" s="27"/>
    </row>
    <row r="720" spans="14:14" x14ac:dyDescent="0.25">
      <c r="N720" s="27"/>
    </row>
    <row r="721" spans="14:14" x14ac:dyDescent="0.25">
      <c r="N721" s="27"/>
    </row>
    <row r="722" spans="14:14" x14ac:dyDescent="0.25">
      <c r="N722" s="27"/>
    </row>
    <row r="723" spans="14:14" x14ac:dyDescent="0.25">
      <c r="N723" s="27"/>
    </row>
    <row r="724" spans="14:14" x14ac:dyDescent="0.25">
      <c r="N724" s="27"/>
    </row>
    <row r="725" spans="14:14" x14ac:dyDescent="0.25">
      <c r="N725" s="27"/>
    </row>
    <row r="726" spans="14:14" x14ac:dyDescent="0.25">
      <c r="N726" s="27"/>
    </row>
    <row r="727" spans="14:14" x14ac:dyDescent="0.25">
      <c r="N727" s="27"/>
    </row>
    <row r="728" spans="14:14" x14ac:dyDescent="0.25">
      <c r="N728" s="27"/>
    </row>
    <row r="729" spans="14:14" x14ac:dyDescent="0.25">
      <c r="N729" s="27"/>
    </row>
    <row r="730" spans="14:14" x14ac:dyDescent="0.25">
      <c r="N730" s="27"/>
    </row>
    <row r="731" spans="14:14" x14ac:dyDescent="0.25">
      <c r="N731" s="27"/>
    </row>
    <row r="732" spans="14:14" x14ac:dyDescent="0.25">
      <c r="N732" s="27"/>
    </row>
    <row r="733" spans="14:14" x14ac:dyDescent="0.25">
      <c r="N733" s="27"/>
    </row>
    <row r="734" spans="14:14" x14ac:dyDescent="0.25">
      <c r="N734" s="27"/>
    </row>
    <row r="735" spans="14:14" x14ac:dyDescent="0.25">
      <c r="N735" s="27"/>
    </row>
    <row r="736" spans="14:14" x14ac:dyDescent="0.25">
      <c r="N736" s="27"/>
    </row>
    <row r="737" spans="14:14" x14ac:dyDescent="0.25">
      <c r="N737" s="27"/>
    </row>
    <row r="738" spans="14:14" x14ac:dyDescent="0.25">
      <c r="N738" s="27"/>
    </row>
    <row r="739" spans="14:14" x14ac:dyDescent="0.25">
      <c r="N739" s="27"/>
    </row>
    <row r="740" spans="14:14" x14ac:dyDescent="0.25">
      <c r="N740" s="27"/>
    </row>
    <row r="741" spans="14:14" x14ac:dyDescent="0.25">
      <c r="N741" s="27"/>
    </row>
    <row r="742" spans="14:14" x14ac:dyDescent="0.25">
      <c r="N742" s="27"/>
    </row>
    <row r="743" spans="14:14" x14ac:dyDescent="0.25">
      <c r="N743" s="27"/>
    </row>
    <row r="744" spans="14:14" x14ac:dyDescent="0.25">
      <c r="N744" s="27"/>
    </row>
    <row r="745" spans="14:14" x14ac:dyDescent="0.25">
      <c r="N745" s="27"/>
    </row>
    <row r="746" spans="14:14" x14ac:dyDescent="0.25">
      <c r="N746" s="27"/>
    </row>
    <row r="747" spans="14:14" x14ac:dyDescent="0.25">
      <c r="N747" s="27"/>
    </row>
    <row r="748" spans="14:14" x14ac:dyDescent="0.25">
      <c r="N748" s="27"/>
    </row>
    <row r="749" spans="14:14" x14ac:dyDescent="0.25">
      <c r="N749" s="27"/>
    </row>
    <row r="750" spans="14:14" x14ac:dyDescent="0.25">
      <c r="N750" s="27"/>
    </row>
    <row r="751" spans="14:14" x14ac:dyDescent="0.25">
      <c r="N751" s="27"/>
    </row>
    <row r="752" spans="14:14" x14ac:dyDescent="0.25">
      <c r="N752" s="27"/>
    </row>
    <row r="753" spans="14:14" x14ac:dyDescent="0.25">
      <c r="N753" s="27"/>
    </row>
    <row r="754" spans="14:14" x14ac:dyDescent="0.25">
      <c r="N754" s="27"/>
    </row>
    <row r="755" spans="14:14" x14ac:dyDescent="0.25">
      <c r="N755" s="27"/>
    </row>
    <row r="756" spans="14:14" x14ac:dyDescent="0.25">
      <c r="N756" s="27"/>
    </row>
    <row r="757" spans="14:14" x14ac:dyDescent="0.25">
      <c r="N757" s="27"/>
    </row>
    <row r="758" spans="14:14" x14ac:dyDescent="0.25">
      <c r="N758" s="27"/>
    </row>
    <row r="759" spans="14:14" x14ac:dyDescent="0.25">
      <c r="N759" s="27"/>
    </row>
    <row r="760" spans="14:14" x14ac:dyDescent="0.25">
      <c r="N760" s="27"/>
    </row>
    <row r="761" spans="14:14" x14ac:dyDescent="0.25">
      <c r="N761" s="27"/>
    </row>
    <row r="762" spans="14:14" x14ac:dyDescent="0.25">
      <c r="N762" s="27"/>
    </row>
    <row r="763" spans="14:14" x14ac:dyDescent="0.25">
      <c r="N763" s="27"/>
    </row>
    <row r="764" spans="14:14" x14ac:dyDescent="0.25">
      <c r="N764" s="27"/>
    </row>
    <row r="765" spans="14:14" x14ac:dyDescent="0.25">
      <c r="N765" s="27"/>
    </row>
    <row r="766" spans="14:14" x14ac:dyDescent="0.25">
      <c r="N766" s="27"/>
    </row>
    <row r="767" spans="14:14" x14ac:dyDescent="0.25">
      <c r="N767" s="27"/>
    </row>
    <row r="768" spans="14:14" x14ac:dyDescent="0.25">
      <c r="N768" s="27"/>
    </row>
    <row r="769" spans="14:14" x14ac:dyDescent="0.25">
      <c r="N769" s="27"/>
    </row>
    <row r="770" spans="14:14" x14ac:dyDescent="0.25">
      <c r="N770" s="27"/>
    </row>
    <row r="771" spans="14:14" x14ac:dyDescent="0.25">
      <c r="N771" s="27"/>
    </row>
    <row r="772" spans="14:14" x14ac:dyDescent="0.25">
      <c r="N772" s="27"/>
    </row>
    <row r="773" spans="14:14" x14ac:dyDescent="0.25">
      <c r="N773" s="27"/>
    </row>
    <row r="774" spans="14:14" x14ac:dyDescent="0.25">
      <c r="N774" s="27"/>
    </row>
    <row r="775" spans="14:14" x14ac:dyDescent="0.25">
      <c r="N775" s="27"/>
    </row>
    <row r="776" spans="14:14" x14ac:dyDescent="0.25">
      <c r="N776" s="27"/>
    </row>
    <row r="777" spans="14:14" x14ac:dyDescent="0.25">
      <c r="N777" s="27"/>
    </row>
    <row r="778" spans="14:14" x14ac:dyDescent="0.25">
      <c r="N778" s="27"/>
    </row>
    <row r="779" spans="14:14" x14ac:dyDescent="0.25">
      <c r="N779" s="27"/>
    </row>
    <row r="780" spans="14:14" x14ac:dyDescent="0.25">
      <c r="N780" s="27"/>
    </row>
    <row r="781" spans="14:14" x14ac:dyDescent="0.25">
      <c r="N781" s="27"/>
    </row>
    <row r="782" spans="14:14" x14ac:dyDescent="0.25">
      <c r="N782" s="27"/>
    </row>
    <row r="783" spans="14:14" x14ac:dyDescent="0.25">
      <c r="N783" s="27"/>
    </row>
    <row r="784" spans="14:14" x14ac:dyDescent="0.25">
      <c r="N784" s="27"/>
    </row>
    <row r="785" spans="14:14" x14ac:dyDescent="0.25">
      <c r="N785" s="27"/>
    </row>
    <row r="786" spans="14:14" x14ac:dyDescent="0.25">
      <c r="N786" s="27"/>
    </row>
    <row r="787" spans="14:14" x14ac:dyDescent="0.25">
      <c r="N787" s="27"/>
    </row>
    <row r="788" spans="14:14" x14ac:dyDescent="0.25">
      <c r="N788" s="27"/>
    </row>
    <row r="789" spans="14:14" x14ac:dyDescent="0.25">
      <c r="N789" s="27"/>
    </row>
    <row r="790" spans="14:14" x14ac:dyDescent="0.25">
      <c r="N790" s="27"/>
    </row>
    <row r="791" spans="14:14" x14ac:dyDescent="0.25">
      <c r="N791" s="27"/>
    </row>
    <row r="792" spans="14:14" x14ac:dyDescent="0.25">
      <c r="N792" s="27"/>
    </row>
    <row r="793" spans="14:14" x14ac:dyDescent="0.25">
      <c r="N793" s="27"/>
    </row>
    <row r="794" spans="14:14" x14ac:dyDescent="0.25">
      <c r="N794" s="27"/>
    </row>
    <row r="795" spans="14:14" x14ac:dyDescent="0.25">
      <c r="N795" s="27"/>
    </row>
    <row r="796" spans="14:14" x14ac:dyDescent="0.25">
      <c r="N796" s="27"/>
    </row>
    <row r="797" spans="14:14" x14ac:dyDescent="0.25">
      <c r="N797" s="27"/>
    </row>
    <row r="798" spans="14:14" x14ac:dyDescent="0.25">
      <c r="N798" s="27"/>
    </row>
    <row r="799" spans="14:14" x14ac:dyDescent="0.25">
      <c r="N799" s="27"/>
    </row>
    <row r="800" spans="14:14" x14ac:dyDescent="0.25">
      <c r="N800" s="27"/>
    </row>
    <row r="801" spans="14:14" x14ac:dyDescent="0.25">
      <c r="N801" s="27"/>
    </row>
    <row r="802" spans="14:14" x14ac:dyDescent="0.25">
      <c r="N802" s="27"/>
    </row>
    <row r="803" spans="14:14" x14ac:dyDescent="0.25">
      <c r="N803" s="27"/>
    </row>
    <row r="804" spans="14:14" x14ac:dyDescent="0.25">
      <c r="N804" s="27"/>
    </row>
    <row r="805" spans="14:14" x14ac:dyDescent="0.25">
      <c r="N805" s="27"/>
    </row>
    <row r="806" spans="14:14" x14ac:dyDescent="0.25">
      <c r="N806" s="27"/>
    </row>
    <row r="807" spans="14:14" x14ac:dyDescent="0.25">
      <c r="N807" s="27"/>
    </row>
    <row r="808" spans="14:14" x14ac:dyDescent="0.25">
      <c r="N808" s="27"/>
    </row>
    <row r="809" spans="14:14" x14ac:dyDescent="0.25">
      <c r="N809" s="27"/>
    </row>
    <row r="810" spans="14:14" x14ac:dyDescent="0.25">
      <c r="N810" s="27"/>
    </row>
    <row r="811" spans="14:14" x14ac:dyDescent="0.25">
      <c r="N811" s="27"/>
    </row>
    <row r="812" spans="14:14" x14ac:dyDescent="0.25">
      <c r="N812" s="27"/>
    </row>
    <row r="813" spans="14:14" x14ac:dyDescent="0.25">
      <c r="N813" s="27"/>
    </row>
    <row r="814" spans="14:14" x14ac:dyDescent="0.25">
      <c r="N814" s="27"/>
    </row>
    <row r="815" spans="14:14" x14ac:dyDescent="0.25">
      <c r="N815" s="27"/>
    </row>
    <row r="816" spans="14:14" x14ac:dyDescent="0.25">
      <c r="N816" s="27"/>
    </row>
    <row r="817" spans="14:14" x14ac:dyDescent="0.25">
      <c r="N817" s="27"/>
    </row>
    <row r="818" spans="14:14" x14ac:dyDescent="0.25">
      <c r="N818" s="27"/>
    </row>
    <row r="819" spans="14:14" x14ac:dyDescent="0.25">
      <c r="N819" s="27"/>
    </row>
    <row r="820" spans="14:14" x14ac:dyDescent="0.25">
      <c r="N820" s="27"/>
    </row>
    <row r="821" spans="14:14" x14ac:dyDescent="0.25">
      <c r="N821" s="27"/>
    </row>
    <row r="822" spans="14:14" x14ac:dyDescent="0.25">
      <c r="N822" s="27"/>
    </row>
    <row r="823" spans="14:14" x14ac:dyDescent="0.25">
      <c r="N823" s="27"/>
    </row>
    <row r="824" spans="14:14" x14ac:dyDescent="0.25">
      <c r="N824" s="27"/>
    </row>
    <row r="825" spans="14:14" x14ac:dyDescent="0.25">
      <c r="N825" s="27"/>
    </row>
    <row r="826" spans="14:14" x14ac:dyDescent="0.25">
      <c r="N826" s="27"/>
    </row>
    <row r="827" spans="14:14" x14ac:dyDescent="0.25">
      <c r="N827" s="27"/>
    </row>
    <row r="828" spans="14:14" x14ac:dyDescent="0.25">
      <c r="N828" s="27"/>
    </row>
    <row r="829" spans="14:14" x14ac:dyDescent="0.25">
      <c r="N829" s="27"/>
    </row>
    <row r="830" spans="14:14" x14ac:dyDescent="0.25">
      <c r="N830" s="27"/>
    </row>
    <row r="831" spans="14:14" x14ac:dyDescent="0.25">
      <c r="N831" s="27"/>
    </row>
    <row r="832" spans="14:14" x14ac:dyDescent="0.25">
      <c r="N832" s="27"/>
    </row>
    <row r="833" spans="14:14" x14ac:dyDescent="0.25">
      <c r="N833" s="27"/>
    </row>
    <row r="834" spans="14:14" x14ac:dyDescent="0.25">
      <c r="N834" s="27"/>
    </row>
    <row r="835" spans="14:14" x14ac:dyDescent="0.25">
      <c r="N835" s="27"/>
    </row>
    <row r="836" spans="14:14" x14ac:dyDescent="0.25">
      <c r="N836" s="27"/>
    </row>
    <row r="837" spans="14:14" x14ac:dyDescent="0.25">
      <c r="N837" s="27"/>
    </row>
    <row r="838" spans="14:14" x14ac:dyDescent="0.25">
      <c r="N838" s="27"/>
    </row>
    <row r="839" spans="14:14" x14ac:dyDescent="0.25">
      <c r="N839" s="27"/>
    </row>
    <row r="840" spans="14:14" x14ac:dyDescent="0.25">
      <c r="N840" s="27"/>
    </row>
    <row r="841" spans="14:14" x14ac:dyDescent="0.25">
      <c r="N841" s="27"/>
    </row>
    <row r="842" spans="14:14" x14ac:dyDescent="0.25">
      <c r="N842" s="27"/>
    </row>
    <row r="843" spans="14:14" x14ac:dyDescent="0.25">
      <c r="N843" s="27"/>
    </row>
    <row r="844" spans="14:14" x14ac:dyDescent="0.25">
      <c r="N844" s="27"/>
    </row>
    <row r="845" spans="14:14" x14ac:dyDescent="0.25">
      <c r="N845" s="27"/>
    </row>
    <row r="846" spans="14:14" x14ac:dyDescent="0.25">
      <c r="N846" s="27"/>
    </row>
    <row r="847" spans="14:14" x14ac:dyDescent="0.25">
      <c r="N847" s="27"/>
    </row>
    <row r="848" spans="14:14" x14ac:dyDescent="0.25">
      <c r="N848" s="27"/>
    </row>
    <row r="849" spans="14:14" x14ac:dyDescent="0.25">
      <c r="N849" s="27"/>
    </row>
    <row r="850" spans="14:14" x14ac:dyDescent="0.25">
      <c r="N850" s="27"/>
    </row>
    <row r="851" spans="14:14" x14ac:dyDescent="0.25">
      <c r="N851" s="27"/>
    </row>
    <row r="852" spans="14:14" x14ac:dyDescent="0.25">
      <c r="N852" s="27"/>
    </row>
    <row r="853" spans="14:14" x14ac:dyDescent="0.25">
      <c r="N853" s="27"/>
    </row>
    <row r="854" spans="14:14" x14ac:dyDescent="0.25">
      <c r="N854" s="27"/>
    </row>
    <row r="855" spans="14:14" x14ac:dyDescent="0.25">
      <c r="N855" s="27"/>
    </row>
    <row r="856" spans="14:14" x14ac:dyDescent="0.25">
      <c r="N856" s="27"/>
    </row>
    <row r="857" spans="14:14" x14ac:dyDescent="0.25">
      <c r="N857" s="27"/>
    </row>
    <row r="858" spans="14:14" x14ac:dyDescent="0.25">
      <c r="N858" s="27"/>
    </row>
    <row r="859" spans="14:14" x14ac:dyDescent="0.25">
      <c r="N859" s="27"/>
    </row>
    <row r="860" spans="14:14" x14ac:dyDescent="0.25">
      <c r="N860" s="27"/>
    </row>
    <row r="861" spans="14:14" x14ac:dyDescent="0.25">
      <c r="N861" s="27"/>
    </row>
    <row r="862" spans="14:14" x14ac:dyDescent="0.25">
      <c r="N862" s="27"/>
    </row>
    <row r="863" spans="14:14" x14ac:dyDescent="0.25">
      <c r="N863" s="27"/>
    </row>
    <row r="864" spans="14:14" x14ac:dyDescent="0.25">
      <c r="N864" s="27"/>
    </row>
    <row r="865" spans="14:14" x14ac:dyDescent="0.25">
      <c r="N865" s="27"/>
    </row>
    <row r="866" spans="14:14" x14ac:dyDescent="0.25">
      <c r="N866" s="27"/>
    </row>
    <row r="867" spans="14:14" x14ac:dyDescent="0.25">
      <c r="N867" s="27"/>
    </row>
    <row r="868" spans="14:14" x14ac:dyDescent="0.25">
      <c r="N868" s="27"/>
    </row>
    <row r="869" spans="14:14" x14ac:dyDescent="0.25">
      <c r="N869" s="27"/>
    </row>
    <row r="870" spans="14:14" x14ac:dyDescent="0.25">
      <c r="N870" s="27"/>
    </row>
    <row r="871" spans="14:14" x14ac:dyDescent="0.25">
      <c r="N871" s="27"/>
    </row>
    <row r="872" spans="14:14" x14ac:dyDescent="0.25">
      <c r="N872" s="27"/>
    </row>
    <row r="873" spans="14:14" x14ac:dyDescent="0.25">
      <c r="N873" s="27"/>
    </row>
    <row r="874" spans="14:14" x14ac:dyDescent="0.25">
      <c r="N874" s="27"/>
    </row>
    <row r="875" spans="14:14" x14ac:dyDescent="0.25">
      <c r="N875" s="27"/>
    </row>
    <row r="876" spans="14:14" x14ac:dyDescent="0.25">
      <c r="N876" s="27"/>
    </row>
    <row r="877" spans="14:14" x14ac:dyDescent="0.25">
      <c r="N877" s="27"/>
    </row>
    <row r="878" spans="14:14" x14ac:dyDescent="0.25">
      <c r="N878" s="27"/>
    </row>
    <row r="879" spans="14:14" x14ac:dyDescent="0.25">
      <c r="N879" s="27"/>
    </row>
    <row r="880" spans="14:14" x14ac:dyDescent="0.25">
      <c r="N880" s="27"/>
    </row>
    <row r="881" spans="14:14" x14ac:dyDescent="0.25">
      <c r="N881" s="27"/>
    </row>
    <row r="882" spans="14:14" x14ac:dyDescent="0.25">
      <c r="N882" s="27"/>
    </row>
    <row r="883" spans="14:14" x14ac:dyDescent="0.25">
      <c r="N883" s="27"/>
    </row>
    <row r="884" spans="14:14" x14ac:dyDescent="0.25">
      <c r="N884" s="27"/>
    </row>
    <row r="885" spans="14:14" x14ac:dyDescent="0.25">
      <c r="N885" s="27"/>
    </row>
    <row r="886" spans="14:14" x14ac:dyDescent="0.25">
      <c r="N886" s="27"/>
    </row>
    <row r="887" spans="14:14" x14ac:dyDescent="0.25">
      <c r="N887" s="27"/>
    </row>
    <row r="888" spans="14:14" x14ac:dyDescent="0.25">
      <c r="N888" s="27"/>
    </row>
    <row r="889" spans="14:14" x14ac:dyDescent="0.25">
      <c r="N889" s="27"/>
    </row>
    <row r="890" spans="14:14" x14ac:dyDescent="0.25">
      <c r="N890" s="27"/>
    </row>
    <row r="891" spans="14:14" x14ac:dyDescent="0.25">
      <c r="N891" s="27"/>
    </row>
    <row r="892" spans="14:14" x14ac:dyDescent="0.25">
      <c r="N892" s="27"/>
    </row>
    <row r="893" spans="14:14" x14ac:dyDescent="0.25">
      <c r="N893" s="27"/>
    </row>
    <row r="894" spans="14:14" x14ac:dyDescent="0.25">
      <c r="N894" s="27"/>
    </row>
    <row r="895" spans="14:14" x14ac:dyDescent="0.25">
      <c r="N895" s="27"/>
    </row>
    <row r="896" spans="14:14" x14ac:dyDescent="0.25">
      <c r="N896" s="27"/>
    </row>
    <row r="897" spans="14:14" x14ac:dyDescent="0.25">
      <c r="N897" s="27"/>
    </row>
    <row r="898" spans="14:14" x14ac:dyDescent="0.25">
      <c r="N898" s="27"/>
    </row>
    <row r="899" spans="14:14" x14ac:dyDescent="0.25">
      <c r="N899" s="27"/>
    </row>
    <row r="900" spans="14:14" x14ac:dyDescent="0.25">
      <c r="N900" s="27"/>
    </row>
    <row r="901" spans="14:14" x14ac:dyDescent="0.25">
      <c r="N901" s="27"/>
    </row>
    <row r="902" spans="14:14" x14ac:dyDescent="0.25">
      <c r="N902" s="27"/>
    </row>
    <row r="903" spans="14:14" x14ac:dyDescent="0.25">
      <c r="N903" s="27"/>
    </row>
    <row r="904" spans="14:14" x14ac:dyDescent="0.25">
      <c r="N904" s="27"/>
    </row>
    <row r="905" spans="14:14" x14ac:dyDescent="0.25">
      <c r="N905" s="27"/>
    </row>
    <row r="906" spans="14:14" x14ac:dyDescent="0.25">
      <c r="N906" s="27"/>
    </row>
    <row r="907" spans="14:14" x14ac:dyDescent="0.25">
      <c r="N907" s="27"/>
    </row>
    <row r="908" spans="14:14" x14ac:dyDescent="0.25">
      <c r="N908" s="27"/>
    </row>
    <row r="909" spans="14:14" x14ac:dyDescent="0.25">
      <c r="N909" s="27"/>
    </row>
    <row r="910" spans="14:14" x14ac:dyDescent="0.25">
      <c r="N910" s="27"/>
    </row>
    <row r="911" spans="14:14" x14ac:dyDescent="0.25">
      <c r="N911" s="27"/>
    </row>
    <row r="912" spans="14:14" x14ac:dyDescent="0.25">
      <c r="N912" s="27"/>
    </row>
    <row r="913" spans="14:14" x14ac:dyDescent="0.25">
      <c r="N913" s="27"/>
    </row>
    <row r="914" spans="14:14" x14ac:dyDescent="0.25">
      <c r="N914" s="27"/>
    </row>
    <row r="915" spans="14:14" x14ac:dyDescent="0.25">
      <c r="N915" s="27"/>
    </row>
    <row r="916" spans="14:14" x14ac:dyDescent="0.25">
      <c r="N916" s="27"/>
    </row>
    <row r="917" spans="14:14" x14ac:dyDescent="0.25">
      <c r="N917" s="27"/>
    </row>
    <row r="918" spans="14:14" x14ac:dyDescent="0.25">
      <c r="N918" s="27"/>
    </row>
    <row r="919" spans="14:14" x14ac:dyDescent="0.25">
      <c r="N919" s="27"/>
    </row>
    <row r="920" spans="14:14" x14ac:dyDescent="0.25">
      <c r="N920" s="27"/>
    </row>
    <row r="921" spans="14:14" x14ac:dyDescent="0.25">
      <c r="N921" s="27"/>
    </row>
    <row r="922" spans="14:14" x14ac:dyDescent="0.25">
      <c r="N922" s="27"/>
    </row>
    <row r="923" spans="14:14" x14ac:dyDescent="0.25">
      <c r="N923" s="27"/>
    </row>
    <row r="924" spans="14:14" x14ac:dyDescent="0.25">
      <c r="N924" s="27"/>
    </row>
    <row r="925" spans="14:14" x14ac:dyDescent="0.25">
      <c r="N925" s="27"/>
    </row>
    <row r="926" spans="14:14" x14ac:dyDescent="0.25">
      <c r="N926" s="27"/>
    </row>
    <row r="927" spans="14:14" x14ac:dyDescent="0.25">
      <c r="N927" s="27"/>
    </row>
    <row r="928" spans="14:14" x14ac:dyDescent="0.25">
      <c r="N928" s="27"/>
    </row>
    <row r="929" spans="14:14" x14ac:dyDescent="0.25">
      <c r="N929" s="27"/>
    </row>
    <row r="930" spans="14:14" x14ac:dyDescent="0.25">
      <c r="N930" s="27"/>
    </row>
    <row r="931" spans="14:14" x14ac:dyDescent="0.25">
      <c r="N931" s="27"/>
    </row>
    <row r="932" spans="14:14" x14ac:dyDescent="0.25">
      <c r="N932" s="27"/>
    </row>
    <row r="933" spans="14:14" x14ac:dyDescent="0.25">
      <c r="N933" s="27"/>
    </row>
    <row r="934" spans="14:14" x14ac:dyDescent="0.25">
      <c r="N934" s="27"/>
    </row>
    <row r="935" spans="14:14" x14ac:dyDescent="0.25">
      <c r="N935" s="27"/>
    </row>
    <row r="936" spans="14:14" x14ac:dyDescent="0.25">
      <c r="N936" s="27"/>
    </row>
    <row r="937" spans="14:14" x14ac:dyDescent="0.25">
      <c r="N937" s="27"/>
    </row>
    <row r="938" spans="14:14" x14ac:dyDescent="0.25">
      <c r="N938" s="27"/>
    </row>
    <row r="939" spans="14:14" x14ac:dyDescent="0.25">
      <c r="N939" s="27"/>
    </row>
    <row r="940" spans="14:14" x14ac:dyDescent="0.25">
      <c r="N940" s="27"/>
    </row>
    <row r="941" spans="14:14" x14ac:dyDescent="0.25">
      <c r="N941" s="27"/>
    </row>
    <row r="942" spans="14:14" x14ac:dyDescent="0.25">
      <c r="N942" s="27"/>
    </row>
    <row r="943" spans="14:14" x14ac:dyDescent="0.25">
      <c r="N943" s="27"/>
    </row>
    <row r="944" spans="14:14" x14ac:dyDescent="0.25">
      <c r="N944" s="27"/>
    </row>
    <row r="945" spans="14:14" x14ac:dyDescent="0.25">
      <c r="N945" s="27"/>
    </row>
    <row r="946" spans="14:14" x14ac:dyDescent="0.25">
      <c r="N946" s="27"/>
    </row>
    <row r="947" spans="14:14" x14ac:dyDescent="0.25">
      <c r="N947" s="27"/>
    </row>
    <row r="948" spans="14:14" x14ac:dyDescent="0.25">
      <c r="N948" s="27"/>
    </row>
    <row r="949" spans="14:14" x14ac:dyDescent="0.25">
      <c r="N949" s="27"/>
    </row>
    <row r="950" spans="14:14" x14ac:dyDescent="0.25">
      <c r="N950" s="27"/>
    </row>
    <row r="951" spans="14:14" x14ac:dyDescent="0.25">
      <c r="N951" s="27"/>
    </row>
    <row r="952" spans="14:14" x14ac:dyDescent="0.25">
      <c r="N952" s="27"/>
    </row>
    <row r="953" spans="14:14" x14ac:dyDescent="0.25">
      <c r="N953" s="27"/>
    </row>
    <row r="954" spans="14:14" x14ac:dyDescent="0.25">
      <c r="N954" s="27"/>
    </row>
    <row r="955" spans="14:14" x14ac:dyDescent="0.25">
      <c r="N955" s="27"/>
    </row>
    <row r="956" spans="14:14" x14ac:dyDescent="0.25">
      <c r="N956" s="27"/>
    </row>
    <row r="957" spans="14:14" x14ac:dyDescent="0.25">
      <c r="N957" s="27"/>
    </row>
    <row r="958" spans="14:14" x14ac:dyDescent="0.25">
      <c r="N958" s="27"/>
    </row>
    <row r="959" spans="14:14" x14ac:dyDescent="0.25">
      <c r="N959" s="27"/>
    </row>
    <row r="960" spans="14:14" x14ac:dyDescent="0.25">
      <c r="N960" s="27"/>
    </row>
    <row r="961" spans="14:14" x14ac:dyDescent="0.25">
      <c r="N961" s="27"/>
    </row>
    <row r="962" spans="14:14" x14ac:dyDescent="0.25">
      <c r="N962" s="27"/>
    </row>
    <row r="963" spans="14:14" x14ac:dyDescent="0.25">
      <c r="N963" s="27"/>
    </row>
    <row r="964" spans="14:14" x14ac:dyDescent="0.25">
      <c r="N964" s="27"/>
    </row>
    <row r="965" spans="14:14" x14ac:dyDescent="0.25">
      <c r="N965" s="27"/>
    </row>
    <row r="966" spans="14:14" x14ac:dyDescent="0.25">
      <c r="N966" s="27"/>
    </row>
    <row r="967" spans="14:14" x14ac:dyDescent="0.25">
      <c r="N967" s="27"/>
    </row>
    <row r="968" spans="14:14" x14ac:dyDescent="0.25">
      <c r="N968" s="27"/>
    </row>
    <row r="969" spans="14:14" x14ac:dyDescent="0.25">
      <c r="N969" s="27"/>
    </row>
    <row r="970" spans="14:14" x14ac:dyDescent="0.25">
      <c r="N970" s="27"/>
    </row>
    <row r="971" spans="14:14" x14ac:dyDescent="0.25">
      <c r="N971" s="27"/>
    </row>
    <row r="972" spans="14:14" x14ac:dyDescent="0.25">
      <c r="N972" s="27"/>
    </row>
    <row r="973" spans="14:14" x14ac:dyDescent="0.25">
      <c r="N973" s="27"/>
    </row>
    <row r="974" spans="14:14" x14ac:dyDescent="0.25">
      <c r="N974" s="27"/>
    </row>
    <row r="975" spans="14:14" x14ac:dyDescent="0.25">
      <c r="N975" s="27"/>
    </row>
    <row r="976" spans="14:14" x14ac:dyDescent="0.25">
      <c r="N976" s="27"/>
    </row>
    <row r="977" spans="14:14" x14ac:dyDescent="0.25">
      <c r="N977" s="27"/>
    </row>
    <row r="978" spans="14:14" x14ac:dyDescent="0.25">
      <c r="N978" s="27"/>
    </row>
    <row r="979" spans="14:14" x14ac:dyDescent="0.25">
      <c r="N979" s="27"/>
    </row>
    <row r="980" spans="14:14" x14ac:dyDescent="0.25">
      <c r="N980" s="27"/>
    </row>
    <row r="981" spans="14:14" x14ac:dyDescent="0.25">
      <c r="N981" s="27"/>
    </row>
    <row r="982" spans="14:14" x14ac:dyDescent="0.25">
      <c r="N982" s="27"/>
    </row>
    <row r="983" spans="14:14" x14ac:dyDescent="0.25">
      <c r="N983" s="27"/>
    </row>
    <row r="984" spans="14:14" x14ac:dyDescent="0.25">
      <c r="N984" s="27"/>
    </row>
    <row r="985" spans="14:14" x14ac:dyDescent="0.25">
      <c r="N985" s="27"/>
    </row>
    <row r="986" spans="14:14" x14ac:dyDescent="0.25">
      <c r="N986" s="27"/>
    </row>
    <row r="987" spans="14:14" x14ac:dyDescent="0.25">
      <c r="N987" s="27"/>
    </row>
    <row r="988" spans="14:14" x14ac:dyDescent="0.25">
      <c r="N988" s="27"/>
    </row>
    <row r="989" spans="14:14" x14ac:dyDescent="0.25">
      <c r="N989" s="27"/>
    </row>
    <row r="990" spans="14:14" x14ac:dyDescent="0.25">
      <c r="N990" s="27"/>
    </row>
    <row r="991" spans="14:14" x14ac:dyDescent="0.25">
      <c r="N991" s="27"/>
    </row>
    <row r="992" spans="14:14" x14ac:dyDescent="0.25">
      <c r="N992" s="27"/>
    </row>
    <row r="993" spans="14:14" x14ac:dyDescent="0.25">
      <c r="N993" s="27"/>
    </row>
    <row r="994" spans="14:14" x14ac:dyDescent="0.25">
      <c r="N994" s="27"/>
    </row>
    <row r="995" spans="14:14" x14ac:dyDescent="0.25">
      <c r="N995" s="27"/>
    </row>
    <row r="996" spans="14:14" x14ac:dyDescent="0.25">
      <c r="N996" s="27"/>
    </row>
    <row r="997" spans="14:14" x14ac:dyDescent="0.25">
      <c r="N997" s="27"/>
    </row>
    <row r="998" spans="14:14" x14ac:dyDescent="0.25">
      <c r="N998" s="27"/>
    </row>
    <row r="999" spans="14:14" x14ac:dyDescent="0.25">
      <c r="N999" s="27"/>
    </row>
    <row r="1000" spans="14:14" x14ac:dyDescent="0.25">
      <c r="N1000" s="27"/>
    </row>
    <row r="1001" spans="14:14" x14ac:dyDescent="0.25">
      <c r="N1001" s="27"/>
    </row>
    <row r="1002" spans="14:14" x14ac:dyDescent="0.25">
      <c r="N1002" s="27"/>
    </row>
    <row r="1003" spans="14:14" x14ac:dyDescent="0.25">
      <c r="N1003" s="27"/>
    </row>
    <row r="1004" spans="14:14" x14ac:dyDescent="0.25">
      <c r="N1004" s="27"/>
    </row>
    <row r="1005" spans="14:14" x14ac:dyDescent="0.25">
      <c r="N1005" s="27"/>
    </row>
    <row r="1006" spans="14:14" x14ac:dyDescent="0.25">
      <c r="N1006" s="27"/>
    </row>
    <row r="1007" spans="14:14" x14ac:dyDescent="0.25">
      <c r="N1007" s="27"/>
    </row>
    <row r="1008" spans="14:14" x14ac:dyDescent="0.25">
      <c r="N1008" s="27"/>
    </row>
    <row r="1009" spans="14:14" x14ac:dyDescent="0.25">
      <c r="N1009" s="27"/>
    </row>
    <row r="1010" spans="14:14" x14ac:dyDescent="0.25">
      <c r="N1010" s="27"/>
    </row>
    <row r="1011" spans="14:14" x14ac:dyDescent="0.25">
      <c r="N1011" s="27"/>
    </row>
    <row r="1012" spans="14:14" x14ac:dyDescent="0.25">
      <c r="N1012" s="27"/>
    </row>
    <row r="1013" spans="14:14" x14ac:dyDescent="0.25">
      <c r="N1013" s="27"/>
    </row>
    <row r="1014" spans="14:14" x14ac:dyDescent="0.25">
      <c r="N1014" s="27"/>
    </row>
    <row r="1015" spans="14:14" x14ac:dyDescent="0.25">
      <c r="N1015" s="27"/>
    </row>
    <row r="1016" spans="14:14" x14ac:dyDescent="0.25">
      <c r="N1016" s="27"/>
    </row>
    <row r="1017" spans="14:14" x14ac:dyDescent="0.25">
      <c r="N1017" s="27"/>
    </row>
    <row r="1018" spans="14:14" x14ac:dyDescent="0.25">
      <c r="N1018" s="27"/>
    </row>
    <row r="1019" spans="14:14" x14ac:dyDescent="0.25">
      <c r="N1019" s="27"/>
    </row>
    <row r="1020" spans="14:14" x14ac:dyDescent="0.25">
      <c r="N1020" s="27"/>
    </row>
    <row r="1021" spans="14:14" x14ac:dyDescent="0.25">
      <c r="N1021" s="27"/>
    </row>
    <row r="1022" spans="14:14" x14ac:dyDescent="0.25">
      <c r="N1022" s="27"/>
    </row>
    <row r="1023" spans="14:14" x14ac:dyDescent="0.25">
      <c r="N1023" s="27"/>
    </row>
    <row r="1024" spans="14:14" x14ac:dyDescent="0.25">
      <c r="N1024" s="27"/>
    </row>
    <row r="1025" spans="14:14" x14ac:dyDescent="0.25">
      <c r="N1025" s="27"/>
    </row>
    <row r="1026" spans="14:14" x14ac:dyDescent="0.25">
      <c r="N1026" s="27"/>
    </row>
    <row r="1027" spans="14:14" x14ac:dyDescent="0.25">
      <c r="N1027" s="27"/>
    </row>
    <row r="1028" spans="14:14" x14ac:dyDescent="0.25">
      <c r="N1028" s="27"/>
    </row>
    <row r="1029" spans="14:14" x14ac:dyDescent="0.25">
      <c r="N1029" s="27"/>
    </row>
    <row r="1030" spans="14:14" x14ac:dyDescent="0.25">
      <c r="N1030" s="27"/>
    </row>
    <row r="1031" spans="14:14" x14ac:dyDescent="0.25">
      <c r="N1031" s="27"/>
    </row>
    <row r="1032" spans="14:14" x14ac:dyDescent="0.25">
      <c r="N1032" s="27"/>
    </row>
    <row r="1033" spans="14:14" x14ac:dyDescent="0.25">
      <c r="N1033" s="27"/>
    </row>
    <row r="1034" spans="14:14" x14ac:dyDescent="0.25">
      <c r="N1034" s="27"/>
    </row>
    <row r="1035" spans="14:14" x14ac:dyDescent="0.25">
      <c r="N1035" s="27"/>
    </row>
    <row r="1036" spans="14:14" x14ac:dyDescent="0.25">
      <c r="N1036" s="27"/>
    </row>
    <row r="1037" spans="14:14" x14ac:dyDescent="0.25">
      <c r="N1037" s="27"/>
    </row>
    <row r="1038" spans="14:14" x14ac:dyDescent="0.25">
      <c r="N1038" s="27"/>
    </row>
    <row r="1039" spans="14:14" x14ac:dyDescent="0.25">
      <c r="N1039" s="27"/>
    </row>
    <row r="1040" spans="14:14" x14ac:dyDescent="0.25">
      <c r="N1040" s="27"/>
    </row>
    <row r="1041" spans="14:14" x14ac:dyDescent="0.25">
      <c r="N1041" s="27"/>
    </row>
    <row r="1042" spans="14:14" x14ac:dyDescent="0.25">
      <c r="N1042" s="27"/>
    </row>
    <row r="1043" spans="14:14" x14ac:dyDescent="0.25">
      <c r="N1043" s="27"/>
    </row>
    <row r="1044" spans="14:14" x14ac:dyDescent="0.25">
      <c r="N1044" s="27"/>
    </row>
    <row r="1045" spans="14:14" x14ac:dyDescent="0.25">
      <c r="N1045" s="27"/>
    </row>
    <row r="1046" spans="14:14" x14ac:dyDescent="0.25">
      <c r="N1046" s="27"/>
    </row>
    <row r="1047" spans="14:14" x14ac:dyDescent="0.25">
      <c r="N1047" s="27"/>
    </row>
    <row r="1048" spans="14:14" x14ac:dyDescent="0.25">
      <c r="N1048" s="27"/>
    </row>
    <row r="1049" spans="14:14" x14ac:dyDescent="0.25">
      <c r="N1049" s="27"/>
    </row>
    <row r="1050" spans="14:14" x14ac:dyDescent="0.25">
      <c r="N1050" s="27"/>
    </row>
    <row r="1051" spans="14:14" x14ac:dyDescent="0.25">
      <c r="N1051" s="27"/>
    </row>
    <row r="1052" spans="14:14" x14ac:dyDescent="0.25">
      <c r="N1052" s="27"/>
    </row>
    <row r="1053" spans="14:14" x14ac:dyDescent="0.25">
      <c r="N1053" s="27"/>
    </row>
    <row r="1054" spans="14:14" x14ac:dyDescent="0.25">
      <c r="N1054" s="27"/>
    </row>
    <row r="1055" spans="14:14" x14ac:dyDescent="0.25">
      <c r="N1055" s="27"/>
    </row>
    <row r="1056" spans="14:14" x14ac:dyDescent="0.25">
      <c r="N1056" s="27"/>
    </row>
    <row r="1057" spans="14:14" x14ac:dyDescent="0.25">
      <c r="N1057" s="27"/>
    </row>
    <row r="1058" spans="14:14" x14ac:dyDescent="0.25">
      <c r="N1058" s="27"/>
    </row>
    <row r="1059" spans="14:14" x14ac:dyDescent="0.25">
      <c r="N1059" s="27"/>
    </row>
    <row r="1060" spans="14:14" x14ac:dyDescent="0.25">
      <c r="N1060" s="27"/>
    </row>
    <row r="1061" spans="14:14" x14ac:dyDescent="0.25">
      <c r="N1061" s="27"/>
    </row>
    <row r="1062" spans="14:14" x14ac:dyDescent="0.25">
      <c r="N1062" s="27"/>
    </row>
    <row r="1063" spans="14:14" x14ac:dyDescent="0.25">
      <c r="N1063" s="27"/>
    </row>
    <row r="1064" spans="14:14" x14ac:dyDescent="0.25">
      <c r="N1064" s="27"/>
    </row>
    <row r="1065" spans="14:14" x14ac:dyDescent="0.25">
      <c r="N1065" s="27"/>
    </row>
    <row r="1066" spans="14:14" x14ac:dyDescent="0.25">
      <c r="N1066" s="27"/>
    </row>
    <row r="1067" spans="14:14" x14ac:dyDescent="0.25">
      <c r="N1067" s="27"/>
    </row>
    <row r="1068" spans="14:14" x14ac:dyDescent="0.25">
      <c r="N1068" s="27"/>
    </row>
    <row r="1069" spans="14:14" x14ac:dyDescent="0.25">
      <c r="N1069" s="27"/>
    </row>
    <row r="1070" spans="14:14" x14ac:dyDescent="0.25">
      <c r="N1070" s="27"/>
    </row>
    <row r="1071" spans="14:14" x14ac:dyDescent="0.25">
      <c r="N1071" s="27"/>
    </row>
    <row r="1072" spans="14:14" x14ac:dyDescent="0.25">
      <c r="N1072" s="27"/>
    </row>
    <row r="1073" spans="14:14" x14ac:dyDescent="0.25">
      <c r="N1073" s="27"/>
    </row>
    <row r="1074" spans="14:14" x14ac:dyDescent="0.25">
      <c r="N1074" s="27"/>
    </row>
    <row r="1075" spans="14:14" x14ac:dyDescent="0.25">
      <c r="N1075" s="27"/>
    </row>
    <row r="1076" spans="14:14" x14ac:dyDescent="0.25">
      <c r="N1076" s="27"/>
    </row>
    <row r="1077" spans="14:14" x14ac:dyDescent="0.25">
      <c r="N1077" s="27"/>
    </row>
    <row r="1078" spans="14:14" x14ac:dyDescent="0.25">
      <c r="N1078" s="27"/>
    </row>
    <row r="1079" spans="14:14" x14ac:dyDescent="0.25">
      <c r="N1079" s="27"/>
    </row>
    <row r="1080" spans="14:14" x14ac:dyDescent="0.25">
      <c r="N1080" s="27"/>
    </row>
    <row r="1081" spans="14:14" x14ac:dyDescent="0.25">
      <c r="N1081" s="27"/>
    </row>
    <row r="1082" spans="14:14" x14ac:dyDescent="0.25">
      <c r="N1082" s="27"/>
    </row>
    <row r="1083" spans="14:14" x14ac:dyDescent="0.25">
      <c r="N1083" s="27"/>
    </row>
    <row r="1084" spans="14:14" x14ac:dyDescent="0.25">
      <c r="N1084" s="27"/>
    </row>
    <row r="1085" spans="14:14" x14ac:dyDescent="0.25">
      <c r="N1085" s="27"/>
    </row>
    <row r="1086" spans="14:14" x14ac:dyDescent="0.25">
      <c r="N1086" s="27"/>
    </row>
    <row r="1087" spans="14:14" x14ac:dyDescent="0.25">
      <c r="N1087" s="27"/>
    </row>
    <row r="1088" spans="14:14" x14ac:dyDescent="0.25">
      <c r="N1088" s="27"/>
    </row>
    <row r="1089" spans="14:14" x14ac:dyDescent="0.25">
      <c r="N1089" s="27"/>
    </row>
    <row r="1090" spans="14:14" x14ac:dyDescent="0.25">
      <c r="N1090" s="27"/>
    </row>
    <row r="1091" spans="14:14" x14ac:dyDescent="0.25">
      <c r="N1091" s="27"/>
    </row>
    <row r="1092" spans="14:14" x14ac:dyDescent="0.25">
      <c r="N1092" s="27"/>
    </row>
    <row r="1093" spans="14:14" x14ac:dyDescent="0.25">
      <c r="N1093" s="27"/>
    </row>
    <row r="1094" spans="14:14" x14ac:dyDescent="0.25">
      <c r="N1094" s="27"/>
    </row>
    <row r="1095" spans="14:14" x14ac:dyDescent="0.25">
      <c r="N1095" s="27"/>
    </row>
    <row r="1096" spans="14:14" x14ac:dyDescent="0.25">
      <c r="N1096" s="27"/>
    </row>
    <row r="1097" spans="14:14" x14ac:dyDescent="0.25">
      <c r="N1097" s="27"/>
    </row>
    <row r="1098" spans="14:14" x14ac:dyDescent="0.25">
      <c r="N1098" s="27"/>
    </row>
    <row r="1099" spans="14:14" x14ac:dyDescent="0.25">
      <c r="N1099" s="27"/>
    </row>
    <row r="1100" spans="14:14" x14ac:dyDescent="0.25">
      <c r="N1100" s="27"/>
    </row>
    <row r="1101" spans="14:14" x14ac:dyDescent="0.25">
      <c r="N1101" s="27"/>
    </row>
    <row r="1102" spans="14:14" x14ac:dyDescent="0.25">
      <c r="N1102" s="27"/>
    </row>
    <row r="1103" spans="14:14" x14ac:dyDescent="0.25">
      <c r="N1103" s="27"/>
    </row>
    <row r="1104" spans="14:14" x14ac:dyDescent="0.25">
      <c r="N1104" s="27"/>
    </row>
    <row r="1105" spans="14:14" x14ac:dyDescent="0.25">
      <c r="N1105" s="27"/>
    </row>
    <row r="1106" spans="14:14" x14ac:dyDescent="0.25">
      <c r="N1106" s="27"/>
    </row>
    <row r="1107" spans="14:14" x14ac:dyDescent="0.25">
      <c r="N1107" s="27"/>
    </row>
    <row r="1108" spans="14:14" x14ac:dyDescent="0.25">
      <c r="N1108" s="27"/>
    </row>
    <row r="1109" spans="14:14" x14ac:dyDescent="0.25">
      <c r="N1109" s="27"/>
    </row>
    <row r="1110" spans="14:14" x14ac:dyDescent="0.25">
      <c r="N1110" s="27"/>
    </row>
    <row r="1111" spans="14:14" x14ac:dyDescent="0.25">
      <c r="N1111" s="27"/>
    </row>
    <row r="1112" spans="14:14" x14ac:dyDescent="0.25">
      <c r="N1112" s="27"/>
    </row>
    <row r="1113" spans="14:14" x14ac:dyDescent="0.25">
      <c r="N1113" s="27"/>
    </row>
    <row r="1114" spans="14:14" x14ac:dyDescent="0.25">
      <c r="N1114" s="27"/>
    </row>
    <row r="1115" spans="14:14" x14ac:dyDescent="0.25">
      <c r="N1115" s="27"/>
    </row>
    <row r="1116" spans="14:14" x14ac:dyDescent="0.25">
      <c r="N1116" s="27"/>
    </row>
    <row r="1117" spans="14:14" x14ac:dyDescent="0.25">
      <c r="N1117" s="27"/>
    </row>
    <row r="1118" spans="14:14" x14ac:dyDescent="0.25">
      <c r="N1118" s="27"/>
    </row>
    <row r="1119" spans="14:14" x14ac:dyDescent="0.25">
      <c r="N1119" s="27"/>
    </row>
    <row r="1120" spans="14:14" x14ac:dyDescent="0.25">
      <c r="N1120" s="27"/>
    </row>
    <row r="1121" spans="14:14" x14ac:dyDescent="0.25">
      <c r="N1121" s="27"/>
    </row>
    <row r="1122" spans="14:14" x14ac:dyDescent="0.25">
      <c r="N1122" s="27"/>
    </row>
    <row r="1123" spans="14:14" x14ac:dyDescent="0.25">
      <c r="N1123" s="27"/>
    </row>
    <row r="1124" spans="14:14" x14ac:dyDescent="0.25">
      <c r="N1124" s="27"/>
    </row>
    <row r="1125" spans="14:14" x14ac:dyDescent="0.25">
      <c r="N1125" s="27"/>
    </row>
    <row r="1126" spans="14:14" x14ac:dyDescent="0.25">
      <c r="N1126" s="27"/>
    </row>
    <row r="1127" spans="14:14" x14ac:dyDescent="0.25">
      <c r="N1127" s="27"/>
    </row>
    <row r="1128" spans="14:14" x14ac:dyDescent="0.25">
      <c r="N1128" s="27"/>
    </row>
    <row r="1129" spans="14:14" x14ac:dyDescent="0.25">
      <c r="N1129" s="27"/>
    </row>
    <row r="1130" spans="14:14" x14ac:dyDescent="0.25">
      <c r="N1130" s="27"/>
    </row>
    <row r="1131" spans="14:14" x14ac:dyDescent="0.25">
      <c r="N1131" s="27"/>
    </row>
    <row r="1132" spans="14:14" x14ac:dyDescent="0.25">
      <c r="N1132" s="27"/>
    </row>
    <row r="1133" spans="14:14" x14ac:dyDescent="0.25">
      <c r="N1133" s="27"/>
    </row>
    <row r="1134" spans="14:14" x14ac:dyDescent="0.25">
      <c r="N1134" s="27"/>
    </row>
    <row r="1135" spans="14:14" x14ac:dyDescent="0.25">
      <c r="N1135" s="27"/>
    </row>
    <row r="1136" spans="14:14" x14ac:dyDescent="0.25">
      <c r="N1136" s="27"/>
    </row>
    <row r="1137" spans="14:14" x14ac:dyDescent="0.25">
      <c r="N1137" s="27"/>
    </row>
    <row r="1138" spans="14:14" x14ac:dyDescent="0.25">
      <c r="N1138" s="27"/>
    </row>
    <row r="1139" spans="14:14" x14ac:dyDescent="0.25">
      <c r="N1139" s="27"/>
    </row>
    <row r="1140" spans="14:14" x14ac:dyDescent="0.25">
      <c r="N1140" s="27"/>
    </row>
    <row r="1141" spans="14:14" x14ac:dyDescent="0.25">
      <c r="N1141" s="27"/>
    </row>
    <row r="1142" spans="14:14" x14ac:dyDescent="0.25">
      <c r="N1142" s="27"/>
    </row>
    <row r="1143" spans="14:14" x14ac:dyDescent="0.25">
      <c r="N1143" s="27"/>
    </row>
    <row r="1144" spans="14:14" x14ac:dyDescent="0.25">
      <c r="N1144" s="27"/>
    </row>
    <row r="1145" spans="14:14" x14ac:dyDescent="0.25">
      <c r="N1145" s="27"/>
    </row>
    <row r="1146" spans="14:14" x14ac:dyDescent="0.25">
      <c r="N1146" s="27"/>
    </row>
    <row r="1147" spans="14:14" x14ac:dyDescent="0.25">
      <c r="N1147" s="27"/>
    </row>
    <row r="1148" spans="14:14" x14ac:dyDescent="0.25">
      <c r="N1148" s="27"/>
    </row>
    <row r="1149" spans="14:14" x14ac:dyDescent="0.25">
      <c r="N1149" s="27"/>
    </row>
    <row r="1150" spans="14:14" x14ac:dyDescent="0.25">
      <c r="N1150" s="27"/>
    </row>
    <row r="1151" spans="14:14" x14ac:dyDescent="0.25">
      <c r="N1151" s="27"/>
    </row>
    <row r="1152" spans="14:14" x14ac:dyDescent="0.25">
      <c r="N1152" s="27"/>
    </row>
    <row r="1153" spans="14:14" x14ac:dyDescent="0.25">
      <c r="N1153" s="27"/>
    </row>
    <row r="1154" spans="14:14" x14ac:dyDescent="0.25">
      <c r="N1154" s="27"/>
    </row>
    <row r="1155" spans="14:14" x14ac:dyDescent="0.25">
      <c r="N1155" s="27"/>
    </row>
    <row r="1156" spans="14:14" x14ac:dyDescent="0.25">
      <c r="N1156" s="27"/>
    </row>
    <row r="1157" spans="14:14" x14ac:dyDescent="0.25">
      <c r="N1157" s="27"/>
    </row>
    <row r="1158" spans="14:14" x14ac:dyDescent="0.25">
      <c r="N1158" s="27"/>
    </row>
    <row r="1159" spans="14:14" x14ac:dyDescent="0.25">
      <c r="N1159" s="27"/>
    </row>
    <row r="1160" spans="14:14" x14ac:dyDescent="0.25">
      <c r="N1160" s="27"/>
    </row>
    <row r="1161" spans="14:14" x14ac:dyDescent="0.25">
      <c r="N1161" s="27"/>
    </row>
    <row r="1162" spans="14:14" x14ac:dyDescent="0.25">
      <c r="N1162" s="27"/>
    </row>
    <row r="1163" spans="14:14" x14ac:dyDescent="0.25">
      <c r="N1163" s="27"/>
    </row>
    <row r="1164" spans="14:14" x14ac:dyDescent="0.25">
      <c r="N1164" s="27"/>
    </row>
    <row r="1165" spans="14:14" x14ac:dyDescent="0.25">
      <c r="N1165" s="27"/>
    </row>
    <row r="1166" spans="14:14" x14ac:dyDescent="0.25">
      <c r="N1166" s="27"/>
    </row>
    <row r="1167" spans="14:14" x14ac:dyDescent="0.25">
      <c r="N1167" s="27"/>
    </row>
    <row r="1168" spans="14:14" x14ac:dyDescent="0.25">
      <c r="N1168" s="27"/>
    </row>
    <row r="1169" spans="14:14" x14ac:dyDescent="0.25">
      <c r="N1169" s="27"/>
    </row>
    <row r="1170" spans="14:14" x14ac:dyDescent="0.25">
      <c r="N1170" s="27"/>
    </row>
    <row r="1171" spans="14:14" x14ac:dyDescent="0.25">
      <c r="N1171" s="27"/>
    </row>
    <row r="1172" spans="14:14" x14ac:dyDescent="0.25">
      <c r="N1172" s="27"/>
    </row>
    <row r="1173" spans="14:14" x14ac:dyDescent="0.25">
      <c r="N1173" s="27"/>
    </row>
    <row r="1174" spans="14:14" x14ac:dyDescent="0.25">
      <c r="N1174" s="27"/>
    </row>
    <row r="1175" spans="14:14" x14ac:dyDescent="0.25">
      <c r="N1175" s="27"/>
    </row>
    <row r="1176" spans="14:14" x14ac:dyDescent="0.25">
      <c r="N1176" s="27"/>
    </row>
    <row r="1177" spans="14:14" x14ac:dyDescent="0.25">
      <c r="N1177" s="27"/>
    </row>
    <row r="1178" spans="14:14" x14ac:dyDescent="0.25">
      <c r="N1178" s="27"/>
    </row>
    <row r="1179" spans="14:14" x14ac:dyDescent="0.25">
      <c r="N1179" s="27"/>
    </row>
    <row r="1180" spans="14:14" x14ac:dyDescent="0.25">
      <c r="N1180" s="27"/>
    </row>
    <row r="1181" spans="14:14" x14ac:dyDescent="0.25">
      <c r="N1181" s="27"/>
    </row>
    <row r="1182" spans="14:14" x14ac:dyDescent="0.25">
      <c r="N1182" s="27"/>
    </row>
    <row r="1183" spans="14:14" x14ac:dyDescent="0.25">
      <c r="N1183" s="27"/>
    </row>
    <row r="1184" spans="14:14" x14ac:dyDescent="0.25">
      <c r="N1184" s="27"/>
    </row>
    <row r="1185" spans="14:14" x14ac:dyDescent="0.25">
      <c r="N1185" s="27"/>
    </row>
    <row r="1186" spans="14:14" x14ac:dyDescent="0.25">
      <c r="N1186" s="27"/>
    </row>
    <row r="1187" spans="14:14" x14ac:dyDescent="0.25">
      <c r="N1187" s="27"/>
    </row>
    <row r="1188" spans="14:14" x14ac:dyDescent="0.25">
      <c r="N1188" s="27"/>
    </row>
    <row r="1189" spans="14:14" x14ac:dyDescent="0.25">
      <c r="N1189" s="27"/>
    </row>
    <row r="1190" spans="14:14" x14ac:dyDescent="0.25">
      <c r="N1190" s="27"/>
    </row>
    <row r="1191" spans="14:14" x14ac:dyDescent="0.25">
      <c r="N1191" s="27"/>
    </row>
    <row r="1192" spans="14:14" x14ac:dyDescent="0.25">
      <c r="N1192" s="27"/>
    </row>
    <row r="1193" spans="14:14" x14ac:dyDescent="0.25">
      <c r="N1193" s="27"/>
    </row>
    <row r="1194" spans="14:14" x14ac:dyDescent="0.25">
      <c r="N1194" s="27"/>
    </row>
    <row r="1195" spans="14:14" x14ac:dyDescent="0.25">
      <c r="N1195" s="27"/>
    </row>
    <row r="1196" spans="14:14" x14ac:dyDescent="0.25">
      <c r="N1196" s="27"/>
    </row>
    <row r="1197" spans="14:14" x14ac:dyDescent="0.25">
      <c r="N1197" s="27"/>
    </row>
    <row r="1198" spans="14:14" x14ac:dyDescent="0.25">
      <c r="N1198" s="27"/>
    </row>
    <row r="1199" spans="14:14" x14ac:dyDescent="0.25">
      <c r="N1199" s="27"/>
    </row>
    <row r="1200" spans="14:14" x14ac:dyDescent="0.25">
      <c r="N1200" s="27"/>
    </row>
    <row r="1201" spans="14:14" x14ac:dyDescent="0.25">
      <c r="N1201" s="27"/>
    </row>
    <row r="1202" spans="14:14" x14ac:dyDescent="0.25">
      <c r="N1202" s="27"/>
    </row>
    <row r="1203" spans="14:14" x14ac:dyDescent="0.25">
      <c r="N1203" s="27"/>
    </row>
    <row r="1204" spans="14:14" x14ac:dyDescent="0.25">
      <c r="N1204" s="27"/>
    </row>
    <row r="1205" spans="14:14" x14ac:dyDescent="0.25">
      <c r="N1205" s="27"/>
    </row>
    <row r="1206" spans="14:14" x14ac:dyDescent="0.25">
      <c r="N1206" s="27"/>
    </row>
    <row r="1207" spans="14:14" x14ac:dyDescent="0.25">
      <c r="N1207" s="27"/>
    </row>
    <row r="1208" spans="14:14" x14ac:dyDescent="0.25">
      <c r="N1208" s="27"/>
    </row>
    <row r="1209" spans="14:14" x14ac:dyDescent="0.25">
      <c r="N1209" s="27"/>
    </row>
    <row r="1210" spans="14:14" x14ac:dyDescent="0.25">
      <c r="N1210" s="27"/>
    </row>
    <row r="1211" spans="14:14" x14ac:dyDescent="0.25">
      <c r="N1211" s="27"/>
    </row>
    <row r="1212" spans="14:14" x14ac:dyDescent="0.25">
      <c r="N1212" s="27"/>
    </row>
    <row r="1213" spans="14:14" x14ac:dyDescent="0.25">
      <c r="N1213" s="27"/>
    </row>
    <row r="1214" spans="14:14" x14ac:dyDescent="0.25">
      <c r="N1214" s="27"/>
    </row>
    <row r="1215" spans="14:14" x14ac:dyDescent="0.25">
      <c r="N1215" s="27"/>
    </row>
    <row r="1216" spans="14:14" x14ac:dyDescent="0.25">
      <c r="N1216" s="27"/>
    </row>
    <row r="1217" spans="14:14" x14ac:dyDescent="0.25">
      <c r="N1217" s="27"/>
    </row>
    <row r="1218" spans="14:14" x14ac:dyDescent="0.25">
      <c r="N1218" s="27"/>
    </row>
    <row r="1219" spans="14:14" x14ac:dyDescent="0.25">
      <c r="N1219" s="27"/>
    </row>
    <row r="1220" spans="14:14" x14ac:dyDescent="0.25">
      <c r="N1220" s="27"/>
    </row>
    <row r="1221" spans="14:14" x14ac:dyDescent="0.25">
      <c r="N1221" s="27"/>
    </row>
    <row r="1222" spans="14:14" x14ac:dyDescent="0.25">
      <c r="N1222" s="27"/>
    </row>
    <row r="1223" spans="14:14" x14ac:dyDescent="0.25">
      <c r="N1223" s="27"/>
    </row>
    <row r="1224" spans="14:14" x14ac:dyDescent="0.25">
      <c r="N1224" s="27"/>
    </row>
    <row r="1225" spans="14:14" x14ac:dyDescent="0.25">
      <c r="N1225" s="27"/>
    </row>
    <row r="1226" spans="14:14" x14ac:dyDescent="0.25">
      <c r="N1226" s="27"/>
    </row>
    <row r="1227" spans="14:14" x14ac:dyDescent="0.25">
      <c r="N1227" s="27"/>
    </row>
    <row r="1228" spans="14:14" x14ac:dyDescent="0.25">
      <c r="N1228" s="27"/>
    </row>
    <row r="1229" spans="14:14" x14ac:dyDescent="0.25">
      <c r="N1229" s="27"/>
    </row>
    <row r="1230" spans="14:14" x14ac:dyDescent="0.25">
      <c r="N1230" s="27"/>
    </row>
    <row r="1231" spans="14:14" x14ac:dyDescent="0.25">
      <c r="N1231" s="27"/>
    </row>
    <row r="1232" spans="14:14" x14ac:dyDescent="0.25">
      <c r="N1232" s="27"/>
    </row>
    <row r="1233" spans="14:14" x14ac:dyDescent="0.25">
      <c r="N1233" s="27"/>
    </row>
    <row r="1234" spans="14:14" x14ac:dyDescent="0.25">
      <c r="N1234" s="27"/>
    </row>
    <row r="1235" spans="14:14" x14ac:dyDescent="0.25">
      <c r="N1235" s="27"/>
    </row>
    <row r="1236" spans="14:14" x14ac:dyDescent="0.25">
      <c r="N1236" s="27"/>
    </row>
    <row r="1237" spans="14:14" x14ac:dyDescent="0.25">
      <c r="N1237" s="27"/>
    </row>
    <row r="1238" spans="14:14" x14ac:dyDescent="0.25">
      <c r="N1238" s="27"/>
    </row>
    <row r="1239" spans="14:14" x14ac:dyDescent="0.25">
      <c r="N1239" s="27"/>
    </row>
    <row r="1240" spans="14:14" x14ac:dyDescent="0.25">
      <c r="N1240" s="27"/>
    </row>
    <row r="1241" spans="14:14" x14ac:dyDescent="0.25">
      <c r="N1241" s="27"/>
    </row>
    <row r="1242" spans="14:14" x14ac:dyDescent="0.25">
      <c r="N1242" s="27"/>
    </row>
    <row r="1243" spans="14:14" x14ac:dyDescent="0.25">
      <c r="N1243" s="27"/>
    </row>
    <row r="1244" spans="14:14" x14ac:dyDescent="0.25">
      <c r="N1244" s="27"/>
    </row>
    <row r="1245" spans="14:14" x14ac:dyDescent="0.25">
      <c r="N1245" s="27"/>
    </row>
    <row r="1246" spans="14:14" x14ac:dyDescent="0.25">
      <c r="N1246" s="27"/>
    </row>
    <row r="1247" spans="14:14" x14ac:dyDescent="0.25">
      <c r="N1247" s="27"/>
    </row>
    <row r="1248" spans="14:14" x14ac:dyDescent="0.25">
      <c r="N1248" s="27"/>
    </row>
    <row r="1249" spans="14:14" x14ac:dyDescent="0.25">
      <c r="N1249" s="27"/>
    </row>
    <row r="1250" spans="14:14" x14ac:dyDescent="0.25">
      <c r="N1250" s="27"/>
    </row>
    <row r="1251" spans="14:14" x14ac:dyDescent="0.25">
      <c r="N1251" s="27"/>
    </row>
    <row r="1252" spans="14:14" x14ac:dyDescent="0.25">
      <c r="N1252" s="27"/>
    </row>
    <row r="1253" spans="14:14" x14ac:dyDescent="0.25">
      <c r="N1253" s="27"/>
    </row>
    <row r="1254" spans="14:14" x14ac:dyDescent="0.25">
      <c r="N1254" s="27"/>
    </row>
    <row r="1255" spans="14:14" x14ac:dyDescent="0.25">
      <c r="N1255" s="27"/>
    </row>
    <row r="1256" spans="14:14" x14ac:dyDescent="0.25">
      <c r="N1256" s="27"/>
    </row>
    <row r="1257" spans="14:14" x14ac:dyDescent="0.25">
      <c r="N1257" s="27"/>
    </row>
    <row r="1258" spans="14:14" x14ac:dyDescent="0.25">
      <c r="N1258" s="27"/>
    </row>
    <row r="1259" spans="14:14" x14ac:dyDescent="0.25">
      <c r="N1259" s="27"/>
    </row>
  </sheetData>
  <sheetProtection algorithmName="SHA-512" hashValue="Zc958bB5hyRVAaDDHVrH0cnF4fNqnMIRk6GUSUXvH0eFlFPupildqPXihjnIP0nmIyhCS5Q3lQTx9Gk9IKncKw==" saltValue="8e1jE8qTN8zrmthS4KUkuA=="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showZeros="0" topLeftCell="A4" zoomScale="90" zoomScaleNormal="90" workbookViewId="0">
      <pane ySplit="5" topLeftCell="A9" activePane="bottomLeft" state="frozen"/>
      <selection activeCell="A4" sqref="A4"/>
      <selection pane="bottomLeft" activeCell="G12" sqref="G12"/>
    </sheetView>
  </sheetViews>
  <sheetFormatPr baseColWidth="10" defaultRowHeight="15" x14ac:dyDescent="0.25"/>
  <cols>
    <col min="1" max="1" width="11" style="1" customWidth="1"/>
    <col min="2" max="2" width="14.42578125" style="1" customWidth="1"/>
    <col min="3" max="3" width="12.140625" style="1" customWidth="1"/>
    <col min="4" max="4" width="13" style="1" customWidth="1"/>
    <col min="5" max="5" width="13.28515625" style="1" customWidth="1"/>
    <col min="6" max="6" width="11.5703125" style="1" customWidth="1"/>
    <col min="7" max="7" width="16.140625" style="1" customWidth="1"/>
    <col min="8" max="8" width="14.140625" style="1" customWidth="1"/>
    <col min="9" max="9" width="15.5703125" style="1" customWidth="1"/>
    <col min="10" max="10" width="13.7109375" style="1" customWidth="1"/>
    <col min="11" max="11" width="12.85546875" style="1" customWidth="1"/>
    <col min="12" max="12" width="15.5703125" style="1" customWidth="1"/>
    <col min="13" max="13" width="20.140625" style="1" customWidth="1"/>
    <col min="14" max="14" width="18.42578125" style="1" customWidth="1"/>
    <col min="15" max="15" width="16" style="1" customWidth="1"/>
    <col min="16" max="16" width="13.5703125" style="1" customWidth="1"/>
    <col min="17" max="17" width="13.7109375" style="1" customWidth="1"/>
    <col min="18" max="18" width="19.140625" style="1" bestFit="1" customWidth="1"/>
    <col min="19" max="19" width="15.7109375" style="1" bestFit="1" customWidth="1"/>
    <col min="20" max="20" width="13.42578125" style="1" customWidth="1"/>
    <col min="21" max="21" width="7" style="1" bestFit="1" customWidth="1"/>
    <col min="22" max="22" width="11.42578125" style="1"/>
    <col min="23" max="23" width="12.7109375" style="1" customWidth="1"/>
    <col min="24" max="24" width="13.140625" style="1" customWidth="1"/>
    <col min="25" max="25" width="11.7109375" style="1" customWidth="1"/>
    <col min="26" max="29" width="11.42578125" style="1"/>
    <col min="30" max="30" width="22"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2929</v>
      </c>
      <c r="D5" s="24"/>
      <c r="E5" s="24"/>
      <c r="F5" s="24"/>
      <c r="G5" s="24"/>
      <c r="H5" s="26">
        <f>I35-H35</f>
        <v>350000000</v>
      </c>
      <c r="I5" s="25"/>
      <c r="J5" s="25"/>
      <c r="K5" s="24"/>
      <c r="L5" s="25"/>
      <c r="M5" s="25"/>
      <c r="N5" s="25"/>
      <c r="O5" s="25"/>
      <c r="P5" s="25"/>
      <c r="Q5" s="27"/>
      <c r="R5" s="27"/>
      <c r="S5" s="27"/>
      <c r="T5" s="27"/>
      <c r="U5" s="27"/>
      <c r="V5" s="27"/>
      <c r="W5" s="27"/>
      <c r="X5" s="27"/>
      <c r="Y5" s="27"/>
      <c r="Z5" s="27"/>
      <c r="AA5" s="27"/>
      <c r="AB5" s="27"/>
      <c r="AC5" s="27"/>
      <c r="AD5" s="27"/>
    </row>
    <row r="7" spans="1:42" s="29" customFormat="1" ht="24" customHeight="1"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36"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2773</v>
      </c>
      <c r="AA8" s="32" t="s">
        <v>83</v>
      </c>
      <c r="AB8" s="31" t="s">
        <v>84</v>
      </c>
      <c r="AC8" s="31" t="s">
        <v>1647</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100.5" customHeight="1" x14ac:dyDescent="0.25">
      <c r="A9" s="34" t="s">
        <v>275</v>
      </c>
      <c r="B9" s="34" t="s">
        <v>276</v>
      </c>
      <c r="C9" s="34" t="s">
        <v>2932</v>
      </c>
      <c r="D9" s="34">
        <v>251410000</v>
      </c>
      <c r="E9" s="74" t="s">
        <v>2934</v>
      </c>
      <c r="F9" s="34" t="s">
        <v>2935</v>
      </c>
      <c r="G9" s="34" t="s">
        <v>2936</v>
      </c>
      <c r="H9" s="36">
        <v>400000000</v>
      </c>
      <c r="I9" s="36">
        <v>400000000</v>
      </c>
      <c r="J9" s="39">
        <v>280000000</v>
      </c>
      <c r="K9" s="36">
        <v>0</v>
      </c>
      <c r="L9" s="36"/>
      <c r="M9" s="36">
        <v>0</v>
      </c>
      <c r="N9" s="36">
        <f>H9+K9</f>
        <v>400000000</v>
      </c>
      <c r="O9" s="36">
        <f>I9+L9</f>
        <v>400000000</v>
      </c>
      <c r="P9" s="36">
        <f>J9+M9</f>
        <v>280000000</v>
      </c>
      <c r="Q9" s="36"/>
      <c r="R9" s="36">
        <v>0</v>
      </c>
      <c r="S9" s="36">
        <f>Q9+R9</f>
        <v>0</v>
      </c>
      <c r="T9" s="37">
        <v>0</v>
      </c>
      <c r="U9" s="37">
        <v>0</v>
      </c>
      <c r="V9" s="37">
        <v>0</v>
      </c>
      <c r="W9" s="34"/>
      <c r="X9" s="34"/>
      <c r="Y9" s="34"/>
      <c r="Z9" s="34"/>
      <c r="AA9" s="34">
        <v>0</v>
      </c>
      <c r="AB9" s="34"/>
      <c r="AC9" s="34"/>
      <c r="AD9" s="10"/>
      <c r="AE9" s="10">
        <v>0</v>
      </c>
      <c r="AF9" s="10">
        <v>0</v>
      </c>
      <c r="AG9" s="10">
        <v>0</v>
      </c>
      <c r="AH9" s="124">
        <v>0</v>
      </c>
      <c r="AI9" s="124">
        <v>0</v>
      </c>
      <c r="AJ9" s="124">
        <v>0</v>
      </c>
      <c r="AK9" s="124">
        <v>0</v>
      </c>
      <c r="AL9" s="124">
        <v>0</v>
      </c>
      <c r="AM9" s="124">
        <v>0</v>
      </c>
      <c r="AN9" s="124">
        <v>0</v>
      </c>
      <c r="AO9" s="124">
        <v>0</v>
      </c>
      <c r="AP9" s="124">
        <v>0</v>
      </c>
    </row>
    <row r="10" spans="1:42" ht="24" x14ac:dyDescent="0.25">
      <c r="A10" s="34">
        <v>0</v>
      </c>
      <c r="B10" s="34">
        <v>0</v>
      </c>
      <c r="C10" s="34">
        <v>0</v>
      </c>
      <c r="D10" s="34">
        <v>0</v>
      </c>
      <c r="E10" s="74">
        <v>0</v>
      </c>
      <c r="F10" s="34">
        <v>0</v>
      </c>
      <c r="G10" s="34">
        <v>0</v>
      </c>
      <c r="H10" s="36">
        <v>0</v>
      </c>
      <c r="I10" s="39"/>
      <c r="J10" s="39"/>
      <c r="K10" s="36">
        <v>0</v>
      </c>
      <c r="L10" s="39"/>
      <c r="M10" s="39"/>
      <c r="N10" s="36">
        <f t="shared" ref="N10:P44" si="0">H10+K10</f>
        <v>0</v>
      </c>
      <c r="O10" s="36">
        <f t="shared" si="0"/>
        <v>0</v>
      </c>
      <c r="P10" s="36">
        <f t="shared" si="0"/>
        <v>0</v>
      </c>
      <c r="Q10" s="36"/>
      <c r="R10" s="36"/>
      <c r="S10" s="36">
        <f t="shared" ref="S10:S44" si="1">Q10+R10</f>
        <v>0</v>
      </c>
      <c r="T10" s="37" t="s">
        <v>2968</v>
      </c>
      <c r="U10" s="37" t="s">
        <v>222</v>
      </c>
      <c r="V10" s="37">
        <v>40</v>
      </c>
      <c r="W10" s="10">
        <v>50</v>
      </c>
      <c r="X10" s="10"/>
      <c r="Y10" s="10">
        <v>50</v>
      </c>
      <c r="Z10" s="10">
        <v>50</v>
      </c>
      <c r="AA10" s="34">
        <v>120</v>
      </c>
      <c r="AB10" s="10">
        <f>4*30</f>
        <v>120</v>
      </c>
      <c r="AC10" s="10"/>
      <c r="AD10" s="10"/>
      <c r="AE10" s="10" t="s">
        <v>218</v>
      </c>
      <c r="AF10" s="10" t="s">
        <v>218</v>
      </c>
      <c r="AG10" s="10" t="s">
        <v>218</v>
      </c>
      <c r="AH10" s="124" t="s">
        <v>218</v>
      </c>
      <c r="AI10" s="124">
        <v>0</v>
      </c>
      <c r="AJ10" s="124">
        <v>0</v>
      </c>
      <c r="AK10" s="124">
        <v>0</v>
      </c>
      <c r="AL10" s="124">
        <v>0</v>
      </c>
      <c r="AM10" s="124">
        <v>0</v>
      </c>
      <c r="AN10" s="124">
        <v>0</v>
      </c>
      <c r="AO10" s="124">
        <v>0</v>
      </c>
      <c r="AP10" s="124">
        <v>0</v>
      </c>
    </row>
    <row r="11" spans="1:42" ht="75" x14ac:dyDescent="0.25">
      <c r="A11" s="34">
        <v>0</v>
      </c>
      <c r="B11" s="34">
        <v>0</v>
      </c>
      <c r="C11" s="34">
        <v>0</v>
      </c>
      <c r="D11" s="34">
        <v>0</v>
      </c>
      <c r="E11" s="74">
        <v>0</v>
      </c>
      <c r="F11" s="34">
        <v>0</v>
      </c>
      <c r="G11" s="34">
        <v>0</v>
      </c>
      <c r="H11" s="36">
        <v>0</v>
      </c>
      <c r="I11" s="39"/>
      <c r="J11" s="39"/>
      <c r="K11" s="36">
        <v>0</v>
      </c>
      <c r="L11" s="39"/>
      <c r="M11" s="39"/>
      <c r="N11" s="36">
        <f t="shared" si="0"/>
        <v>0</v>
      </c>
      <c r="O11" s="36">
        <f t="shared" si="0"/>
        <v>0</v>
      </c>
      <c r="P11" s="36">
        <f t="shared" si="0"/>
        <v>0</v>
      </c>
      <c r="Q11" s="36"/>
      <c r="R11" s="36"/>
      <c r="S11" s="36">
        <f t="shared" si="1"/>
        <v>0</v>
      </c>
      <c r="T11" s="37" t="s">
        <v>2969</v>
      </c>
      <c r="U11" s="37" t="s">
        <v>222</v>
      </c>
      <c r="V11" s="37">
        <v>20</v>
      </c>
      <c r="W11" s="10">
        <v>25</v>
      </c>
      <c r="X11" s="10"/>
      <c r="Y11" s="10">
        <v>20</v>
      </c>
      <c r="Z11" s="10">
        <v>50</v>
      </c>
      <c r="AA11" s="34">
        <v>210</v>
      </c>
      <c r="AB11" s="10">
        <f>3*30</f>
        <v>90</v>
      </c>
      <c r="AC11" s="10">
        <v>150</v>
      </c>
      <c r="AD11" s="10" t="s">
        <v>2970</v>
      </c>
      <c r="AE11" s="10">
        <v>0</v>
      </c>
      <c r="AF11" s="10" t="s">
        <v>218</v>
      </c>
      <c r="AG11" s="10" t="s">
        <v>218</v>
      </c>
      <c r="AH11" s="124" t="s">
        <v>218</v>
      </c>
      <c r="AI11" s="124" t="s">
        <v>218</v>
      </c>
      <c r="AJ11" s="124" t="s">
        <v>218</v>
      </c>
      <c r="AK11" s="124">
        <v>0</v>
      </c>
      <c r="AL11" s="124">
        <v>0</v>
      </c>
      <c r="AM11" s="124">
        <v>0</v>
      </c>
      <c r="AN11" s="124" t="s">
        <v>218</v>
      </c>
      <c r="AO11" s="124" t="s">
        <v>218</v>
      </c>
      <c r="AP11" s="124">
        <v>0</v>
      </c>
    </row>
    <row r="12" spans="1:42" ht="24" x14ac:dyDescent="0.25">
      <c r="A12" s="34">
        <v>0</v>
      </c>
      <c r="B12" s="34">
        <v>0</v>
      </c>
      <c r="C12" s="34">
        <v>0</v>
      </c>
      <c r="D12" s="34">
        <v>0</v>
      </c>
      <c r="E12" s="74">
        <v>0</v>
      </c>
      <c r="F12" s="34">
        <v>0</v>
      </c>
      <c r="G12" s="34">
        <v>0</v>
      </c>
      <c r="H12" s="36">
        <v>0</v>
      </c>
      <c r="I12" s="39"/>
      <c r="J12" s="39"/>
      <c r="K12" s="36">
        <v>0</v>
      </c>
      <c r="L12" s="39"/>
      <c r="M12" s="39"/>
      <c r="N12" s="36">
        <f t="shared" si="0"/>
        <v>0</v>
      </c>
      <c r="O12" s="36">
        <f t="shared" si="0"/>
        <v>0</v>
      </c>
      <c r="P12" s="36">
        <f t="shared" si="0"/>
        <v>0</v>
      </c>
      <c r="Q12" s="36"/>
      <c r="R12" s="36"/>
      <c r="S12" s="36">
        <f t="shared" si="1"/>
        <v>0</v>
      </c>
      <c r="T12" s="37" t="s">
        <v>2971</v>
      </c>
      <c r="U12" s="37" t="s">
        <v>222</v>
      </c>
      <c r="V12" s="37">
        <v>20</v>
      </c>
      <c r="W12" s="10">
        <v>25</v>
      </c>
      <c r="X12" s="10"/>
      <c r="Y12" s="10">
        <v>25</v>
      </c>
      <c r="Z12" s="10">
        <v>50</v>
      </c>
      <c r="AA12" s="34">
        <v>150</v>
      </c>
      <c r="AB12" s="10">
        <f>2*30</f>
        <v>60</v>
      </c>
      <c r="AC12" s="10">
        <v>150</v>
      </c>
      <c r="AD12" s="10"/>
      <c r="AE12" s="10">
        <v>0</v>
      </c>
      <c r="AF12" s="10">
        <v>0</v>
      </c>
      <c r="AG12" s="10">
        <v>0</v>
      </c>
      <c r="AH12" s="124">
        <v>0</v>
      </c>
      <c r="AI12" s="124" t="s">
        <v>218</v>
      </c>
      <c r="AJ12" s="124" t="s">
        <v>218</v>
      </c>
      <c r="AK12" s="124" t="s">
        <v>218</v>
      </c>
      <c r="AL12" s="124" t="s">
        <v>218</v>
      </c>
      <c r="AM12" s="124" t="s">
        <v>218</v>
      </c>
      <c r="AN12" s="124">
        <v>0</v>
      </c>
      <c r="AO12" s="124">
        <v>0</v>
      </c>
      <c r="AP12" s="124">
        <v>0</v>
      </c>
    </row>
    <row r="13" spans="1:42" ht="165" x14ac:dyDescent="0.25">
      <c r="A13" s="34">
        <v>0</v>
      </c>
      <c r="B13" s="34">
        <v>0</v>
      </c>
      <c r="C13" s="34">
        <v>0</v>
      </c>
      <c r="D13" s="34">
        <v>0</v>
      </c>
      <c r="E13" s="74">
        <v>0</v>
      </c>
      <c r="F13" s="34">
        <v>0</v>
      </c>
      <c r="G13" s="34">
        <v>0</v>
      </c>
      <c r="H13" s="36">
        <v>0</v>
      </c>
      <c r="I13" s="39"/>
      <c r="J13" s="39"/>
      <c r="K13" s="36">
        <v>0</v>
      </c>
      <c r="L13" s="39"/>
      <c r="M13" s="39"/>
      <c r="N13" s="36">
        <f t="shared" si="0"/>
        <v>0</v>
      </c>
      <c r="O13" s="36">
        <f t="shared" si="0"/>
        <v>0</v>
      </c>
      <c r="P13" s="36">
        <f t="shared" si="0"/>
        <v>0</v>
      </c>
      <c r="Q13" s="36"/>
      <c r="R13" s="36"/>
      <c r="S13" s="36">
        <f t="shared" si="1"/>
        <v>0</v>
      </c>
      <c r="T13" s="37" t="s">
        <v>2972</v>
      </c>
      <c r="U13" s="37" t="s">
        <v>222</v>
      </c>
      <c r="V13" s="37">
        <v>20</v>
      </c>
      <c r="W13" s="10">
        <v>0</v>
      </c>
      <c r="X13" s="10"/>
      <c r="Y13" s="10"/>
      <c r="Z13" s="10">
        <v>0</v>
      </c>
      <c r="AA13" s="34">
        <v>150</v>
      </c>
      <c r="AB13" s="10"/>
      <c r="AC13" s="10"/>
      <c r="AD13" s="10" t="s">
        <v>2973</v>
      </c>
      <c r="AE13" s="10">
        <v>0</v>
      </c>
      <c r="AF13" s="10">
        <v>0</v>
      </c>
      <c r="AG13" s="10">
        <v>0</v>
      </c>
      <c r="AH13" s="124">
        <v>0</v>
      </c>
      <c r="AI13" s="124">
        <v>0</v>
      </c>
      <c r="AJ13" s="124">
        <v>0</v>
      </c>
      <c r="AK13" s="124">
        <v>0</v>
      </c>
      <c r="AL13" s="124" t="s">
        <v>218</v>
      </c>
      <c r="AM13" s="124" t="s">
        <v>218</v>
      </c>
      <c r="AN13" s="124" t="s">
        <v>218</v>
      </c>
      <c r="AO13" s="124" t="s">
        <v>218</v>
      </c>
      <c r="AP13" s="124" t="s">
        <v>218</v>
      </c>
    </row>
    <row r="14" spans="1:42" ht="96" x14ac:dyDescent="0.25">
      <c r="A14" s="34" t="s">
        <v>275</v>
      </c>
      <c r="B14" s="34" t="s">
        <v>276</v>
      </c>
      <c r="C14" s="34" t="s">
        <v>2932</v>
      </c>
      <c r="D14" s="34">
        <v>251420000</v>
      </c>
      <c r="E14" s="74" t="s">
        <v>2940</v>
      </c>
      <c r="F14" s="34" t="s">
        <v>2941</v>
      </c>
      <c r="G14" s="34" t="s">
        <v>2942</v>
      </c>
      <c r="H14" s="36">
        <v>700000000</v>
      </c>
      <c r="I14" s="39">
        <v>700000000</v>
      </c>
      <c r="J14" s="39">
        <v>440000000</v>
      </c>
      <c r="K14" s="36">
        <v>0</v>
      </c>
      <c r="L14" s="39"/>
      <c r="M14" s="39">
        <v>0</v>
      </c>
      <c r="N14" s="36">
        <f t="shared" si="0"/>
        <v>700000000</v>
      </c>
      <c r="O14" s="36">
        <f t="shared" si="0"/>
        <v>700000000</v>
      </c>
      <c r="P14" s="36">
        <f t="shared" si="0"/>
        <v>440000000</v>
      </c>
      <c r="Q14" s="36"/>
      <c r="R14" s="36">
        <v>0</v>
      </c>
      <c r="S14" s="36">
        <f t="shared" si="1"/>
        <v>0</v>
      </c>
      <c r="T14" s="37">
        <v>0</v>
      </c>
      <c r="U14" s="37">
        <v>0</v>
      </c>
      <c r="V14" s="37">
        <v>0</v>
      </c>
      <c r="W14" s="10"/>
      <c r="X14" s="10"/>
      <c r="Y14" s="10"/>
      <c r="Z14" s="10"/>
      <c r="AA14" s="34">
        <v>0</v>
      </c>
      <c r="AB14" s="10"/>
      <c r="AC14" s="10"/>
      <c r="AD14" s="10"/>
      <c r="AE14" s="10">
        <v>0</v>
      </c>
      <c r="AF14" s="10">
        <v>0</v>
      </c>
      <c r="AG14" s="10">
        <v>0</v>
      </c>
      <c r="AH14" s="124">
        <v>0</v>
      </c>
      <c r="AI14" s="124">
        <v>0</v>
      </c>
      <c r="AJ14" s="124">
        <v>0</v>
      </c>
      <c r="AK14" s="124">
        <v>0</v>
      </c>
      <c r="AL14" s="124">
        <v>0</v>
      </c>
      <c r="AM14" s="124">
        <v>0</v>
      </c>
      <c r="AN14" s="124">
        <v>0</v>
      </c>
      <c r="AO14" s="124">
        <v>0</v>
      </c>
      <c r="AP14" s="124">
        <v>0</v>
      </c>
    </row>
    <row r="15" spans="1:42" ht="90" x14ac:dyDescent="0.25">
      <c r="A15" s="34">
        <v>0</v>
      </c>
      <c r="B15" s="34">
        <v>0</v>
      </c>
      <c r="C15" s="34">
        <v>0</v>
      </c>
      <c r="D15" s="34">
        <v>0</v>
      </c>
      <c r="E15" s="74">
        <v>0</v>
      </c>
      <c r="F15" s="34">
        <v>0</v>
      </c>
      <c r="G15" s="34">
        <v>0</v>
      </c>
      <c r="H15" s="36">
        <v>0</v>
      </c>
      <c r="I15" s="39"/>
      <c r="J15" s="39"/>
      <c r="K15" s="36">
        <v>0</v>
      </c>
      <c r="L15" s="39"/>
      <c r="M15" s="39"/>
      <c r="N15" s="36">
        <f t="shared" si="0"/>
        <v>0</v>
      </c>
      <c r="O15" s="36">
        <f t="shared" si="0"/>
        <v>0</v>
      </c>
      <c r="P15" s="36">
        <f t="shared" si="0"/>
        <v>0</v>
      </c>
      <c r="Q15" s="36"/>
      <c r="R15" s="36"/>
      <c r="S15" s="36">
        <f t="shared" si="1"/>
        <v>0</v>
      </c>
      <c r="T15" s="37" t="s">
        <v>2974</v>
      </c>
      <c r="U15" s="37" t="s">
        <v>77</v>
      </c>
      <c r="V15" s="37">
        <v>9</v>
      </c>
      <c r="W15" s="10">
        <v>8</v>
      </c>
      <c r="X15" s="10"/>
      <c r="Y15" s="10">
        <v>6</v>
      </c>
      <c r="Z15" s="10">
        <v>8</v>
      </c>
      <c r="AA15" s="34">
        <v>300</v>
      </c>
      <c r="AB15" s="10">
        <f>6*30</f>
        <v>180</v>
      </c>
      <c r="AC15" s="10">
        <v>300</v>
      </c>
      <c r="AD15" s="10" t="s">
        <v>2975</v>
      </c>
      <c r="AE15" s="10" t="s">
        <v>218</v>
      </c>
      <c r="AF15" s="10" t="s">
        <v>218</v>
      </c>
      <c r="AG15" s="10" t="s">
        <v>218</v>
      </c>
      <c r="AH15" s="124" t="s">
        <v>218</v>
      </c>
      <c r="AI15" s="124" t="s">
        <v>218</v>
      </c>
      <c r="AJ15" s="124" t="s">
        <v>218</v>
      </c>
      <c r="AK15" s="124" t="s">
        <v>218</v>
      </c>
      <c r="AL15" s="124" t="s">
        <v>218</v>
      </c>
      <c r="AM15" s="124" t="s">
        <v>218</v>
      </c>
      <c r="AN15" s="124" t="s">
        <v>218</v>
      </c>
      <c r="AO15" s="124">
        <v>0</v>
      </c>
      <c r="AP15" s="124">
        <v>0</v>
      </c>
    </row>
    <row r="16" spans="1:42" ht="44.25" customHeight="1" x14ac:dyDescent="0.25">
      <c r="A16" s="34">
        <v>0</v>
      </c>
      <c r="B16" s="34">
        <v>0</v>
      </c>
      <c r="C16" s="34">
        <v>0</v>
      </c>
      <c r="D16" s="34">
        <v>0</v>
      </c>
      <c r="E16" s="74">
        <v>0</v>
      </c>
      <c r="F16" s="34">
        <v>0</v>
      </c>
      <c r="G16" s="34">
        <v>0</v>
      </c>
      <c r="H16" s="36">
        <v>0</v>
      </c>
      <c r="I16" s="39"/>
      <c r="J16" s="39"/>
      <c r="K16" s="36">
        <v>0</v>
      </c>
      <c r="L16" s="39"/>
      <c r="M16" s="39"/>
      <c r="N16" s="36">
        <f t="shared" si="0"/>
        <v>0</v>
      </c>
      <c r="O16" s="36">
        <f t="shared" si="0"/>
        <v>0</v>
      </c>
      <c r="P16" s="36">
        <f t="shared" si="0"/>
        <v>0</v>
      </c>
      <c r="Q16" s="36"/>
      <c r="R16" s="36"/>
      <c r="S16" s="36">
        <f t="shared" si="1"/>
        <v>0</v>
      </c>
      <c r="T16" s="37" t="s">
        <v>2976</v>
      </c>
      <c r="U16" s="37" t="s">
        <v>77</v>
      </c>
      <c r="V16" s="37">
        <v>6</v>
      </c>
      <c r="W16" s="10">
        <v>5</v>
      </c>
      <c r="X16" s="10"/>
      <c r="Y16" s="10">
        <v>2</v>
      </c>
      <c r="Z16" s="10">
        <v>5</v>
      </c>
      <c r="AA16" s="34">
        <v>270</v>
      </c>
      <c r="AB16" s="10">
        <v>90</v>
      </c>
      <c r="AC16" s="10">
        <v>270</v>
      </c>
      <c r="AD16" s="10" t="s">
        <v>2977</v>
      </c>
      <c r="AE16" s="10">
        <v>0</v>
      </c>
      <c r="AF16" s="10">
        <v>0</v>
      </c>
      <c r="AG16" s="10">
        <v>0</v>
      </c>
      <c r="AH16" s="124" t="s">
        <v>218</v>
      </c>
      <c r="AI16" s="124" t="s">
        <v>218</v>
      </c>
      <c r="AJ16" s="124" t="s">
        <v>218</v>
      </c>
      <c r="AK16" s="124" t="s">
        <v>218</v>
      </c>
      <c r="AL16" s="124" t="s">
        <v>218</v>
      </c>
      <c r="AM16" s="124" t="s">
        <v>218</v>
      </c>
      <c r="AN16" s="124" t="s">
        <v>218</v>
      </c>
      <c r="AO16" s="124" t="s">
        <v>218</v>
      </c>
      <c r="AP16" s="124" t="s">
        <v>218</v>
      </c>
    </row>
    <row r="17" spans="1:42" ht="24" x14ac:dyDescent="0.25">
      <c r="A17" s="34">
        <v>0</v>
      </c>
      <c r="B17" s="34">
        <v>0</v>
      </c>
      <c r="C17" s="34">
        <v>0</v>
      </c>
      <c r="D17" s="34">
        <v>0</v>
      </c>
      <c r="E17" s="74">
        <v>0</v>
      </c>
      <c r="F17" s="34">
        <v>0</v>
      </c>
      <c r="G17" s="34">
        <v>0</v>
      </c>
      <c r="H17" s="36">
        <v>0</v>
      </c>
      <c r="I17" s="39"/>
      <c r="J17" s="39"/>
      <c r="K17" s="36">
        <v>0</v>
      </c>
      <c r="L17" s="39"/>
      <c r="M17" s="39"/>
      <c r="N17" s="36">
        <f t="shared" si="0"/>
        <v>0</v>
      </c>
      <c r="O17" s="36">
        <f t="shared" si="0"/>
        <v>0</v>
      </c>
      <c r="P17" s="36">
        <f t="shared" si="0"/>
        <v>0</v>
      </c>
      <c r="Q17" s="36"/>
      <c r="R17" s="36"/>
      <c r="S17" s="36">
        <f t="shared" si="1"/>
        <v>0</v>
      </c>
      <c r="T17" s="37" t="s">
        <v>2978</v>
      </c>
      <c r="U17" s="37" t="s">
        <v>77</v>
      </c>
      <c r="V17" s="37">
        <v>1</v>
      </c>
      <c r="W17" s="10">
        <v>1</v>
      </c>
      <c r="X17" s="10"/>
      <c r="Y17" s="10">
        <v>1</v>
      </c>
      <c r="Z17" s="10">
        <v>1</v>
      </c>
      <c r="AA17" s="34">
        <v>180</v>
      </c>
      <c r="AB17" s="10">
        <f t="shared" ref="AB17" si="2">6*30</f>
        <v>180</v>
      </c>
      <c r="AC17" s="10">
        <v>360</v>
      </c>
      <c r="AD17" s="10"/>
      <c r="AE17" s="10" t="s">
        <v>218</v>
      </c>
      <c r="AF17" s="10" t="s">
        <v>218</v>
      </c>
      <c r="AG17" s="10" t="s">
        <v>218</v>
      </c>
      <c r="AH17" s="124" t="s">
        <v>218</v>
      </c>
      <c r="AI17" s="124" t="s">
        <v>218</v>
      </c>
      <c r="AJ17" s="124" t="s">
        <v>218</v>
      </c>
      <c r="AK17" s="124">
        <v>0</v>
      </c>
      <c r="AL17" s="124">
        <v>0</v>
      </c>
      <c r="AM17" s="124">
        <v>0</v>
      </c>
      <c r="AN17" s="124">
        <v>0</v>
      </c>
      <c r="AO17" s="124">
        <v>0</v>
      </c>
      <c r="AP17" s="124">
        <v>0</v>
      </c>
    </row>
    <row r="18" spans="1:42" ht="126" customHeight="1" x14ac:dyDescent="0.25">
      <c r="A18" s="34" t="s">
        <v>275</v>
      </c>
      <c r="B18" s="34" t="s">
        <v>276</v>
      </c>
      <c r="C18" s="34" t="s">
        <v>2932</v>
      </c>
      <c r="D18" s="34">
        <v>251430000</v>
      </c>
      <c r="E18" s="74" t="s">
        <v>2946</v>
      </c>
      <c r="F18" s="34" t="s">
        <v>2947</v>
      </c>
      <c r="G18" s="34" t="s">
        <v>2948</v>
      </c>
      <c r="H18" s="36">
        <v>7362000000</v>
      </c>
      <c r="I18" s="39">
        <v>9362000000</v>
      </c>
      <c r="J18" s="459">
        <v>13025000000</v>
      </c>
      <c r="K18" s="36">
        <v>0</v>
      </c>
      <c r="L18" s="39">
        <v>283379150645</v>
      </c>
      <c r="M18" s="247">
        <v>99814000000</v>
      </c>
      <c r="N18" s="36">
        <f t="shared" si="0"/>
        <v>7362000000</v>
      </c>
      <c r="O18" s="36">
        <f t="shared" si="0"/>
        <v>292741150645</v>
      </c>
      <c r="P18" s="36">
        <f t="shared" si="0"/>
        <v>112839000000</v>
      </c>
      <c r="Q18" s="36"/>
      <c r="R18" s="36"/>
      <c r="S18" s="36">
        <f t="shared" si="1"/>
        <v>0</v>
      </c>
      <c r="T18" s="37">
        <v>0</v>
      </c>
      <c r="U18" s="37">
        <v>0</v>
      </c>
      <c r="V18" s="37">
        <v>0</v>
      </c>
      <c r="W18" s="10"/>
      <c r="X18" s="10"/>
      <c r="Y18" s="10"/>
      <c r="Z18" s="10"/>
      <c r="AA18" s="34">
        <v>0</v>
      </c>
      <c r="AB18" s="10"/>
      <c r="AC18" s="10"/>
      <c r="AD18" s="10" t="s">
        <v>2979</v>
      </c>
      <c r="AE18" s="10">
        <v>0</v>
      </c>
      <c r="AF18" s="10">
        <v>0</v>
      </c>
      <c r="AG18" s="10">
        <v>0</v>
      </c>
      <c r="AH18" s="124">
        <v>0</v>
      </c>
      <c r="AI18" s="124">
        <v>0</v>
      </c>
      <c r="AJ18" s="124">
        <v>0</v>
      </c>
      <c r="AK18" s="124">
        <v>0</v>
      </c>
      <c r="AL18" s="124">
        <v>0</v>
      </c>
      <c r="AM18" s="124">
        <v>0</v>
      </c>
      <c r="AN18" s="124">
        <v>0</v>
      </c>
      <c r="AO18" s="124">
        <v>0</v>
      </c>
      <c r="AP18" s="124">
        <v>0</v>
      </c>
    </row>
    <row r="19" spans="1:42" x14ac:dyDescent="0.25">
      <c r="A19" s="34">
        <v>0</v>
      </c>
      <c r="B19" s="34">
        <v>0</v>
      </c>
      <c r="C19" s="34">
        <v>0</v>
      </c>
      <c r="D19" s="34">
        <v>0</v>
      </c>
      <c r="E19" s="74">
        <v>0</v>
      </c>
      <c r="F19" s="34">
        <v>0</v>
      </c>
      <c r="G19" s="34">
        <v>0</v>
      </c>
      <c r="H19" s="36">
        <v>0</v>
      </c>
      <c r="I19" s="39"/>
      <c r="J19" s="39"/>
      <c r="K19" s="36">
        <v>0</v>
      </c>
      <c r="L19" s="39"/>
      <c r="M19" s="39"/>
      <c r="N19" s="36">
        <f t="shared" si="0"/>
        <v>0</v>
      </c>
      <c r="O19" s="36">
        <f t="shared" si="0"/>
        <v>0</v>
      </c>
      <c r="P19" s="36">
        <f t="shared" si="0"/>
        <v>0</v>
      </c>
      <c r="Q19" s="36"/>
      <c r="R19" s="36"/>
      <c r="S19" s="36">
        <f t="shared" si="1"/>
        <v>0</v>
      </c>
      <c r="T19" s="37" t="s">
        <v>2980</v>
      </c>
      <c r="U19" s="37" t="s">
        <v>222</v>
      </c>
      <c r="V19" s="37">
        <v>14</v>
      </c>
      <c r="W19" s="10">
        <v>14</v>
      </c>
      <c r="X19" s="10"/>
      <c r="Y19" s="10">
        <v>7</v>
      </c>
      <c r="Z19" s="10">
        <v>14</v>
      </c>
      <c r="AA19" s="34">
        <v>360</v>
      </c>
      <c r="AB19" s="10">
        <v>180</v>
      </c>
      <c r="AC19" s="10">
        <v>360</v>
      </c>
      <c r="AD19" s="10"/>
      <c r="AE19" s="10" t="s">
        <v>218</v>
      </c>
      <c r="AF19" s="10" t="s">
        <v>218</v>
      </c>
      <c r="AG19" s="10" t="s">
        <v>218</v>
      </c>
      <c r="AH19" s="124" t="s">
        <v>218</v>
      </c>
      <c r="AI19" s="124" t="s">
        <v>218</v>
      </c>
      <c r="AJ19" s="124" t="s">
        <v>218</v>
      </c>
      <c r="AK19" s="124" t="s">
        <v>218</v>
      </c>
      <c r="AL19" s="124" t="s">
        <v>218</v>
      </c>
      <c r="AM19" s="124" t="s">
        <v>218</v>
      </c>
      <c r="AN19" s="124" t="s">
        <v>218</v>
      </c>
      <c r="AO19" s="124" t="s">
        <v>218</v>
      </c>
      <c r="AP19" s="124" t="s">
        <v>218</v>
      </c>
    </row>
    <row r="20" spans="1:42" x14ac:dyDescent="0.25">
      <c r="A20" s="34">
        <v>0</v>
      </c>
      <c r="B20" s="34">
        <v>0</v>
      </c>
      <c r="C20" s="34">
        <v>0</v>
      </c>
      <c r="D20" s="34">
        <v>0</v>
      </c>
      <c r="E20" s="74">
        <v>0</v>
      </c>
      <c r="F20" s="34">
        <v>0</v>
      </c>
      <c r="G20" s="34">
        <v>0</v>
      </c>
      <c r="H20" s="36">
        <v>0</v>
      </c>
      <c r="I20" s="39"/>
      <c r="J20" s="39"/>
      <c r="K20" s="36">
        <v>0</v>
      </c>
      <c r="L20" s="39"/>
      <c r="M20" s="39"/>
      <c r="N20" s="36">
        <f t="shared" si="0"/>
        <v>0</v>
      </c>
      <c r="O20" s="36">
        <f t="shared" si="0"/>
        <v>0</v>
      </c>
      <c r="P20" s="36">
        <f t="shared" si="0"/>
        <v>0</v>
      </c>
      <c r="Q20" s="36"/>
      <c r="R20" s="36"/>
      <c r="S20" s="36">
        <f t="shared" si="1"/>
        <v>0</v>
      </c>
      <c r="T20" s="37" t="s">
        <v>2981</v>
      </c>
      <c r="U20" s="37" t="s">
        <v>222</v>
      </c>
      <c r="V20" s="37">
        <v>14</v>
      </c>
      <c r="W20" s="10">
        <v>14</v>
      </c>
      <c r="X20" s="10"/>
      <c r="Y20" s="10">
        <v>7</v>
      </c>
      <c r="Z20" s="10">
        <v>14</v>
      </c>
      <c r="AA20" s="34">
        <v>360</v>
      </c>
      <c r="AB20" s="10">
        <v>180</v>
      </c>
      <c r="AC20" s="10">
        <v>360</v>
      </c>
      <c r="AD20" s="10"/>
      <c r="AE20" s="10" t="s">
        <v>218</v>
      </c>
      <c r="AF20" s="10" t="s">
        <v>218</v>
      </c>
      <c r="AG20" s="10" t="s">
        <v>218</v>
      </c>
      <c r="AH20" s="124" t="s">
        <v>218</v>
      </c>
      <c r="AI20" s="124" t="s">
        <v>218</v>
      </c>
      <c r="AJ20" s="124" t="s">
        <v>218</v>
      </c>
      <c r="AK20" s="124" t="s">
        <v>218</v>
      </c>
      <c r="AL20" s="124" t="s">
        <v>218</v>
      </c>
      <c r="AM20" s="124" t="s">
        <v>218</v>
      </c>
      <c r="AN20" s="124" t="s">
        <v>218</v>
      </c>
      <c r="AO20" s="124" t="s">
        <v>218</v>
      </c>
      <c r="AP20" s="124" t="s">
        <v>218</v>
      </c>
    </row>
    <row r="21" spans="1:42" ht="36" x14ac:dyDescent="0.25">
      <c r="A21" s="34">
        <v>0</v>
      </c>
      <c r="B21" s="34">
        <v>0</v>
      </c>
      <c r="C21" s="34">
        <v>0</v>
      </c>
      <c r="D21" s="34">
        <v>0</v>
      </c>
      <c r="E21" s="74">
        <v>0</v>
      </c>
      <c r="F21" s="34">
        <v>0</v>
      </c>
      <c r="G21" s="34">
        <v>0</v>
      </c>
      <c r="H21" s="36">
        <v>0</v>
      </c>
      <c r="I21" s="39"/>
      <c r="J21" s="39"/>
      <c r="K21" s="36">
        <v>0</v>
      </c>
      <c r="L21" s="39"/>
      <c r="M21" s="39"/>
      <c r="N21" s="36">
        <f t="shared" si="0"/>
        <v>0</v>
      </c>
      <c r="O21" s="36">
        <f t="shared" si="0"/>
        <v>0</v>
      </c>
      <c r="P21" s="36">
        <f t="shared" si="0"/>
        <v>0</v>
      </c>
      <c r="Q21" s="36"/>
      <c r="R21" s="36"/>
      <c r="S21" s="36">
        <f t="shared" si="1"/>
        <v>0</v>
      </c>
      <c r="T21" s="37" t="s">
        <v>2982</v>
      </c>
      <c r="U21" s="37" t="s">
        <v>222</v>
      </c>
      <c r="V21" s="37">
        <v>14</v>
      </c>
      <c r="W21" s="10">
        <v>14</v>
      </c>
      <c r="X21" s="10"/>
      <c r="Y21" s="10">
        <v>7</v>
      </c>
      <c r="Z21" s="10">
        <v>14</v>
      </c>
      <c r="AA21" s="34">
        <v>360</v>
      </c>
      <c r="AB21" s="10">
        <v>180</v>
      </c>
      <c r="AC21" s="10">
        <v>360</v>
      </c>
      <c r="AD21" s="10"/>
      <c r="AE21" s="10" t="s">
        <v>218</v>
      </c>
      <c r="AF21" s="10" t="s">
        <v>218</v>
      </c>
      <c r="AG21" s="10" t="s">
        <v>218</v>
      </c>
      <c r="AH21" s="124" t="s">
        <v>218</v>
      </c>
      <c r="AI21" s="124" t="s">
        <v>218</v>
      </c>
      <c r="AJ21" s="124" t="s">
        <v>218</v>
      </c>
      <c r="AK21" s="124" t="s">
        <v>218</v>
      </c>
      <c r="AL21" s="124" t="s">
        <v>218</v>
      </c>
      <c r="AM21" s="124" t="s">
        <v>218</v>
      </c>
      <c r="AN21" s="124" t="s">
        <v>218</v>
      </c>
      <c r="AO21" s="124" t="s">
        <v>218</v>
      </c>
      <c r="AP21" s="124" t="s">
        <v>218</v>
      </c>
    </row>
    <row r="22" spans="1:42" ht="24" x14ac:dyDescent="0.25">
      <c r="A22" s="34">
        <v>0</v>
      </c>
      <c r="B22" s="34">
        <v>0</v>
      </c>
      <c r="C22" s="34">
        <v>0</v>
      </c>
      <c r="D22" s="34">
        <v>0</v>
      </c>
      <c r="E22" s="74">
        <v>0</v>
      </c>
      <c r="F22" s="34">
        <v>0</v>
      </c>
      <c r="G22" s="34">
        <v>0</v>
      </c>
      <c r="H22" s="36">
        <v>0</v>
      </c>
      <c r="I22" s="39"/>
      <c r="J22" s="39"/>
      <c r="K22" s="36">
        <v>0</v>
      </c>
      <c r="L22" s="39"/>
      <c r="M22" s="39"/>
      <c r="N22" s="36">
        <f t="shared" si="0"/>
        <v>0</v>
      </c>
      <c r="O22" s="36">
        <f t="shared" si="0"/>
        <v>0</v>
      </c>
      <c r="P22" s="36">
        <f t="shared" si="0"/>
        <v>0</v>
      </c>
      <c r="Q22" s="36"/>
      <c r="R22" s="36"/>
      <c r="S22" s="36">
        <f t="shared" si="1"/>
        <v>0</v>
      </c>
      <c r="T22" s="37" t="s">
        <v>2983</v>
      </c>
      <c r="U22" s="37" t="s">
        <v>222</v>
      </c>
      <c r="V22" s="37">
        <v>14</v>
      </c>
      <c r="W22" s="10">
        <v>14</v>
      </c>
      <c r="X22" s="10"/>
      <c r="Y22" s="10">
        <v>7</v>
      </c>
      <c r="Z22" s="10">
        <v>14</v>
      </c>
      <c r="AA22" s="34">
        <v>360</v>
      </c>
      <c r="AB22" s="10">
        <v>180</v>
      </c>
      <c r="AC22" s="10">
        <v>360</v>
      </c>
      <c r="AD22" s="10"/>
      <c r="AE22" s="10" t="s">
        <v>218</v>
      </c>
      <c r="AF22" s="10" t="s">
        <v>218</v>
      </c>
      <c r="AG22" s="10" t="s">
        <v>218</v>
      </c>
      <c r="AH22" s="124" t="s">
        <v>218</v>
      </c>
      <c r="AI22" s="124" t="s">
        <v>218</v>
      </c>
      <c r="AJ22" s="124" t="s">
        <v>218</v>
      </c>
      <c r="AK22" s="124" t="s">
        <v>218</v>
      </c>
      <c r="AL22" s="124" t="s">
        <v>218</v>
      </c>
      <c r="AM22" s="124" t="s">
        <v>218</v>
      </c>
      <c r="AN22" s="124" t="s">
        <v>218</v>
      </c>
      <c r="AO22" s="124" t="s">
        <v>218</v>
      </c>
      <c r="AP22" s="124" t="s">
        <v>218</v>
      </c>
    </row>
    <row r="23" spans="1:42" ht="48" x14ac:dyDescent="0.25">
      <c r="A23" s="34">
        <v>0</v>
      </c>
      <c r="B23" s="34">
        <v>0</v>
      </c>
      <c r="C23" s="34">
        <v>0</v>
      </c>
      <c r="D23" s="34">
        <v>0</v>
      </c>
      <c r="E23" s="74">
        <v>0</v>
      </c>
      <c r="F23" s="34">
        <v>0</v>
      </c>
      <c r="G23" s="34">
        <v>0</v>
      </c>
      <c r="H23" s="36">
        <v>0</v>
      </c>
      <c r="I23" s="39"/>
      <c r="J23" s="39"/>
      <c r="K23" s="36">
        <v>0</v>
      </c>
      <c r="L23" s="39"/>
      <c r="M23" s="39"/>
      <c r="N23" s="36">
        <f t="shared" si="0"/>
        <v>0</v>
      </c>
      <c r="O23" s="36">
        <f t="shared" si="0"/>
        <v>0</v>
      </c>
      <c r="P23" s="36">
        <f t="shared" si="0"/>
        <v>0</v>
      </c>
      <c r="Q23" s="36"/>
      <c r="R23" s="36"/>
      <c r="S23" s="36">
        <f t="shared" si="1"/>
        <v>0</v>
      </c>
      <c r="T23" s="37" t="s">
        <v>2984</v>
      </c>
      <c r="U23" s="37" t="s">
        <v>222</v>
      </c>
      <c r="V23" s="37">
        <v>14</v>
      </c>
      <c r="W23" s="10">
        <v>14</v>
      </c>
      <c r="X23" s="10"/>
      <c r="Y23" s="10">
        <v>7</v>
      </c>
      <c r="Z23" s="10">
        <v>14</v>
      </c>
      <c r="AA23" s="34">
        <v>360</v>
      </c>
      <c r="AB23" s="10">
        <v>180</v>
      </c>
      <c r="AC23" s="10">
        <v>360</v>
      </c>
      <c r="AD23" s="10"/>
      <c r="AE23" s="10" t="s">
        <v>218</v>
      </c>
      <c r="AF23" s="10" t="s">
        <v>218</v>
      </c>
      <c r="AG23" s="10" t="s">
        <v>218</v>
      </c>
      <c r="AH23" s="124" t="s">
        <v>218</v>
      </c>
      <c r="AI23" s="124" t="s">
        <v>218</v>
      </c>
      <c r="AJ23" s="124" t="s">
        <v>218</v>
      </c>
      <c r="AK23" s="124" t="s">
        <v>218</v>
      </c>
      <c r="AL23" s="124" t="s">
        <v>218</v>
      </c>
      <c r="AM23" s="124" t="s">
        <v>218</v>
      </c>
      <c r="AN23" s="124" t="s">
        <v>218</v>
      </c>
      <c r="AO23" s="124" t="s">
        <v>218</v>
      </c>
      <c r="AP23" s="124" t="s">
        <v>218</v>
      </c>
    </row>
    <row r="24" spans="1:42" ht="24" x14ac:dyDescent="0.25">
      <c r="A24" s="34">
        <v>0</v>
      </c>
      <c r="B24" s="34">
        <v>0</v>
      </c>
      <c r="C24" s="34">
        <v>0</v>
      </c>
      <c r="D24" s="34">
        <v>0</v>
      </c>
      <c r="E24" s="74">
        <v>0</v>
      </c>
      <c r="F24" s="34">
        <v>0</v>
      </c>
      <c r="G24" s="34">
        <v>0</v>
      </c>
      <c r="H24" s="36">
        <v>0</v>
      </c>
      <c r="I24" s="39"/>
      <c r="J24" s="39"/>
      <c r="K24" s="36">
        <v>0</v>
      </c>
      <c r="L24" s="39"/>
      <c r="M24" s="39"/>
      <c r="N24" s="36">
        <f t="shared" si="0"/>
        <v>0</v>
      </c>
      <c r="O24" s="36">
        <f t="shared" si="0"/>
        <v>0</v>
      </c>
      <c r="P24" s="36">
        <f t="shared" si="0"/>
        <v>0</v>
      </c>
      <c r="Q24" s="36"/>
      <c r="R24" s="36"/>
      <c r="S24" s="36">
        <f t="shared" si="1"/>
        <v>0</v>
      </c>
      <c r="T24" s="37" t="s">
        <v>2985</v>
      </c>
      <c r="U24" s="37" t="s">
        <v>222</v>
      </c>
      <c r="V24" s="37">
        <v>15</v>
      </c>
      <c r="W24" s="10">
        <v>15</v>
      </c>
      <c r="X24" s="10"/>
      <c r="Y24" s="10">
        <v>7.5</v>
      </c>
      <c r="Z24" s="10">
        <v>15</v>
      </c>
      <c r="AA24" s="34">
        <v>360</v>
      </c>
      <c r="AB24" s="10">
        <v>180</v>
      </c>
      <c r="AC24" s="10">
        <v>360</v>
      </c>
      <c r="AD24" s="10"/>
      <c r="AE24" s="10" t="s">
        <v>218</v>
      </c>
      <c r="AF24" s="10" t="s">
        <v>218</v>
      </c>
      <c r="AG24" s="10" t="s">
        <v>218</v>
      </c>
      <c r="AH24" s="124" t="s">
        <v>218</v>
      </c>
      <c r="AI24" s="124" t="s">
        <v>218</v>
      </c>
      <c r="AJ24" s="124" t="s">
        <v>218</v>
      </c>
      <c r="AK24" s="124" t="s">
        <v>218</v>
      </c>
      <c r="AL24" s="124" t="s">
        <v>218</v>
      </c>
      <c r="AM24" s="124" t="s">
        <v>218</v>
      </c>
      <c r="AN24" s="124" t="s">
        <v>218</v>
      </c>
      <c r="AO24" s="124" t="s">
        <v>218</v>
      </c>
      <c r="AP24" s="124" t="s">
        <v>218</v>
      </c>
    </row>
    <row r="25" spans="1:42" ht="36" x14ac:dyDescent="0.25">
      <c r="A25" s="34">
        <v>0</v>
      </c>
      <c r="B25" s="34">
        <v>0</v>
      </c>
      <c r="C25" s="34">
        <v>0</v>
      </c>
      <c r="D25" s="34">
        <v>0</v>
      </c>
      <c r="E25" s="74">
        <v>0</v>
      </c>
      <c r="F25" s="34">
        <v>0</v>
      </c>
      <c r="G25" s="34">
        <v>0</v>
      </c>
      <c r="H25" s="36">
        <v>0</v>
      </c>
      <c r="I25" s="39"/>
      <c r="J25" s="39"/>
      <c r="K25" s="36">
        <v>0</v>
      </c>
      <c r="L25" s="39"/>
      <c r="M25" s="39"/>
      <c r="N25" s="36">
        <f t="shared" si="0"/>
        <v>0</v>
      </c>
      <c r="O25" s="36">
        <f t="shared" si="0"/>
        <v>0</v>
      </c>
      <c r="P25" s="36">
        <f t="shared" si="0"/>
        <v>0</v>
      </c>
      <c r="Q25" s="36"/>
      <c r="R25" s="36"/>
      <c r="S25" s="36">
        <f t="shared" si="1"/>
        <v>0</v>
      </c>
      <c r="T25" s="37" t="s">
        <v>2986</v>
      </c>
      <c r="U25" s="37" t="s">
        <v>222</v>
      </c>
      <c r="V25" s="37">
        <v>15</v>
      </c>
      <c r="W25" s="10">
        <v>15</v>
      </c>
      <c r="X25" s="10"/>
      <c r="Y25" s="10">
        <v>7.5</v>
      </c>
      <c r="Z25" s="10">
        <v>15</v>
      </c>
      <c r="AA25" s="34">
        <v>360</v>
      </c>
      <c r="AB25" s="10">
        <v>180</v>
      </c>
      <c r="AC25" s="10">
        <v>360</v>
      </c>
      <c r="AD25" s="10"/>
      <c r="AE25" s="10" t="s">
        <v>218</v>
      </c>
      <c r="AF25" s="10" t="s">
        <v>218</v>
      </c>
      <c r="AG25" s="10" t="s">
        <v>218</v>
      </c>
      <c r="AH25" s="124" t="s">
        <v>218</v>
      </c>
      <c r="AI25" s="124" t="s">
        <v>218</v>
      </c>
      <c r="AJ25" s="124" t="s">
        <v>218</v>
      </c>
      <c r="AK25" s="124" t="s">
        <v>218</v>
      </c>
      <c r="AL25" s="124" t="s">
        <v>218</v>
      </c>
      <c r="AM25" s="124" t="s">
        <v>218</v>
      </c>
      <c r="AN25" s="124" t="s">
        <v>218</v>
      </c>
      <c r="AO25" s="124" t="s">
        <v>218</v>
      </c>
      <c r="AP25" s="124" t="s">
        <v>218</v>
      </c>
    </row>
    <row r="26" spans="1:42" ht="120" x14ac:dyDescent="0.25">
      <c r="A26" s="34" t="s">
        <v>275</v>
      </c>
      <c r="B26" s="34" t="s">
        <v>276</v>
      </c>
      <c r="C26" s="34" t="s">
        <v>2932</v>
      </c>
      <c r="D26" s="34">
        <v>251430000</v>
      </c>
      <c r="E26" s="74" t="s">
        <v>2951</v>
      </c>
      <c r="F26" s="34" t="s">
        <v>2952</v>
      </c>
      <c r="G26" s="34" t="s">
        <v>2953</v>
      </c>
      <c r="H26" s="36">
        <v>10433000000</v>
      </c>
      <c r="I26" s="39">
        <v>11083000000</v>
      </c>
      <c r="J26" s="39">
        <v>7800000000</v>
      </c>
      <c r="K26" s="36">
        <v>0</v>
      </c>
      <c r="L26" s="39"/>
      <c r="M26" s="397">
        <v>21198000000</v>
      </c>
      <c r="N26" s="36">
        <f t="shared" si="0"/>
        <v>10433000000</v>
      </c>
      <c r="O26" s="36">
        <f t="shared" si="0"/>
        <v>11083000000</v>
      </c>
      <c r="P26" s="36">
        <f t="shared" si="0"/>
        <v>28998000000</v>
      </c>
      <c r="Q26" s="36"/>
      <c r="R26" s="36"/>
      <c r="S26" s="36">
        <f t="shared" si="1"/>
        <v>0</v>
      </c>
      <c r="T26" s="37">
        <v>0</v>
      </c>
      <c r="U26" s="37">
        <v>0</v>
      </c>
      <c r="V26" s="37">
        <v>0</v>
      </c>
      <c r="W26" s="10"/>
      <c r="X26" s="10"/>
      <c r="Y26" s="10"/>
      <c r="Z26" s="10"/>
      <c r="AA26" s="34">
        <v>0</v>
      </c>
      <c r="AB26" s="10"/>
      <c r="AC26" s="10"/>
      <c r="AD26" s="10" t="s">
        <v>2987</v>
      </c>
      <c r="AE26" s="10">
        <v>0</v>
      </c>
      <c r="AF26" s="10">
        <v>0</v>
      </c>
      <c r="AG26" s="10">
        <v>0</v>
      </c>
      <c r="AH26" s="124">
        <v>0</v>
      </c>
      <c r="AI26" s="124">
        <v>0</v>
      </c>
      <c r="AJ26" s="124">
        <v>0</v>
      </c>
      <c r="AK26" s="124">
        <v>0</v>
      </c>
      <c r="AL26" s="124">
        <v>0</v>
      </c>
      <c r="AM26" s="124">
        <v>0</v>
      </c>
      <c r="AN26" s="124">
        <v>0</v>
      </c>
      <c r="AO26" s="124">
        <v>0</v>
      </c>
      <c r="AP26" s="124">
        <v>0</v>
      </c>
    </row>
    <row r="27" spans="1:42" x14ac:dyDescent="0.25">
      <c r="A27" s="34">
        <v>0</v>
      </c>
      <c r="B27" s="34">
        <v>0</v>
      </c>
      <c r="C27" s="34">
        <v>0</v>
      </c>
      <c r="D27" s="34">
        <v>0</v>
      </c>
      <c r="E27" s="74">
        <v>0</v>
      </c>
      <c r="F27" s="34">
        <v>0</v>
      </c>
      <c r="G27" s="34">
        <v>0</v>
      </c>
      <c r="H27" s="36">
        <v>0</v>
      </c>
      <c r="I27" s="39"/>
      <c r="J27" s="39"/>
      <c r="K27" s="36">
        <v>0</v>
      </c>
      <c r="L27" s="39"/>
      <c r="M27" s="39"/>
      <c r="N27" s="36">
        <f t="shared" si="0"/>
        <v>0</v>
      </c>
      <c r="O27" s="36">
        <f t="shared" si="0"/>
        <v>0</v>
      </c>
      <c r="P27" s="36">
        <f t="shared" si="0"/>
        <v>0</v>
      </c>
      <c r="Q27" s="36"/>
      <c r="R27" s="36"/>
      <c r="S27" s="36">
        <f t="shared" si="1"/>
        <v>0</v>
      </c>
      <c r="T27" s="37" t="s">
        <v>2980</v>
      </c>
      <c r="U27" s="37" t="s">
        <v>222</v>
      </c>
      <c r="V27" s="37">
        <v>14</v>
      </c>
      <c r="W27" s="10">
        <v>14</v>
      </c>
      <c r="X27" s="10"/>
      <c r="Y27" s="10">
        <v>7</v>
      </c>
      <c r="Z27" s="10">
        <v>14</v>
      </c>
      <c r="AA27" s="34">
        <v>360</v>
      </c>
      <c r="AB27" s="10">
        <v>180</v>
      </c>
      <c r="AC27" s="10">
        <v>360</v>
      </c>
      <c r="AD27" s="10"/>
      <c r="AE27" s="10" t="s">
        <v>218</v>
      </c>
      <c r="AF27" s="10" t="s">
        <v>218</v>
      </c>
      <c r="AG27" s="10" t="s">
        <v>218</v>
      </c>
      <c r="AH27" s="124" t="s">
        <v>218</v>
      </c>
      <c r="AI27" s="124" t="s">
        <v>218</v>
      </c>
      <c r="AJ27" s="124" t="s">
        <v>218</v>
      </c>
      <c r="AK27" s="124" t="s">
        <v>218</v>
      </c>
      <c r="AL27" s="124" t="s">
        <v>218</v>
      </c>
      <c r="AM27" s="124" t="s">
        <v>218</v>
      </c>
      <c r="AN27" s="124" t="s">
        <v>218</v>
      </c>
      <c r="AO27" s="124" t="s">
        <v>218</v>
      </c>
      <c r="AP27" s="124" t="s">
        <v>218</v>
      </c>
    </row>
    <row r="28" spans="1:42" x14ac:dyDescent="0.25">
      <c r="A28" s="34">
        <v>0</v>
      </c>
      <c r="B28" s="34">
        <v>0</v>
      </c>
      <c r="C28" s="34">
        <v>0</v>
      </c>
      <c r="D28" s="34">
        <v>0</v>
      </c>
      <c r="E28" s="74">
        <v>0</v>
      </c>
      <c r="F28" s="34">
        <v>0</v>
      </c>
      <c r="G28" s="34">
        <v>0</v>
      </c>
      <c r="H28" s="36">
        <v>0</v>
      </c>
      <c r="I28" s="39"/>
      <c r="J28" s="39"/>
      <c r="K28" s="36">
        <v>0</v>
      </c>
      <c r="L28" s="39"/>
      <c r="M28" s="39"/>
      <c r="N28" s="36">
        <f t="shared" si="0"/>
        <v>0</v>
      </c>
      <c r="O28" s="36">
        <f t="shared" si="0"/>
        <v>0</v>
      </c>
      <c r="P28" s="36">
        <f t="shared" si="0"/>
        <v>0</v>
      </c>
      <c r="Q28" s="36"/>
      <c r="R28" s="36"/>
      <c r="S28" s="36">
        <f t="shared" si="1"/>
        <v>0</v>
      </c>
      <c r="T28" s="37" t="s">
        <v>2981</v>
      </c>
      <c r="U28" s="37" t="s">
        <v>222</v>
      </c>
      <c r="V28" s="37">
        <v>14</v>
      </c>
      <c r="W28" s="10">
        <v>14</v>
      </c>
      <c r="X28" s="10"/>
      <c r="Y28" s="10">
        <v>7</v>
      </c>
      <c r="Z28" s="10">
        <v>14</v>
      </c>
      <c r="AA28" s="34">
        <v>360</v>
      </c>
      <c r="AB28" s="10">
        <v>180</v>
      </c>
      <c r="AC28" s="10">
        <v>360</v>
      </c>
      <c r="AD28" s="10"/>
      <c r="AE28" s="10" t="s">
        <v>218</v>
      </c>
      <c r="AF28" s="10" t="s">
        <v>218</v>
      </c>
      <c r="AG28" s="10" t="s">
        <v>218</v>
      </c>
      <c r="AH28" s="124" t="s">
        <v>218</v>
      </c>
      <c r="AI28" s="124" t="s">
        <v>218</v>
      </c>
      <c r="AJ28" s="124" t="s">
        <v>218</v>
      </c>
      <c r="AK28" s="124" t="s">
        <v>218</v>
      </c>
      <c r="AL28" s="124" t="s">
        <v>218</v>
      </c>
      <c r="AM28" s="124" t="s">
        <v>218</v>
      </c>
      <c r="AN28" s="124" t="s">
        <v>218</v>
      </c>
      <c r="AO28" s="124" t="s">
        <v>218</v>
      </c>
      <c r="AP28" s="124" t="s">
        <v>218</v>
      </c>
    </row>
    <row r="29" spans="1:42" ht="46.5" customHeight="1" x14ac:dyDescent="0.25">
      <c r="A29" s="34">
        <v>0</v>
      </c>
      <c r="B29" s="34">
        <v>0</v>
      </c>
      <c r="C29" s="34">
        <v>0</v>
      </c>
      <c r="D29" s="34">
        <v>0</v>
      </c>
      <c r="E29" s="74">
        <v>0</v>
      </c>
      <c r="F29" s="34">
        <v>0</v>
      </c>
      <c r="G29" s="34">
        <v>0</v>
      </c>
      <c r="H29" s="36">
        <v>0</v>
      </c>
      <c r="I29" s="39"/>
      <c r="J29" s="39"/>
      <c r="K29" s="36">
        <v>0</v>
      </c>
      <c r="L29" s="39"/>
      <c r="M29" s="39"/>
      <c r="N29" s="36">
        <f t="shared" si="0"/>
        <v>0</v>
      </c>
      <c r="O29" s="36">
        <f t="shared" si="0"/>
        <v>0</v>
      </c>
      <c r="P29" s="36">
        <f t="shared" si="0"/>
        <v>0</v>
      </c>
      <c r="Q29" s="36"/>
      <c r="R29" s="36"/>
      <c r="S29" s="36">
        <f t="shared" si="1"/>
        <v>0</v>
      </c>
      <c r="T29" s="37" t="s">
        <v>2982</v>
      </c>
      <c r="U29" s="37" t="s">
        <v>222</v>
      </c>
      <c r="V29" s="37">
        <v>14</v>
      </c>
      <c r="W29" s="10">
        <v>14</v>
      </c>
      <c r="X29" s="10"/>
      <c r="Y29" s="10">
        <v>7</v>
      </c>
      <c r="Z29" s="10">
        <v>14</v>
      </c>
      <c r="AA29" s="34">
        <v>360</v>
      </c>
      <c r="AB29" s="10">
        <v>180</v>
      </c>
      <c r="AC29" s="10">
        <v>360</v>
      </c>
      <c r="AD29" s="10"/>
      <c r="AE29" s="10" t="s">
        <v>218</v>
      </c>
      <c r="AF29" s="10" t="s">
        <v>218</v>
      </c>
      <c r="AG29" s="10" t="s">
        <v>218</v>
      </c>
      <c r="AH29" s="124" t="s">
        <v>218</v>
      </c>
      <c r="AI29" s="124" t="s">
        <v>218</v>
      </c>
      <c r="AJ29" s="124" t="s">
        <v>218</v>
      </c>
      <c r="AK29" s="124" t="s">
        <v>218</v>
      </c>
      <c r="AL29" s="124" t="s">
        <v>218</v>
      </c>
      <c r="AM29" s="124" t="s">
        <v>218</v>
      </c>
      <c r="AN29" s="124" t="s">
        <v>218</v>
      </c>
      <c r="AO29" s="124" t="s">
        <v>218</v>
      </c>
      <c r="AP29" s="124" t="s">
        <v>218</v>
      </c>
    </row>
    <row r="30" spans="1:42" ht="24" x14ac:dyDescent="0.25">
      <c r="A30" s="34">
        <v>0</v>
      </c>
      <c r="B30" s="34">
        <v>0</v>
      </c>
      <c r="C30" s="34">
        <v>0</v>
      </c>
      <c r="D30" s="34">
        <v>0</v>
      </c>
      <c r="E30" s="74">
        <v>0</v>
      </c>
      <c r="F30" s="34">
        <v>0</v>
      </c>
      <c r="G30" s="34">
        <v>0</v>
      </c>
      <c r="H30" s="36">
        <v>0</v>
      </c>
      <c r="I30" s="39"/>
      <c r="J30" s="39"/>
      <c r="K30" s="36">
        <v>0</v>
      </c>
      <c r="L30" s="39"/>
      <c r="M30" s="39"/>
      <c r="N30" s="36">
        <f t="shared" si="0"/>
        <v>0</v>
      </c>
      <c r="O30" s="36">
        <f t="shared" si="0"/>
        <v>0</v>
      </c>
      <c r="P30" s="36">
        <f t="shared" si="0"/>
        <v>0</v>
      </c>
      <c r="Q30" s="36"/>
      <c r="R30" s="36"/>
      <c r="S30" s="36">
        <f t="shared" si="1"/>
        <v>0</v>
      </c>
      <c r="T30" s="37" t="s">
        <v>2983</v>
      </c>
      <c r="U30" s="37">
        <v>0</v>
      </c>
      <c r="V30" s="37">
        <v>0</v>
      </c>
      <c r="W30" s="10">
        <v>14</v>
      </c>
      <c r="X30" s="10"/>
      <c r="Y30" s="10">
        <v>7</v>
      </c>
      <c r="Z30" s="10">
        <v>14</v>
      </c>
      <c r="AA30" s="34">
        <v>0</v>
      </c>
      <c r="AB30" s="10">
        <v>180</v>
      </c>
      <c r="AC30" s="10">
        <v>360</v>
      </c>
      <c r="AD30" s="10"/>
      <c r="AE30" s="10">
        <v>0</v>
      </c>
      <c r="AF30" s="10">
        <v>0</v>
      </c>
      <c r="AG30" s="10">
        <v>0</v>
      </c>
      <c r="AH30" s="124">
        <v>0</v>
      </c>
      <c r="AI30" s="124">
        <v>0</v>
      </c>
      <c r="AJ30" s="124">
        <v>0</v>
      </c>
      <c r="AK30" s="124">
        <v>0</v>
      </c>
      <c r="AL30" s="124">
        <v>0</v>
      </c>
      <c r="AM30" s="124">
        <v>0</v>
      </c>
      <c r="AN30" s="124">
        <v>0</v>
      </c>
      <c r="AO30" s="124">
        <v>0</v>
      </c>
      <c r="AP30" s="124">
        <v>0</v>
      </c>
    </row>
    <row r="31" spans="1:42" ht="24" x14ac:dyDescent="0.25">
      <c r="A31" s="34">
        <v>0</v>
      </c>
      <c r="B31" s="34">
        <v>0</v>
      </c>
      <c r="C31" s="34">
        <v>0</v>
      </c>
      <c r="D31" s="34">
        <v>0</v>
      </c>
      <c r="E31" s="74">
        <v>0</v>
      </c>
      <c r="F31" s="34">
        <v>0</v>
      </c>
      <c r="G31" s="34">
        <v>0</v>
      </c>
      <c r="H31" s="36">
        <v>0</v>
      </c>
      <c r="I31" s="39"/>
      <c r="J31" s="39"/>
      <c r="K31" s="36">
        <v>0</v>
      </c>
      <c r="L31" s="39"/>
      <c r="M31" s="39"/>
      <c r="N31" s="36">
        <f t="shared" si="0"/>
        <v>0</v>
      </c>
      <c r="O31" s="36">
        <f t="shared" si="0"/>
        <v>0</v>
      </c>
      <c r="P31" s="36">
        <f t="shared" si="0"/>
        <v>0</v>
      </c>
      <c r="Q31" s="36"/>
      <c r="R31" s="36"/>
      <c r="S31" s="36">
        <f t="shared" si="1"/>
        <v>0</v>
      </c>
      <c r="T31" s="37" t="s">
        <v>2988</v>
      </c>
      <c r="U31" s="37" t="s">
        <v>222</v>
      </c>
      <c r="V31" s="37">
        <v>14</v>
      </c>
      <c r="W31" s="10">
        <v>14</v>
      </c>
      <c r="X31" s="10"/>
      <c r="Y31" s="10">
        <v>7</v>
      </c>
      <c r="Z31" s="10">
        <v>14</v>
      </c>
      <c r="AA31" s="34">
        <v>360</v>
      </c>
      <c r="AB31" s="10">
        <v>180</v>
      </c>
      <c r="AC31" s="10">
        <v>360</v>
      </c>
      <c r="AD31" s="10"/>
      <c r="AE31" s="10" t="s">
        <v>218</v>
      </c>
      <c r="AF31" s="10" t="s">
        <v>218</v>
      </c>
      <c r="AG31" s="10" t="s">
        <v>218</v>
      </c>
      <c r="AH31" s="124" t="s">
        <v>218</v>
      </c>
      <c r="AI31" s="124" t="s">
        <v>218</v>
      </c>
      <c r="AJ31" s="124" t="s">
        <v>218</v>
      </c>
      <c r="AK31" s="124" t="s">
        <v>218</v>
      </c>
      <c r="AL31" s="124" t="s">
        <v>218</v>
      </c>
      <c r="AM31" s="124" t="s">
        <v>218</v>
      </c>
      <c r="AN31" s="124" t="s">
        <v>218</v>
      </c>
      <c r="AO31" s="124" t="s">
        <v>218</v>
      </c>
      <c r="AP31" s="124" t="s">
        <v>218</v>
      </c>
    </row>
    <row r="32" spans="1:42" ht="48" x14ac:dyDescent="0.25">
      <c r="A32" s="34">
        <v>0</v>
      </c>
      <c r="B32" s="34">
        <v>0</v>
      </c>
      <c r="C32" s="34">
        <v>0</v>
      </c>
      <c r="D32" s="34">
        <v>0</v>
      </c>
      <c r="E32" s="74">
        <v>0</v>
      </c>
      <c r="F32" s="34">
        <v>0</v>
      </c>
      <c r="G32" s="34">
        <v>0</v>
      </c>
      <c r="H32" s="36">
        <v>0</v>
      </c>
      <c r="I32" s="39"/>
      <c r="J32" s="39"/>
      <c r="K32" s="36">
        <v>0</v>
      </c>
      <c r="L32" s="39"/>
      <c r="M32" s="39"/>
      <c r="N32" s="36">
        <f t="shared" si="0"/>
        <v>0</v>
      </c>
      <c r="O32" s="36">
        <f t="shared" si="0"/>
        <v>0</v>
      </c>
      <c r="P32" s="36">
        <f t="shared" si="0"/>
        <v>0</v>
      </c>
      <c r="Q32" s="36"/>
      <c r="R32" s="36"/>
      <c r="S32" s="36">
        <f t="shared" si="1"/>
        <v>0</v>
      </c>
      <c r="T32" s="37" t="s">
        <v>2984</v>
      </c>
      <c r="U32" s="37" t="s">
        <v>222</v>
      </c>
      <c r="V32" s="37">
        <v>14</v>
      </c>
      <c r="W32" s="10">
        <v>14</v>
      </c>
      <c r="X32" s="10"/>
      <c r="Y32" s="10">
        <v>7</v>
      </c>
      <c r="Z32" s="10">
        <v>14</v>
      </c>
      <c r="AA32" s="34">
        <v>360</v>
      </c>
      <c r="AB32" s="10">
        <v>180</v>
      </c>
      <c r="AC32" s="10">
        <v>360</v>
      </c>
      <c r="AD32" s="10"/>
      <c r="AE32" s="10" t="s">
        <v>218</v>
      </c>
      <c r="AF32" s="10" t="s">
        <v>218</v>
      </c>
      <c r="AG32" s="10" t="s">
        <v>218</v>
      </c>
      <c r="AH32" s="124" t="s">
        <v>218</v>
      </c>
      <c r="AI32" s="124" t="s">
        <v>218</v>
      </c>
      <c r="AJ32" s="124" t="s">
        <v>218</v>
      </c>
      <c r="AK32" s="124" t="s">
        <v>218</v>
      </c>
      <c r="AL32" s="124" t="s">
        <v>218</v>
      </c>
      <c r="AM32" s="124" t="s">
        <v>218</v>
      </c>
      <c r="AN32" s="124" t="s">
        <v>218</v>
      </c>
      <c r="AO32" s="124" t="s">
        <v>218</v>
      </c>
      <c r="AP32" s="124" t="s">
        <v>218</v>
      </c>
    </row>
    <row r="33" spans="1:42" ht="24" x14ac:dyDescent="0.25">
      <c r="A33" s="34">
        <v>0</v>
      </c>
      <c r="B33" s="34">
        <v>0</v>
      </c>
      <c r="C33" s="34">
        <v>0</v>
      </c>
      <c r="D33" s="34">
        <v>0</v>
      </c>
      <c r="E33" s="74">
        <v>0</v>
      </c>
      <c r="F33" s="34">
        <v>0</v>
      </c>
      <c r="G33" s="34">
        <v>0</v>
      </c>
      <c r="H33" s="36">
        <v>0</v>
      </c>
      <c r="I33" s="39"/>
      <c r="J33" s="39"/>
      <c r="K33" s="36">
        <v>0</v>
      </c>
      <c r="L33" s="39"/>
      <c r="M33" s="39"/>
      <c r="N33" s="36">
        <f t="shared" si="0"/>
        <v>0</v>
      </c>
      <c r="O33" s="36">
        <f t="shared" si="0"/>
        <v>0</v>
      </c>
      <c r="P33" s="36">
        <f t="shared" si="0"/>
        <v>0</v>
      </c>
      <c r="Q33" s="36"/>
      <c r="R33" s="36"/>
      <c r="S33" s="36">
        <f t="shared" si="1"/>
        <v>0</v>
      </c>
      <c r="T33" s="37" t="s">
        <v>2985</v>
      </c>
      <c r="U33" s="37" t="s">
        <v>222</v>
      </c>
      <c r="V33" s="37">
        <v>15</v>
      </c>
      <c r="W33" s="10">
        <v>15</v>
      </c>
      <c r="X33" s="10"/>
      <c r="Y33" s="10">
        <v>7.5</v>
      </c>
      <c r="Z33" s="10">
        <v>15</v>
      </c>
      <c r="AA33" s="34">
        <v>360</v>
      </c>
      <c r="AB33" s="10">
        <v>180</v>
      </c>
      <c r="AC33" s="10">
        <v>360</v>
      </c>
      <c r="AD33" s="10"/>
      <c r="AE33" s="10" t="s">
        <v>218</v>
      </c>
      <c r="AF33" s="10" t="s">
        <v>218</v>
      </c>
      <c r="AG33" s="10" t="s">
        <v>218</v>
      </c>
      <c r="AH33" s="124" t="s">
        <v>218</v>
      </c>
      <c r="AI33" s="124" t="s">
        <v>218</v>
      </c>
      <c r="AJ33" s="124" t="s">
        <v>218</v>
      </c>
      <c r="AK33" s="124" t="s">
        <v>218</v>
      </c>
      <c r="AL33" s="124" t="s">
        <v>218</v>
      </c>
      <c r="AM33" s="124" t="s">
        <v>218</v>
      </c>
      <c r="AN33" s="124" t="s">
        <v>218</v>
      </c>
      <c r="AO33" s="124" t="s">
        <v>218</v>
      </c>
      <c r="AP33" s="124" t="s">
        <v>218</v>
      </c>
    </row>
    <row r="34" spans="1:42" ht="36" x14ac:dyDescent="0.25">
      <c r="A34" s="34">
        <v>0</v>
      </c>
      <c r="B34" s="34">
        <v>0</v>
      </c>
      <c r="C34" s="34">
        <v>0</v>
      </c>
      <c r="D34" s="34">
        <v>0</v>
      </c>
      <c r="E34" s="74">
        <v>0</v>
      </c>
      <c r="F34" s="34">
        <v>0</v>
      </c>
      <c r="G34" s="34">
        <v>0</v>
      </c>
      <c r="H34" s="36">
        <v>0</v>
      </c>
      <c r="I34" s="39"/>
      <c r="J34" s="39"/>
      <c r="K34" s="36">
        <v>0</v>
      </c>
      <c r="L34" s="39"/>
      <c r="M34" s="39"/>
      <c r="N34" s="36">
        <f t="shared" si="0"/>
        <v>0</v>
      </c>
      <c r="O34" s="36">
        <f t="shared" si="0"/>
        <v>0</v>
      </c>
      <c r="P34" s="36">
        <f t="shared" si="0"/>
        <v>0</v>
      </c>
      <c r="Q34" s="36"/>
      <c r="R34" s="36"/>
      <c r="S34" s="36">
        <f t="shared" si="1"/>
        <v>0</v>
      </c>
      <c r="T34" s="37" t="s">
        <v>2986</v>
      </c>
      <c r="U34" s="37" t="s">
        <v>222</v>
      </c>
      <c r="V34" s="37">
        <v>15</v>
      </c>
      <c r="W34" s="10">
        <v>15</v>
      </c>
      <c r="X34" s="10"/>
      <c r="Y34" s="10">
        <v>7.5</v>
      </c>
      <c r="Z34" s="10">
        <v>15</v>
      </c>
      <c r="AA34" s="34">
        <v>360</v>
      </c>
      <c r="AB34" s="10">
        <v>180</v>
      </c>
      <c r="AC34" s="10">
        <v>360</v>
      </c>
      <c r="AD34" s="10"/>
      <c r="AE34" s="10" t="s">
        <v>218</v>
      </c>
      <c r="AF34" s="10" t="s">
        <v>218</v>
      </c>
      <c r="AG34" s="10" t="s">
        <v>218</v>
      </c>
      <c r="AH34" s="124" t="s">
        <v>218</v>
      </c>
      <c r="AI34" s="124" t="s">
        <v>218</v>
      </c>
      <c r="AJ34" s="124" t="s">
        <v>218</v>
      </c>
      <c r="AK34" s="124" t="s">
        <v>218</v>
      </c>
      <c r="AL34" s="124" t="s">
        <v>218</v>
      </c>
      <c r="AM34" s="124" t="s">
        <v>218</v>
      </c>
      <c r="AN34" s="124" t="s">
        <v>218</v>
      </c>
      <c r="AO34" s="124" t="s">
        <v>218</v>
      </c>
      <c r="AP34" s="124" t="s">
        <v>218</v>
      </c>
    </row>
    <row r="35" spans="1:42" ht="48" x14ac:dyDescent="0.25">
      <c r="A35" s="34" t="s">
        <v>275</v>
      </c>
      <c r="B35" s="34" t="s">
        <v>276</v>
      </c>
      <c r="C35" s="34" t="s">
        <v>2932</v>
      </c>
      <c r="D35" s="34">
        <v>251440000</v>
      </c>
      <c r="E35" s="74" t="s">
        <v>2957</v>
      </c>
      <c r="F35" s="34" t="s">
        <v>2958</v>
      </c>
      <c r="G35" s="34" t="s">
        <v>2959</v>
      </c>
      <c r="H35" s="36">
        <v>285000000</v>
      </c>
      <c r="I35" s="39">
        <v>635000000</v>
      </c>
      <c r="J35" s="39">
        <v>1585000000</v>
      </c>
      <c r="K35" s="36">
        <v>0</v>
      </c>
      <c r="L35" s="39"/>
      <c r="M35" s="39">
        <v>1679000000</v>
      </c>
      <c r="N35" s="36">
        <f t="shared" si="0"/>
        <v>285000000</v>
      </c>
      <c r="O35" s="36">
        <f t="shared" si="0"/>
        <v>635000000</v>
      </c>
      <c r="P35" s="36">
        <f t="shared" si="0"/>
        <v>3264000000</v>
      </c>
      <c r="Q35" s="36"/>
      <c r="R35" s="36"/>
      <c r="S35" s="36">
        <f t="shared" si="1"/>
        <v>0</v>
      </c>
      <c r="T35" s="37">
        <v>0</v>
      </c>
      <c r="U35" s="37">
        <v>0</v>
      </c>
      <c r="V35" s="37">
        <v>0</v>
      </c>
      <c r="W35" s="10"/>
      <c r="X35" s="10"/>
      <c r="Y35" s="10"/>
      <c r="Z35" s="10"/>
      <c r="AA35" s="34">
        <v>0</v>
      </c>
      <c r="AB35" s="10"/>
      <c r="AC35" s="10"/>
      <c r="AD35" s="10"/>
      <c r="AE35" s="10">
        <v>0</v>
      </c>
      <c r="AF35" s="10">
        <v>0</v>
      </c>
      <c r="AG35" s="10">
        <v>0</v>
      </c>
      <c r="AH35" s="124">
        <v>0</v>
      </c>
      <c r="AI35" s="124">
        <v>0</v>
      </c>
      <c r="AJ35" s="124">
        <v>0</v>
      </c>
      <c r="AK35" s="124">
        <v>0</v>
      </c>
      <c r="AL35" s="124">
        <v>0</v>
      </c>
      <c r="AM35" s="124">
        <v>0</v>
      </c>
      <c r="AN35" s="124">
        <v>0</v>
      </c>
      <c r="AO35" s="124">
        <v>0</v>
      </c>
      <c r="AP35" s="124">
        <v>0</v>
      </c>
    </row>
    <row r="36" spans="1:42" x14ac:dyDescent="0.25">
      <c r="A36" s="34">
        <v>0</v>
      </c>
      <c r="B36" s="34">
        <v>0</v>
      </c>
      <c r="C36" s="34">
        <v>0</v>
      </c>
      <c r="D36" s="34">
        <v>0</v>
      </c>
      <c r="E36" s="74">
        <v>0</v>
      </c>
      <c r="F36" s="34">
        <v>0</v>
      </c>
      <c r="G36" s="34">
        <v>0</v>
      </c>
      <c r="H36" s="36">
        <v>0</v>
      </c>
      <c r="I36" s="39"/>
      <c r="J36" s="39"/>
      <c r="K36" s="36">
        <v>0</v>
      </c>
      <c r="L36" s="39"/>
      <c r="M36" s="39"/>
      <c r="N36" s="36">
        <f t="shared" si="0"/>
        <v>0</v>
      </c>
      <c r="O36" s="36">
        <f t="shared" si="0"/>
        <v>0</v>
      </c>
      <c r="P36" s="36">
        <f t="shared" si="0"/>
        <v>0</v>
      </c>
      <c r="Q36" s="36"/>
      <c r="R36" s="36"/>
      <c r="S36" s="36">
        <f t="shared" si="1"/>
        <v>0</v>
      </c>
      <c r="T36" s="37" t="s">
        <v>2980</v>
      </c>
      <c r="U36" s="37" t="s">
        <v>222</v>
      </c>
      <c r="V36" s="37">
        <v>12.5</v>
      </c>
      <c r="W36" s="10">
        <v>12.5</v>
      </c>
      <c r="X36" s="10"/>
      <c r="Y36" s="10">
        <v>6.25</v>
      </c>
      <c r="Z36" s="10">
        <v>12.5</v>
      </c>
      <c r="AA36" s="34">
        <v>360</v>
      </c>
      <c r="AB36" s="10">
        <v>180</v>
      </c>
      <c r="AC36" s="10">
        <v>360</v>
      </c>
      <c r="AD36" s="10"/>
      <c r="AE36" s="10" t="s">
        <v>218</v>
      </c>
      <c r="AF36" s="10" t="s">
        <v>218</v>
      </c>
      <c r="AG36" s="10" t="s">
        <v>218</v>
      </c>
      <c r="AH36" s="124" t="s">
        <v>218</v>
      </c>
      <c r="AI36" s="124" t="s">
        <v>218</v>
      </c>
      <c r="AJ36" s="124" t="s">
        <v>218</v>
      </c>
      <c r="AK36" s="124" t="s">
        <v>218</v>
      </c>
      <c r="AL36" s="124" t="s">
        <v>218</v>
      </c>
      <c r="AM36" s="124" t="s">
        <v>218</v>
      </c>
      <c r="AN36" s="124" t="s">
        <v>218</v>
      </c>
      <c r="AO36" s="124" t="s">
        <v>218</v>
      </c>
      <c r="AP36" s="124" t="s">
        <v>218</v>
      </c>
    </row>
    <row r="37" spans="1:42" x14ac:dyDescent="0.25">
      <c r="A37" s="34">
        <v>0</v>
      </c>
      <c r="B37" s="34">
        <v>0</v>
      </c>
      <c r="C37" s="34">
        <v>0</v>
      </c>
      <c r="D37" s="34">
        <v>0</v>
      </c>
      <c r="E37" s="74">
        <v>0</v>
      </c>
      <c r="F37" s="34">
        <v>0</v>
      </c>
      <c r="G37" s="34">
        <v>0</v>
      </c>
      <c r="H37" s="36">
        <v>0</v>
      </c>
      <c r="I37" s="39"/>
      <c r="J37" s="39"/>
      <c r="K37" s="36">
        <v>0</v>
      </c>
      <c r="L37" s="39"/>
      <c r="M37" s="39"/>
      <c r="N37" s="36">
        <f t="shared" si="0"/>
        <v>0</v>
      </c>
      <c r="O37" s="36">
        <f t="shared" si="0"/>
        <v>0</v>
      </c>
      <c r="P37" s="36">
        <f t="shared" si="0"/>
        <v>0</v>
      </c>
      <c r="Q37" s="36"/>
      <c r="R37" s="36"/>
      <c r="S37" s="36">
        <f t="shared" si="1"/>
        <v>0</v>
      </c>
      <c r="T37" s="37" t="s">
        <v>2981</v>
      </c>
      <c r="U37" s="37" t="s">
        <v>222</v>
      </c>
      <c r="V37" s="37">
        <v>12.5</v>
      </c>
      <c r="W37" s="10">
        <v>12.5</v>
      </c>
      <c r="X37" s="10"/>
      <c r="Y37" s="10">
        <v>6.25</v>
      </c>
      <c r="Z37" s="10">
        <v>12.5</v>
      </c>
      <c r="AA37" s="34">
        <v>360</v>
      </c>
      <c r="AB37" s="10">
        <v>180</v>
      </c>
      <c r="AC37" s="10">
        <v>360</v>
      </c>
      <c r="AD37" s="10"/>
      <c r="AE37" s="10" t="s">
        <v>218</v>
      </c>
      <c r="AF37" s="10" t="s">
        <v>218</v>
      </c>
      <c r="AG37" s="10" t="s">
        <v>218</v>
      </c>
      <c r="AH37" s="124" t="s">
        <v>218</v>
      </c>
      <c r="AI37" s="124" t="s">
        <v>218</v>
      </c>
      <c r="AJ37" s="124" t="s">
        <v>218</v>
      </c>
      <c r="AK37" s="124" t="s">
        <v>218</v>
      </c>
      <c r="AL37" s="124" t="s">
        <v>218</v>
      </c>
      <c r="AM37" s="124" t="s">
        <v>218</v>
      </c>
      <c r="AN37" s="124" t="s">
        <v>218</v>
      </c>
      <c r="AO37" s="124" t="s">
        <v>218</v>
      </c>
      <c r="AP37" s="124" t="s">
        <v>218</v>
      </c>
    </row>
    <row r="38" spans="1:42" ht="45" customHeight="1" x14ac:dyDescent="0.25">
      <c r="A38" s="34">
        <v>0</v>
      </c>
      <c r="B38" s="34">
        <v>0</v>
      </c>
      <c r="C38" s="34">
        <v>0</v>
      </c>
      <c r="D38" s="34">
        <v>0</v>
      </c>
      <c r="E38" s="74">
        <v>0</v>
      </c>
      <c r="F38" s="34">
        <v>0</v>
      </c>
      <c r="G38" s="34">
        <v>0</v>
      </c>
      <c r="H38" s="36">
        <v>0</v>
      </c>
      <c r="I38" s="39"/>
      <c r="J38" s="39"/>
      <c r="K38" s="36">
        <v>0</v>
      </c>
      <c r="L38" s="39"/>
      <c r="M38" s="39"/>
      <c r="N38" s="36">
        <f t="shared" si="0"/>
        <v>0</v>
      </c>
      <c r="O38" s="36">
        <f t="shared" si="0"/>
        <v>0</v>
      </c>
      <c r="P38" s="36">
        <f t="shared" si="0"/>
        <v>0</v>
      </c>
      <c r="Q38" s="36"/>
      <c r="R38" s="36"/>
      <c r="S38" s="36">
        <f t="shared" si="1"/>
        <v>0</v>
      </c>
      <c r="T38" s="37" t="s">
        <v>2982</v>
      </c>
      <c r="U38" s="37" t="s">
        <v>222</v>
      </c>
      <c r="V38" s="37">
        <v>12.5</v>
      </c>
      <c r="W38" s="10">
        <v>12.5</v>
      </c>
      <c r="X38" s="10"/>
      <c r="Y38" s="10">
        <v>6.25</v>
      </c>
      <c r="Z38" s="10">
        <v>12.5</v>
      </c>
      <c r="AA38" s="34">
        <v>360</v>
      </c>
      <c r="AB38" s="10">
        <v>180</v>
      </c>
      <c r="AC38" s="10">
        <v>360</v>
      </c>
      <c r="AD38" s="10"/>
      <c r="AE38" s="10" t="s">
        <v>218</v>
      </c>
      <c r="AF38" s="10" t="s">
        <v>218</v>
      </c>
      <c r="AG38" s="10" t="s">
        <v>218</v>
      </c>
      <c r="AH38" s="124" t="s">
        <v>218</v>
      </c>
      <c r="AI38" s="124" t="s">
        <v>218</v>
      </c>
      <c r="AJ38" s="124" t="s">
        <v>218</v>
      </c>
      <c r="AK38" s="124" t="s">
        <v>218</v>
      </c>
      <c r="AL38" s="124" t="s">
        <v>218</v>
      </c>
      <c r="AM38" s="124" t="s">
        <v>218</v>
      </c>
      <c r="AN38" s="124" t="s">
        <v>218</v>
      </c>
      <c r="AO38" s="124" t="s">
        <v>218</v>
      </c>
      <c r="AP38" s="124" t="s">
        <v>218</v>
      </c>
    </row>
    <row r="39" spans="1:42" ht="40.5" customHeight="1" x14ac:dyDescent="0.25">
      <c r="A39" s="34">
        <v>0</v>
      </c>
      <c r="B39" s="34">
        <v>0</v>
      </c>
      <c r="C39" s="34">
        <v>0</v>
      </c>
      <c r="D39" s="34">
        <v>0</v>
      </c>
      <c r="E39" s="74">
        <v>0</v>
      </c>
      <c r="F39" s="34">
        <v>0</v>
      </c>
      <c r="G39" s="34">
        <v>0</v>
      </c>
      <c r="H39" s="36">
        <v>0</v>
      </c>
      <c r="I39" s="39"/>
      <c r="J39" s="39"/>
      <c r="K39" s="36">
        <v>0</v>
      </c>
      <c r="L39" s="39"/>
      <c r="M39" s="39"/>
      <c r="N39" s="36">
        <f t="shared" si="0"/>
        <v>0</v>
      </c>
      <c r="O39" s="36">
        <f t="shared" si="0"/>
        <v>0</v>
      </c>
      <c r="P39" s="36">
        <f t="shared" si="0"/>
        <v>0</v>
      </c>
      <c r="Q39" s="36"/>
      <c r="R39" s="36"/>
      <c r="S39" s="36">
        <f t="shared" si="1"/>
        <v>0</v>
      </c>
      <c r="T39" s="37" t="s">
        <v>2989</v>
      </c>
      <c r="U39" s="37" t="s">
        <v>222</v>
      </c>
      <c r="V39" s="37">
        <v>12.5</v>
      </c>
      <c r="W39" s="10">
        <v>12.5</v>
      </c>
      <c r="X39" s="10"/>
      <c r="Y39" s="10">
        <v>6.25</v>
      </c>
      <c r="Z39" s="10">
        <v>12.5</v>
      </c>
      <c r="AA39" s="34">
        <v>360</v>
      </c>
      <c r="AB39" s="10">
        <v>180</v>
      </c>
      <c r="AC39" s="10">
        <v>360</v>
      </c>
      <c r="AD39" s="10"/>
      <c r="AE39" s="10" t="s">
        <v>218</v>
      </c>
      <c r="AF39" s="10" t="s">
        <v>218</v>
      </c>
      <c r="AG39" s="10" t="s">
        <v>218</v>
      </c>
      <c r="AH39" s="124" t="s">
        <v>218</v>
      </c>
      <c r="AI39" s="124" t="s">
        <v>218</v>
      </c>
      <c r="AJ39" s="124" t="s">
        <v>218</v>
      </c>
      <c r="AK39" s="124" t="s">
        <v>218</v>
      </c>
      <c r="AL39" s="124" t="s">
        <v>218</v>
      </c>
      <c r="AM39" s="124" t="s">
        <v>218</v>
      </c>
      <c r="AN39" s="124" t="s">
        <v>218</v>
      </c>
      <c r="AO39" s="124" t="s">
        <v>218</v>
      </c>
      <c r="AP39" s="124" t="s">
        <v>218</v>
      </c>
    </row>
    <row r="40" spans="1:42" ht="45" customHeight="1" x14ac:dyDescent="0.25">
      <c r="A40" s="34">
        <v>0</v>
      </c>
      <c r="B40" s="34">
        <v>0</v>
      </c>
      <c r="C40" s="34">
        <v>0</v>
      </c>
      <c r="D40" s="34">
        <v>0</v>
      </c>
      <c r="E40" s="74">
        <v>0</v>
      </c>
      <c r="F40" s="34">
        <v>0</v>
      </c>
      <c r="G40" s="34">
        <v>0</v>
      </c>
      <c r="H40" s="36">
        <v>0</v>
      </c>
      <c r="I40" s="39"/>
      <c r="J40" s="39"/>
      <c r="K40" s="36">
        <v>0</v>
      </c>
      <c r="L40" s="39"/>
      <c r="M40" s="39"/>
      <c r="N40" s="36">
        <f t="shared" si="0"/>
        <v>0</v>
      </c>
      <c r="O40" s="36">
        <f t="shared" si="0"/>
        <v>0</v>
      </c>
      <c r="P40" s="36">
        <f t="shared" si="0"/>
        <v>0</v>
      </c>
      <c r="Q40" s="36"/>
      <c r="R40" s="36"/>
      <c r="S40" s="36">
        <f t="shared" si="1"/>
        <v>0</v>
      </c>
      <c r="T40" s="37" t="s">
        <v>2990</v>
      </c>
      <c r="U40" s="37" t="s">
        <v>222</v>
      </c>
      <c r="V40" s="37">
        <v>12.5</v>
      </c>
      <c r="W40" s="10">
        <v>12.5</v>
      </c>
      <c r="X40" s="10"/>
      <c r="Y40" s="10">
        <v>6.25</v>
      </c>
      <c r="Z40" s="10">
        <v>12.5</v>
      </c>
      <c r="AA40" s="34">
        <v>360</v>
      </c>
      <c r="AB40" s="10">
        <v>180</v>
      </c>
      <c r="AC40" s="10">
        <v>360</v>
      </c>
      <c r="AD40" s="10"/>
      <c r="AE40" s="10" t="s">
        <v>218</v>
      </c>
      <c r="AF40" s="10" t="s">
        <v>218</v>
      </c>
      <c r="AG40" s="10" t="s">
        <v>218</v>
      </c>
      <c r="AH40" s="124" t="s">
        <v>218</v>
      </c>
      <c r="AI40" s="124" t="s">
        <v>218</v>
      </c>
      <c r="AJ40" s="124" t="s">
        <v>218</v>
      </c>
      <c r="AK40" s="124" t="s">
        <v>218</v>
      </c>
      <c r="AL40" s="124" t="s">
        <v>218</v>
      </c>
      <c r="AM40" s="124" t="s">
        <v>218</v>
      </c>
      <c r="AN40" s="124" t="s">
        <v>218</v>
      </c>
      <c r="AO40" s="124" t="s">
        <v>218</v>
      </c>
      <c r="AP40" s="124" t="s">
        <v>218</v>
      </c>
    </row>
    <row r="41" spans="1:42" ht="48" x14ac:dyDescent="0.25">
      <c r="A41" s="34">
        <v>0</v>
      </c>
      <c r="B41" s="34">
        <v>0</v>
      </c>
      <c r="C41" s="34">
        <v>0</v>
      </c>
      <c r="D41" s="34">
        <v>0</v>
      </c>
      <c r="E41" s="74">
        <v>0</v>
      </c>
      <c r="F41" s="34">
        <v>0</v>
      </c>
      <c r="G41" s="34">
        <v>0</v>
      </c>
      <c r="H41" s="36">
        <v>0</v>
      </c>
      <c r="I41" s="39"/>
      <c r="J41" s="39"/>
      <c r="K41" s="36">
        <v>0</v>
      </c>
      <c r="L41" s="39"/>
      <c r="M41" s="39"/>
      <c r="N41" s="36">
        <f t="shared" si="0"/>
        <v>0</v>
      </c>
      <c r="O41" s="36">
        <f t="shared" si="0"/>
        <v>0</v>
      </c>
      <c r="P41" s="36">
        <f t="shared" si="0"/>
        <v>0</v>
      </c>
      <c r="Q41" s="36"/>
      <c r="R41" s="36"/>
      <c r="S41" s="36">
        <f t="shared" si="1"/>
        <v>0</v>
      </c>
      <c r="T41" s="37" t="s">
        <v>2984</v>
      </c>
      <c r="U41" s="37" t="s">
        <v>222</v>
      </c>
      <c r="V41" s="37">
        <v>12.5</v>
      </c>
      <c r="W41" s="10">
        <v>12.5</v>
      </c>
      <c r="X41" s="10"/>
      <c r="Y41" s="10">
        <v>6.25</v>
      </c>
      <c r="Z41" s="10">
        <v>12.5</v>
      </c>
      <c r="AA41" s="34">
        <v>360</v>
      </c>
      <c r="AB41" s="10">
        <v>180</v>
      </c>
      <c r="AC41" s="10">
        <v>360</v>
      </c>
      <c r="AD41" s="10"/>
      <c r="AE41" s="10" t="s">
        <v>218</v>
      </c>
      <c r="AF41" s="10" t="s">
        <v>218</v>
      </c>
      <c r="AG41" s="10" t="s">
        <v>218</v>
      </c>
      <c r="AH41" s="124" t="s">
        <v>218</v>
      </c>
      <c r="AI41" s="124" t="s">
        <v>218</v>
      </c>
      <c r="AJ41" s="124" t="s">
        <v>218</v>
      </c>
      <c r="AK41" s="124" t="s">
        <v>218</v>
      </c>
      <c r="AL41" s="124" t="s">
        <v>218</v>
      </c>
      <c r="AM41" s="124" t="s">
        <v>218</v>
      </c>
      <c r="AN41" s="124" t="s">
        <v>218</v>
      </c>
      <c r="AO41" s="124" t="s">
        <v>218</v>
      </c>
      <c r="AP41" s="124" t="s">
        <v>218</v>
      </c>
    </row>
    <row r="42" spans="1:42" ht="36" x14ac:dyDescent="0.25">
      <c r="A42" s="34">
        <v>0</v>
      </c>
      <c r="B42" s="34">
        <v>0</v>
      </c>
      <c r="C42" s="34">
        <v>0</v>
      </c>
      <c r="D42" s="34">
        <v>0</v>
      </c>
      <c r="E42" s="74">
        <v>0</v>
      </c>
      <c r="F42" s="34">
        <v>0</v>
      </c>
      <c r="G42" s="34">
        <v>0</v>
      </c>
      <c r="H42" s="36">
        <v>0</v>
      </c>
      <c r="I42" s="39"/>
      <c r="J42" s="39"/>
      <c r="K42" s="36">
        <v>0</v>
      </c>
      <c r="L42" s="39"/>
      <c r="M42" s="39"/>
      <c r="N42" s="36">
        <f t="shared" si="0"/>
        <v>0</v>
      </c>
      <c r="O42" s="36">
        <f t="shared" si="0"/>
        <v>0</v>
      </c>
      <c r="P42" s="36">
        <f t="shared" si="0"/>
        <v>0</v>
      </c>
      <c r="Q42" s="36"/>
      <c r="R42" s="36"/>
      <c r="S42" s="36">
        <f t="shared" si="1"/>
        <v>0</v>
      </c>
      <c r="T42" s="37" t="s">
        <v>2991</v>
      </c>
      <c r="U42" s="37" t="s">
        <v>222</v>
      </c>
      <c r="V42" s="37">
        <v>12.5</v>
      </c>
      <c r="W42" s="10">
        <v>12.5</v>
      </c>
      <c r="X42" s="10"/>
      <c r="Y42" s="10">
        <v>6.25</v>
      </c>
      <c r="Z42" s="10">
        <v>12.5</v>
      </c>
      <c r="AA42" s="34">
        <v>360</v>
      </c>
      <c r="AB42" s="10">
        <v>180</v>
      </c>
      <c r="AC42" s="10">
        <v>360</v>
      </c>
      <c r="AD42" s="10"/>
      <c r="AE42" s="10" t="s">
        <v>218</v>
      </c>
      <c r="AF42" s="10" t="s">
        <v>218</v>
      </c>
      <c r="AG42" s="10" t="s">
        <v>218</v>
      </c>
      <c r="AH42" s="124" t="s">
        <v>218</v>
      </c>
      <c r="AI42" s="124" t="s">
        <v>218</v>
      </c>
      <c r="AJ42" s="124" t="s">
        <v>218</v>
      </c>
      <c r="AK42" s="124" t="s">
        <v>218</v>
      </c>
      <c r="AL42" s="124" t="s">
        <v>218</v>
      </c>
      <c r="AM42" s="124" t="s">
        <v>218</v>
      </c>
      <c r="AN42" s="124" t="s">
        <v>218</v>
      </c>
      <c r="AO42" s="124" t="s">
        <v>218</v>
      </c>
      <c r="AP42" s="124" t="s">
        <v>218</v>
      </c>
    </row>
    <row r="43" spans="1:42" ht="24" x14ac:dyDescent="0.25">
      <c r="A43" s="34">
        <v>0</v>
      </c>
      <c r="B43" s="34">
        <v>0</v>
      </c>
      <c r="C43" s="34">
        <v>0</v>
      </c>
      <c r="D43" s="34">
        <v>0</v>
      </c>
      <c r="E43" s="74">
        <v>0</v>
      </c>
      <c r="F43" s="34">
        <v>0</v>
      </c>
      <c r="G43" s="34">
        <v>0</v>
      </c>
      <c r="H43" s="36">
        <v>0</v>
      </c>
      <c r="I43" s="39"/>
      <c r="J43" s="39"/>
      <c r="K43" s="36">
        <v>0</v>
      </c>
      <c r="L43" s="39"/>
      <c r="M43" s="39"/>
      <c r="N43" s="36">
        <f t="shared" si="0"/>
        <v>0</v>
      </c>
      <c r="O43" s="36">
        <f t="shared" si="0"/>
        <v>0</v>
      </c>
      <c r="P43" s="36">
        <f t="shared" si="0"/>
        <v>0</v>
      </c>
      <c r="Q43" s="36"/>
      <c r="R43" s="36"/>
      <c r="S43" s="36">
        <f t="shared" si="1"/>
        <v>0</v>
      </c>
      <c r="T43" s="37" t="s">
        <v>2992</v>
      </c>
      <c r="U43" s="37" t="s">
        <v>222</v>
      </c>
      <c r="V43" s="37">
        <v>12.5</v>
      </c>
      <c r="W43" s="10">
        <v>12.5</v>
      </c>
      <c r="X43" s="10"/>
      <c r="Y43" s="10">
        <v>6.25</v>
      </c>
      <c r="Z43" s="10">
        <v>12.5</v>
      </c>
      <c r="AA43" s="34">
        <v>360</v>
      </c>
      <c r="AB43" s="10">
        <v>180</v>
      </c>
      <c r="AC43" s="10">
        <v>360</v>
      </c>
      <c r="AD43" s="10"/>
      <c r="AE43" s="10" t="s">
        <v>218</v>
      </c>
      <c r="AF43" s="10" t="s">
        <v>218</v>
      </c>
      <c r="AG43" s="10" t="s">
        <v>218</v>
      </c>
      <c r="AH43" s="124" t="s">
        <v>218</v>
      </c>
      <c r="AI43" s="124" t="s">
        <v>218</v>
      </c>
      <c r="AJ43" s="124" t="s">
        <v>218</v>
      </c>
      <c r="AK43" s="124" t="s">
        <v>218</v>
      </c>
      <c r="AL43" s="124" t="s">
        <v>218</v>
      </c>
      <c r="AM43" s="124" t="s">
        <v>218</v>
      </c>
      <c r="AN43" s="124" t="s">
        <v>218</v>
      </c>
      <c r="AO43" s="124" t="s">
        <v>218</v>
      </c>
      <c r="AP43" s="124" t="s">
        <v>218</v>
      </c>
    </row>
    <row r="44" spans="1:42" ht="129" customHeight="1" x14ac:dyDescent="0.25">
      <c r="A44" s="34" t="s">
        <v>275</v>
      </c>
      <c r="B44" s="34" t="s">
        <v>276</v>
      </c>
      <c r="C44" s="34" t="s">
        <v>2932</v>
      </c>
      <c r="D44" s="34">
        <v>251460000</v>
      </c>
      <c r="E44" s="74" t="s">
        <v>2963</v>
      </c>
      <c r="F44" s="34" t="s">
        <v>2964</v>
      </c>
      <c r="G44" s="34" t="s">
        <v>2965</v>
      </c>
      <c r="H44" s="36">
        <v>20000000</v>
      </c>
      <c r="I44" s="39"/>
      <c r="J44" s="39">
        <v>20000000</v>
      </c>
      <c r="K44" s="36">
        <v>0</v>
      </c>
      <c r="L44" s="39"/>
      <c r="M44" s="39">
        <v>0</v>
      </c>
      <c r="N44" s="36">
        <f t="shared" si="0"/>
        <v>20000000</v>
      </c>
      <c r="O44" s="36">
        <f t="shared" si="0"/>
        <v>0</v>
      </c>
      <c r="P44" s="36">
        <f t="shared" si="0"/>
        <v>20000000</v>
      </c>
      <c r="Q44" s="36">
        <v>0</v>
      </c>
      <c r="R44" s="36"/>
      <c r="S44" s="36">
        <f t="shared" si="1"/>
        <v>0</v>
      </c>
      <c r="T44" s="37" t="s">
        <v>2993</v>
      </c>
      <c r="U44" s="37" t="s">
        <v>77</v>
      </c>
      <c r="V44" s="37">
        <v>250</v>
      </c>
      <c r="W44" s="10">
        <v>0</v>
      </c>
      <c r="X44" s="10"/>
      <c r="Y44" s="10">
        <v>0</v>
      </c>
      <c r="Z44" s="10">
        <v>0</v>
      </c>
      <c r="AA44" s="34">
        <v>180</v>
      </c>
      <c r="AB44" s="10">
        <v>0</v>
      </c>
      <c r="AC44" s="10"/>
      <c r="AD44" s="10"/>
      <c r="AE44" s="10">
        <v>0</v>
      </c>
      <c r="AF44" s="10">
        <v>0</v>
      </c>
      <c r="AG44" s="10">
        <v>0</v>
      </c>
      <c r="AH44" s="124">
        <v>0</v>
      </c>
      <c r="AI44" s="124">
        <v>0</v>
      </c>
      <c r="AJ44" s="124">
        <v>0</v>
      </c>
      <c r="AK44" s="124" t="s">
        <v>218</v>
      </c>
      <c r="AL44" s="124" t="s">
        <v>218</v>
      </c>
      <c r="AM44" s="124" t="s">
        <v>218</v>
      </c>
      <c r="AN44" s="124" t="s">
        <v>218</v>
      </c>
      <c r="AO44" s="124" t="s">
        <v>218</v>
      </c>
      <c r="AP44" s="124" t="s">
        <v>218</v>
      </c>
    </row>
    <row r="45" spans="1:42" ht="234" customHeight="1" x14ac:dyDescent="0.25">
      <c r="A45" s="41"/>
      <c r="B45" s="41"/>
      <c r="C45" s="41"/>
      <c r="D45" s="41"/>
      <c r="E45" s="41"/>
      <c r="F45" s="41"/>
      <c r="G45" s="41"/>
      <c r="H45" s="41"/>
      <c r="I45" s="41"/>
      <c r="J45" s="41"/>
      <c r="K45" s="41"/>
      <c r="L45" s="41"/>
      <c r="M45" s="41"/>
      <c r="N45" s="41"/>
      <c r="O45" s="41"/>
      <c r="P45" s="41"/>
      <c r="Q45" s="41"/>
      <c r="R45" s="41"/>
      <c r="S45" s="41"/>
      <c r="T45" s="37" t="s">
        <v>2994</v>
      </c>
      <c r="U45" s="37" t="s">
        <v>77</v>
      </c>
      <c r="V45" s="37">
        <v>31206</v>
      </c>
      <c r="W45" s="37">
        <v>15000</v>
      </c>
      <c r="X45" s="41"/>
      <c r="Y45" s="37">
        <v>4360</v>
      </c>
      <c r="Z45" s="10">
        <v>12379</v>
      </c>
      <c r="AA45" s="34">
        <v>360</v>
      </c>
      <c r="AB45" s="34">
        <v>180</v>
      </c>
      <c r="AC45" s="10">
        <v>360</v>
      </c>
      <c r="AD45" s="177" t="s">
        <v>2967</v>
      </c>
      <c r="AE45" s="10" t="s">
        <v>218</v>
      </c>
      <c r="AF45" s="10" t="s">
        <v>218</v>
      </c>
      <c r="AG45" s="10" t="s">
        <v>218</v>
      </c>
      <c r="AH45" s="124" t="s">
        <v>218</v>
      </c>
      <c r="AI45" s="124" t="s">
        <v>218</v>
      </c>
      <c r="AJ45" s="124" t="s">
        <v>218</v>
      </c>
      <c r="AK45" s="124" t="s">
        <v>218</v>
      </c>
      <c r="AL45" s="124" t="s">
        <v>218</v>
      </c>
      <c r="AM45" s="124" t="s">
        <v>218</v>
      </c>
      <c r="AN45" s="124" t="s">
        <v>218</v>
      </c>
      <c r="AO45" s="124" t="s">
        <v>218</v>
      </c>
      <c r="AP45" s="124" t="s">
        <v>218</v>
      </c>
    </row>
  </sheetData>
  <sheetProtection algorithmName="SHA-512" hashValue="UBQ3ElfVT75yaQQSD3S5V1PeuhANi0KVmCbR02JoDgbmcLD8UPIdwAlMJ/ksdhpFmCiFM8BmGGrs94GWVqcSHw==" saltValue="j8ki/lXD6sW6iys01QeMgg=="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topLeftCell="A4" zoomScale="85" zoomScaleNormal="85" workbookViewId="0">
      <pane ySplit="5" topLeftCell="A9" activePane="bottomLeft" state="frozen"/>
      <selection activeCell="A4" sqref="A4"/>
      <selection pane="bottomLeft" activeCell="I10" sqref="I10"/>
    </sheetView>
  </sheetViews>
  <sheetFormatPr baseColWidth="10" defaultRowHeight="15" x14ac:dyDescent="0.25"/>
  <cols>
    <col min="1" max="1" width="18.7109375" style="1" customWidth="1"/>
    <col min="2" max="2" width="18.42578125" style="1" customWidth="1"/>
    <col min="3" max="3" width="13" style="1" customWidth="1"/>
    <col min="4" max="4" width="11.42578125" style="1"/>
    <col min="5" max="5" width="13.140625" style="1" customWidth="1"/>
    <col min="6" max="6" width="15.5703125" style="1" customWidth="1"/>
    <col min="7" max="7" width="14.140625" style="1" customWidth="1"/>
    <col min="8" max="8" width="21.140625" style="1" customWidth="1"/>
    <col min="9" max="9" width="14.42578125" style="1" customWidth="1"/>
    <col min="10" max="10" width="15.42578125" style="1" customWidth="1"/>
    <col min="11" max="11" width="16.42578125" style="1" customWidth="1"/>
    <col min="12" max="16" width="11.42578125" style="1"/>
    <col min="17" max="17" width="52.85546875" style="1" customWidth="1"/>
    <col min="18" max="16384" width="11.42578125" style="1"/>
  </cols>
  <sheetData>
    <row r="1" spans="1:21" x14ac:dyDescent="0.25">
      <c r="A1" s="605" t="s">
        <v>0</v>
      </c>
      <c r="B1" s="605"/>
      <c r="C1" s="605"/>
      <c r="D1" s="605"/>
      <c r="E1" s="605"/>
      <c r="F1" s="605"/>
      <c r="G1" s="605"/>
      <c r="H1" s="605"/>
      <c r="I1" s="605"/>
      <c r="J1" s="605"/>
      <c r="K1" s="605"/>
      <c r="L1" s="605"/>
      <c r="M1" s="605"/>
      <c r="N1" s="605"/>
      <c r="O1" s="605"/>
    </row>
    <row r="2" spans="1:21" x14ac:dyDescent="0.25">
      <c r="A2" s="605" t="s">
        <v>1</v>
      </c>
      <c r="B2" s="605"/>
      <c r="C2" s="605"/>
      <c r="D2" s="605"/>
      <c r="E2" s="605"/>
      <c r="F2" s="605"/>
      <c r="G2" s="605"/>
      <c r="H2" s="605"/>
      <c r="I2" s="605"/>
      <c r="J2" s="605"/>
      <c r="K2" s="605"/>
      <c r="L2" s="605"/>
      <c r="M2" s="605"/>
      <c r="N2" s="605"/>
      <c r="O2" s="605"/>
    </row>
    <row r="3" spans="1:21" x14ac:dyDescent="0.25">
      <c r="A3" s="605" t="s">
        <v>2</v>
      </c>
      <c r="B3" s="605"/>
      <c r="C3" s="605"/>
      <c r="D3" s="605"/>
      <c r="E3" s="605"/>
      <c r="F3" s="605"/>
      <c r="G3" s="605"/>
      <c r="H3" s="605" t="s">
        <v>3</v>
      </c>
      <c r="I3" s="605"/>
      <c r="J3" s="605"/>
      <c r="K3" s="605"/>
      <c r="L3" s="605"/>
      <c r="M3" s="605"/>
      <c r="N3" s="605"/>
      <c r="O3" s="605"/>
    </row>
    <row r="4" spans="1:21" x14ac:dyDescent="0.25">
      <c r="A4" s="605">
        <v>2013</v>
      </c>
      <c r="B4" s="605"/>
      <c r="C4" s="605"/>
      <c r="D4" s="605"/>
      <c r="E4" s="605"/>
      <c r="F4" s="605"/>
      <c r="G4" s="605"/>
      <c r="H4" s="605"/>
      <c r="I4" s="605"/>
      <c r="J4" s="605"/>
      <c r="K4" s="605"/>
      <c r="L4" s="605"/>
      <c r="M4" s="605"/>
      <c r="N4" s="605"/>
      <c r="O4" s="605"/>
    </row>
    <row r="5" spans="1:21" x14ac:dyDescent="0.25">
      <c r="A5" s="2"/>
      <c r="B5" s="2"/>
      <c r="C5" s="2"/>
      <c r="D5" s="2"/>
      <c r="E5" s="2"/>
      <c r="F5" s="2"/>
      <c r="G5" s="2"/>
      <c r="H5" s="2"/>
      <c r="I5" s="2"/>
      <c r="J5" s="2"/>
      <c r="K5" s="2"/>
      <c r="L5" s="4"/>
      <c r="M5" s="5"/>
      <c r="N5" s="5"/>
      <c r="O5" s="5"/>
      <c r="Q5" s="155">
        <f>'[9]FORMATO FINANCIERO'!J44-'[9]FORMATO FINANCIERO'!H44</f>
        <v>0</v>
      </c>
    </row>
    <row r="6" spans="1:21" x14ac:dyDescent="0.25">
      <c r="A6" s="7" t="s">
        <v>4</v>
      </c>
      <c r="B6" s="606" t="s">
        <v>2929</v>
      </c>
      <c r="C6" s="606"/>
      <c r="D6" s="606"/>
      <c r="E6" s="606"/>
      <c r="F6" s="606"/>
      <c r="G6" s="606"/>
      <c r="H6" s="606"/>
      <c r="I6" s="606"/>
      <c r="J6" s="606"/>
      <c r="K6" s="606"/>
      <c r="L6" s="606"/>
      <c r="M6" s="606"/>
      <c r="N6" s="606"/>
      <c r="O6" s="606"/>
    </row>
    <row r="7" spans="1:21" x14ac:dyDescent="0.25">
      <c r="A7" s="617" t="s">
        <v>6</v>
      </c>
      <c r="B7" s="617" t="s">
        <v>7</v>
      </c>
      <c r="C7" s="617" t="s">
        <v>8</v>
      </c>
      <c r="D7" s="617" t="s">
        <v>9</v>
      </c>
      <c r="E7" s="617" t="s">
        <v>10</v>
      </c>
      <c r="F7" s="617" t="s">
        <v>11</v>
      </c>
      <c r="G7" s="617" t="s">
        <v>12</v>
      </c>
      <c r="H7" s="617" t="s">
        <v>13</v>
      </c>
      <c r="I7" s="621" t="s">
        <v>14</v>
      </c>
      <c r="J7" s="621" t="s">
        <v>2930</v>
      </c>
      <c r="K7" s="617" t="s">
        <v>16</v>
      </c>
      <c r="L7" s="617" t="s">
        <v>17</v>
      </c>
      <c r="M7" s="617" t="s">
        <v>18</v>
      </c>
      <c r="N7" s="623" t="s">
        <v>19</v>
      </c>
      <c r="O7" s="623" t="s">
        <v>20</v>
      </c>
      <c r="P7" s="623" t="s">
        <v>2931</v>
      </c>
      <c r="Q7" s="619" t="s">
        <v>22</v>
      </c>
    </row>
    <row r="8" spans="1:21" ht="55.5" customHeight="1" x14ac:dyDescent="0.25">
      <c r="A8" s="618"/>
      <c r="B8" s="618"/>
      <c r="C8" s="618"/>
      <c r="D8" s="618"/>
      <c r="E8" s="618"/>
      <c r="F8" s="618"/>
      <c r="G8" s="618"/>
      <c r="H8" s="618"/>
      <c r="I8" s="622"/>
      <c r="J8" s="622"/>
      <c r="K8" s="618"/>
      <c r="L8" s="618"/>
      <c r="M8" s="618"/>
      <c r="N8" s="624"/>
      <c r="O8" s="624"/>
      <c r="P8" s="624"/>
      <c r="Q8" s="620"/>
      <c r="S8" s="8"/>
      <c r="T8" s="8"/>
      <c r="U8" s="8"/>
    </row>
    <row r="9" spans="1:21" ht="133.5" customHeight="1" x14ac:dyDescent="0.25">
      <c r="A9" s="10" t="s">
        <v>275</v>
      </c>
      <c r="B9" s="10" t="s">
        <v>276</v>
      </c>
      <c r="C9" s="10" t="s">
        <v>2932</v>
      </c>
      <c r="D9" s="10">
        <v>251410000</v>
      </c>
      <c r="E9" s="10" t="s">
        <v>2933</v>
      </c>
      <c r="F9" s="11" t="s">
        <v>2934</v>
      </c>
      <c r="G9" s="10" t="s">
        <v>2935</v>
      </c>
      <c r="H9" s="10" t="s">
        <v>2936</v>
      </c>
      <c r="I9" s="10">
        <v>0</v>
      </c>
      <c r="J9" s="82">
        <v>-120000</v>
      </c>
      <c r="K9" s="10" t="s">
        <v>2937</v>
      </c>
      <c r="L9" s="10">
        <v>50</v>
      </c>
      <c r="M9" s="10">
        <v>50</v>
      </c>
      <c r="N9" s="10"/>
      <c r="O9" s="10">
        <v>45</v>
      </c>
      <c r="P9" s="10">
        <v>50</v>
      </c>
      <c r="Q9" s="10" t="s">
        <v>2938</v>
      </c>
      <c r="R9" s="16"/>
      <c r="U9" s="17"/>
    </row>
    <row r="10" spans="1:21" ht="90" x14ac:dyDescent="0.25">
      <c r="A10" s="10" t="s">
        <v>275</v>
      </c>
      <c r="B10" s="10" t="s">
        <v>276</v>
      </c>
      <c r="C10" s="10" t="s">
        <v>2932</v>
      </c>
      <c r="D10" s="10">
        <v>251420000</v>
      </c>
      <c r="E10" s="10" t="s">
        <v>2939</v>
      </c>
      <c r="F10" s="11" t="s">
        <v>2940</v>
      </c>
      <c r="G10" s="10" t="s">
        <v>2941</v>
      </c>
      <c r="H10" s="10" t="s">
        <v>2942</v>
      </c>
      <c r="I10" s="10">
        <v>0</v>
      </c>
      <c r="J10" s="10">
        <v>-26000000</v>
      </c>
      <c r="K10" s="10" t="s">
        <v>2943</v>
      </c>
      <c r="L10" s="10">
        <v>3</v>
      </c>
      <c r="M10" s="10">
        <v>5</v>
      </c>
      <c r="N10" s="10"/>
      <c r="O10" s="10">
        <v>3</v>
      </c>
      <c r="P10" s="10">
        <v>5</v>
      </c>
      <c r="Q10" s="10" t="s">
        <v>2944</v>
      </c>
      <c r="R10" s="16"/>
      <c r="U10" s="17"/>
    </row>
    <row r="11" spans="1:21" ht="50.25" customHeight="1" x14ac:dyDescent="0.25">
      <c r="A11" s="10" t="s">
        <v>275</v>
      </c>
      <c r="B11" s="10" t="s">
        <v>276</v>
      </c>
      <c r="C11" s="10" t="s">
        <v>2932</v>
      </c>
      <c r="D11" s="10">
        <v>251430000</v>
      </c>
      <c r="E11" s="10" t="s">
        <v>2945</v>
      </c>
      <c r="F11" s="11" t="s">
        <v>2946</v>
      </c>
      <c r="G11" s="10" t="s">
        <v>2947</v>
      </c>
      <c r="H11" s="10" t="s">
        <v>2948</v>
      </c>
      <c r="I11" s="10">
        <v>2000000000</v>
      </c>
      <c r="J11" s="10">
        <v>5663000000</v>
      </c>
      <c r="K11" s="10" t="s">
        <v>2949</v>
      </c>
      <c r="L11" s="10">
        <v>4908</v>
      </c>
      <c r="M11" s="10">
        <v>10000</v>
      </c>
      <c r="N11" s="10"/>
      <c r="O11" s="10">
        <v>7125</v>
      </c>
      <c r="P11" s="10">
        <v>8314</v>
      </c>
      <c r="Q11" s="10" t="s">
        <v>2950</v>
      </c>
      <c r="R11" s="16"/>
      <c r="U11" s="17"/>
    </row>
    <row r="12" spans="1:21" ht="60.75" customHeight="1" x14ac:dyDescent="0.25">
      <c r="A12" s="10" t="s">
        <v>275</v>
      </c>
      <c r="B12" s="10" t="s">
        <v>276</v>
      </c>
      <c r="C12" s="10" t="s">
        <v>2932</v>
      </c>
      <c r="D12" s="10">
        <v>251430000</v>
      </c>
      <c r="E12" s="10" t="s">
        <v>2945</v>
      </c>
      <c r="F12" s="11" t="s">
        <v>2951</v>
      </c>
      <c r="G12" s="10" t="s">
        <v>2952</v>
      </c>
      <c r="H12" s="10" t="s">
        <v>2953</v>
      </c>
      <c r="I12" s="10">
        <v>650000000</v>
      </c>
      <c r="J12" s="10">
        <v>-2633000000</v>
      </c>
      <c r="K12" s="10" t="s">
        <v>2954</v>
      </c>
      <c r="L12" s="10">
        <v>5787</v>
      </c>
      <c r="M12" s="10">
        <v>5787</v>
      </c>
      <c r="N12" s="10"/>
      <c r="O12" s="10">
        <v>0</v>
      </c>
      <c r="P12" s="10">
        <v>4007</v>
      </c>
      <c r="Q12" s="10" t="s">
        <v>2955</v>
      </c>
      <c r="R12" s="16"/>
      <c r="U12" s="17"/>
    </row>
    <row r="13" spans="1:21" ht="61.5" customHeight="1" x14ac:dyDescent="0.25">
      <c r="A13" s="10" t="s">
        <v>275</v>
      </c>
      <c r="B13" s="10" t="s">
        <v>276</v>
      </c>
      <c r="C13" s="10" t="s">
        <v>2932</v>
      </c>
      <c r="D13" s="10">
        <v>251440000</v>
      </c>
      <c r="E13" s="10" t="s">
        <v>2956</v>
      </c>
      <c r="F13" s="11" t="s">
        <v>2957</v>
      </c>
      <c r="G13" s="10" t="s">
        <v>2958</v>
      </c>
      <c r="H13" s="10" t="s">
        <v>2959</v>
      </c>
      <c r="I13" s="10">
        <v>350000000</v>
      </c>
      <c r="J13" s="39">
        <v>1300000000</v>
      </c>
      <c r="K13" s="10" t="s">
        <v>2960</v>
      </c>
      <c r="L13" s="10">
        <v>2850</v>
      </c>
      <c r="M13" s="10">
        <v>2850</v>
      </c>
      <c r="N13" s="10"/>
      <c r="O13" s="10">
        <v>1253</v>
      </c>
      <c r="P13" s="10">
        <v>2515</v>
      </c>
      <c r="Q13" s="10" t="s">
        <v>2961</v>
      </c>
      <c r="R13" s="16"/>
      <c r="U13" s="17"/>
    </row>
    <row r="14" spans="1:21" ht="225" x14ac:dyDescent="0.25">
      <c r="A14" s="10" t="s">
        <v>275</v>
      </c>
      <c r="B14" s="10" t="s">
        <v>276</v>
      </c>
      <c r="C14" s="10" t="s">
        <v>2932</v>
      </c>
      <c r="D14" s="10">
        <v>251460000</v>
      </c>
      <c r="E14" s="10" t="s">
        <v>2962</v>
      </c>
      <c r="F14" s="11" t="s">
        <v>2963</v>
      </c>
      <c r="G14" s="10" t="s">
        <v>2964</v>
      </c>
      <c r="H14" s="10" t="s">
        <v>2965</v>
      </c>
      <c r="I14" s="10">
        <v>0</v>
      </c>
      <c r="J14" s="10">
        <v>0</v>
      </c>
      <c r="K14" s="10" t="s">
        <v>2966</v>
      </c>
      <c r="L14" s="10">
        <v>31206</v>
      </c>
      <c r="M14" s="10">
        <v>15000</v>
      </c>
      <c r="N14" s="10"/>
      <c r="O14" s="10">
        <v>4360</v>
      </c>
      <c r="P14" s="10">
        <v>8019</v>
      </c>
      <c r="Q14" s="177" t="s">
        <v>2967</v>
      </c>
      <c r="R14" s="16"/>
      <c r="U14" s="17"/>
    </row>
    <row r="15" spans="1:21" x14ac:dyDescent="0.25">
      <c r="A15" s="10">
        <v>0</v>
      </c>
      <c r="B15" s="10">
        <v>0</v>
      </c>
      <c r="C15" s="10">
        <v>0</v>
      </c>
      <c r="D15" s="10">
        <v>0</v>
      </c>
      <c r="E15" s="10" t="s">
        <v>342</v>
      </c>
      <c r="F15" s="10">
        <v>0</v>
      </c>
      <c r="G15" s="10">
        <v>0</v>
      </c>
      <c r="H15" s="10">
        <v>0</v>
      </c>
      <c r="I15" s="10"/>
      <c r="J15" s="10">
        <v>0</v>
      </c>
      <c r="K15" s="10"/>
      <c r="L15" s="10"/>
      <c r="M15" s="10"/>
      <c r="N15" s="10"/>
      <c r="O15" s="10"/>
      <c r="P15" s="10"/>
      <c r="Q15" s="10"/>
    </row>
  </sheetData>
  <sheetProtection algorithmName="SHA-512" hashValue="zH1ZSJtmA/d9gvbFSRDyVagCEc8P7HnUDOoJ52s3mbK7coZVF1w0K5auFqVrmY8q+tGSaKwXgg46H0el2b1Q/w==" saltValue="RH5AwN6Poekpk2xdwoOYeQ==" spinCount="100000" sheet="1" objects="1" scenarios="1" insertRows="0"/>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2"/>
  <sheetViews>
    <sheetView showZeros="0" topLeftCell="S4" zoomScaleNormal="100" workbookViewId="0">
      <pane ySplit="5" topLeftCell="A9" activePane="bottomLeft" state="frozen"/>
      <selection activeCell="A4" sqref="A4"/>
      <selection pane="bottomLeft" activeCell="U9" sqref="U9"/>
    </sheetView>
  </sheetViews>
  <sheetFormatPr baseColWidth="10" defaultRowHeight="15" x14ac:dyDescent="0.25"/>
  <cols>
    <col min="1" max="1" width="13.7109375" style="1" customWidth="1"/>
    <col min="2" max="3" width="13.140625" style="1" customWidth="1"/>
    <col min="4" max="4" width="13" style="1" customWidth="1"/>
    <col min="5" max="5" width="14" style="1" customWidth="1"/>
    <col min="6" max="6" width="12.42578125" style="1" customWidth="1"/>
    <col min="7" max="7" width="17.28515625" style="1" customWidth="1"/>
    <col min="8" max="8" width="14.140625" style="1" customWidth="1"/>
    <col min="9" max="9" width="15.42578125" style="1" customWidth="1"/>
    <col min="10" max="10" width="14.7109375" style="1" customWidth="1"/>
    <col min="11" max="11" width="12.85546875" style="1" customWidth="1"/>
    <col min="12" max="12" width="12.7109375" style="1" customWidth="1"/>
    <col min="13" max="13" width="12.140625" style="1" customWidth="1"/>
    <col min="14" max="14" width="13" style="1" customWidth="1"/>
    <col min="15" max="15" width="15.28515625" style="1" customWidth="1"/>
    <col min="16" max="16" width="15.85546875" style="1" customWidth="1"/>
    <col min="17" max="17" width="13.7109375" style="1" customWidth="1"/>
    <col min="18" max="18" width="15.140625" style="1" customWidth="1"/>
    <col min="19" max="19" width="11.85546875" style="1" customWidth="1"/>
    <col min="20" max="20" width="20" style="1" customWidth="1"/>
    <col min="21" max="21" width="16.42578125" style="1" customWidth="1"/>
    <col min="22" max="22" width="11.42578125" style="1"/>
    <col min="23" max="23" width="14.140625" style="1" customWidth="1"/>
    <col min="24" max="24" width="14.42578125" style="1" customWidth="1"/>
    <col min="25" max="25" width="11.7109375" style="1" customWidth="1"/>
    <col min="26" max="26" width="11.42578125" style="1"/>
    <col min="27" max="27" width="13.7109375" style="1" customWidth="1"/>
    <col min="28" max="28" width="15.42578125" style="1" customWidth="1"/>
    <col min="29" max="29" width="15.85546875" style="1" customWidth="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42578125" style="1" bestFit="1" customWidth="1"/>
    <col min="37" max="37" width="4.140625" style="1" bestFit="1" customWidth="1"/>
    <col min="38" max="38" width="5.85546875" style="1" bestFit="1" customWidth="1"/>
    <col min="39" max="39" width="9.140625" style="1" bestFit="1" customWidth="1"/>
    <col min="40" max="40" width="6.42578125" style="1" bestFit="1" customWidth="1"/>
    <col min="41" max="41" width="8.85546875" style="1" bestFit="1" customWidth="1"/>
    <col min="42" max="42" width="8.28515625" style="1" bestFit="1" customWidth="1"/>
    <col min="43" max="256" width="11.42578125" style="1"/>
    <col min="257" max="257" width="13.7109375" style="1" customWidth="1"/>
    <col min="258" max="259" width="13.140625" style="1" customWidth="1"/>
    <col min="260" max="260" width="13" style="1" customWidth="1"/>
    <col min="261" max="261" width="14" style="1" customWidth="1"/>
    <col min="262" max="262" width="12.42578125" style="1" customWidth="1"/>
    <col min="263" max="263" width="17.28515625" style="1" customWidth="1"/>
    <col min="264" max="264" width="14.140625" style="1" customWidth="1"/>
    <col min="265" max="265" width="15.42578125" style="1" customWidth="1"/>
    <col min="266" max="266" width="14.7109375" style="1" customWidth="1"/>
    <col min="267" max="267" width="12.85546875" style="1" customWidth="1"/>
    <col min="268" max="268" width="12.7109375" style="1" customWidth="1"/>
    <col min="269" max="269" width="12.140625" style="1" customWidth="1"/>
    <col min="270" max="270" width="13" style="1" customWidth="1"/>
    <col min="271" max="271" width="15.28515625" style="1" customWidth="1"/>
    <col min="272" max="272" width="15.85546875" style="1" customWidth="1"/>
    <col min="273" max="273" width="13.7109375" style="1" customWidth="1"/>
    <col min="274" max="274" width="15.140625" style="1" customWidth="1"/>
    <col min="275" max="275" width="11.85546875" style="1" customWidth="1"/>
    <col min="276" max="276" width="20" style="1" customWidth="1"/>
    <col min="277" max="277" width="16.42578125" style="1" customWidth="1"/>
    <col min="278" max="278" width="11.42578125" style="1"/>
    <col min="279" max="279" width="14.140625" style="1" customWidth="1"/>
    <col min="280" max="280" width="14.42578125" style="1" customWidth="1"/>
    <col min="281" max="281" width="11.7109375" style="1" customWidth="1"/>
    <col min="282" max="282" width="11.42578125" style="1"/>
    <col min="283" max="283" width="13.7109375" style="1" customWidth="1"/>
    <col min="284" max="284" width="15.42578125" style="1" customWidth="1"/>
    <col min="285" max="285" width="15.85546875" style="1" customWidth="1"/>
    <col min="286" max="286" width="15.7109375" style="1" customWidth="1"/>
    <col min="287" max="287" width="5" style="1" bestFit="1" customWidth="1"/>
    <col min="288" max="288" width="6.42578125" style="1" bestFit="1" customWidth="1"/>
    <col min="289" max="289" width="5.42578125" style="1" bestFit="1" customWidth="1"/>
    <col min="290" max="290" width="4.28515625" style="1" bestFit="1" customWidth="1"/>
    <col min="291" max="291" width="5" style="1" bestFit="1" customWidth="1"/>
    <col min="292" max="292" width="4.42578125" style="1" bestFit="1" customWidth="1"/>
    <col min="293" max="293" width="4.140625" style="1" bestFit="1" customWidth="1"/>
    <col min="294" max="294" width="5.85546875" style="1" bestFit="1" customWidth="1"/>
    <col min="295" max="295" width="9.140625" style="1" bestFit="1" customWidth="1"/>
    <col min="296" max="296" width="6.42578125" style="1" bestFit="1" customWidth="1"/>
    <col min="297" max="297" width="8.85546875" style="1" bestFit="1" customWidth="1"/>
    <col min="298" max="298" width="8.28515625" style="1" bestFit="1" customWidth="1"/>
    <col min="299" max="512" width="11.42578125" style="1"/>
    <col min="513" max="513" width="13.7109375" style="1" customWidth="1"/>
    <col min="514" max="515" width="13.140625" style="1" customWidth="1"/>
    <col min="516" max="516" width="13" style="1" customWidth="1"/>
    <col min="517" max="517" width="14" style="1" customWidth="1"/>
    <col min="518" max="518" width="12.42578125" style="1" customWidth="1"/>
    <col min="519" max="519" width="17.28515625" style="1" customWidth="1"/>
    <col min="520" max="520" width="14.140625" style="1" customWidth="1"/>
    <col min="521" max="521" width="15.42578125" style="1" customWidth="1"/>
    <col min="522" max="522" width="14.7109375" style="1" customWidth="1"/>
    <col min="523" max="523" width="12.85546875" style="1" customWidth="1"/>
    <col min="524" max="524" width="12.7109375" style="1" customWidth="1"/>
    <col min="525" max="525" width="12.140625" style="1" customWidth="1"/>
    <col min="526" max="526" width="13" style="1" customWidth="1"/>
    <col min="527" max="527" width="15.28515625" style="1" customWidth="1"/>
    <col min="528" max="528" width="15.85546875" style="1" customWidth="1"/>
    <col min="529" max="529" width="13.7109375" style="1" customWidth="1"/>
    <col min="530" max="530" width="15.140625" style="1" customWidth="1"/>
    <col min="531" max="531" width="11.85546875" style="1" customWidth="1"/>
    <col min="532" max="532" width="20" style="1" customWidth="1"/>
    <col min="533" max="533" width="16.42578125" style="1" customWidth="1"/>
    <col min="534" max="534" width="11.42578125" style="1"/>
    <col min="535" max="535" width="14.140625" style="1" customWidth="1"/>
    <col min="536" max="536" width="14.42578125" style="1" customWidth="1"/>
    <col min="537" max="537" width="11.7109375" style="1" customWidth="1"/>
    <col min="538" max="538" width="11.42578125" style="1"/>
    <col min="539" max="539" width="13.7109375" style="1" customWidth="1"/>
    <col min="540" max="540" width="15.42578125" style="1" customWidth="1"/>
    <col min="541" max="541" width="15.85546875" style="1" customWidth="1"/>
    <col min="542" max="542" width="15.7109375" style="1" customWidth="1"/>
    <col min="543" max="543" width="5" style="1" bestFit="1" customWidth="1"/>
    <col min="544" max="544" width="6.42578125" style="1" bestFit="1" customWidth="1"/>
    <col min="545" max="545" width="5.42578125" style="1" bestFit="1" customWidth="1"/>
    <col min="546" max="546" width="4.28515625" style="1" bestFit="1" customWidth="1"/>
    <col min="547" max="547" width="5" style="1" bestFit="1" customWidth="1"/>
    <col min="548" max="548" width="4.42578125" style="1" bestFit="1" customWidth="1"/>
    <col min="549" max="549" width="4.140625" style="1" bestFit="1" customWidth="1"/>
    <col min="550" max="550" width="5.85546875" style="1" bestFit="1" customWidth="1"/>
    <col min="551" max="551" width="9.140625" style="1" bestFit="1" customWidth="1"/>
    <col min="552" max="552" width="6.42578125" style="1" bestFit="1" customWidth="1"/>
    <col min="553" max="553" width="8.85546875" style="1" bestFit="1" customWidth="1"/>
    <col min="554" max="554" width="8.28515625" style="1" bestFit="1" customWidth="1"/>
    <col min="555" max="768" width="11.42578125" style="1"/>
    <col min="769" max="769" width="13.7109375" style="1" customWidth="1"/>
    <col min="770" max="771" width="13.140625" style="1" customWidth="1"/>
    <col min="772" max="772" width="13" style="1" customWidth="1"/>
    <col min="773" max="773" width="14" style="1" customWidth="1"/>
    <col min="774" max="774" width="12.42578125" style="1" customWidth="1"/>
    <col min="775" max="775" width="17.28515625" style="1" customWidth="1"/>
    <col min="776" max="776" width="14.140625" style="1" customWidth="1"/>
    <col min="777" max="777" width="15.42578125" style="1" customWidth="1"/>
    <col min="778" max="778" width="14.7109375" style="1" customWidth="1"/>
    <col min="779" max="779" width="12.85546875" style="1" customWidth="1"/>
    <col min="780" max="780" width="12.7109375" style="1" customWidth="1"/>
    <col min="781" max="781" width="12.140625" style="1" customWidth="1"/>
    <col min="782" max="782" width="13" style="1" customWidth="1"/>
    <col min="783" max="783" width="15.28515625" style="1" customWidth="1"/>
    <col min="784" max="784" width="15.85546875" style="1" customWidth="1"/>
    <col min="785" max="785" width="13.7109375" style="1" customWidth="1"/>
    <col min="786" max="786" width="15.140625" style="1" customWidth="1"/>
    <col min="787" max="787" width="11.85546875" style="1" customWidth="1"/>
    <col min="788" max="788" width="20" style="1" customWidth="1"/>
    <col min="789" max="789" width="16.42578125" style="1" customWidth="1"/>
    <col min="790" max="790" width="11.42578125" style="1"/>
    <col min="791" max="791" width="14.140625" style="1" customWidth="1"/>
    <col min="792" max="792" width="14.42578125" style="1" customWidth="1"/>
    <col min="793" max="793" width="11.7109375" style="1" customWidth="1"/>
    <col min="794" max="794" width="11.42578125" style="1"/>
    <col min="795" max="795" width="13.7109375" style="1" customWidth="1"/>
    <col min="796" max="796" width="15.42578125" style="1" customWidth="1"/>
    <col min="797" max="797" width="15.85546875" style="1" customWidth="1"/>
    <col min="798" max="798" width="15.7109375" style="1" customWidth="1"/>
    <col min="799" max="799" width="5" style="1" bestFit="1" customWidth="1"/>
    <col min="800" max="800" width="6.42578125" style="1" bestFit="1" customWidth="1"/>
    <col min="801" max="801" width="5.42578125" style="1" bestFit="1" customWidth="1"/>
    <col min="802" max="802" width="4.28515625" style="1" bestFit="1" customWidth="1"/>
    <col min="803" max="803" width="5" style="1" bestFit="1" customWidth="1"/>
    <col min="804" max="804" width="4.42578125" style="1" bestFit="1" customWidth="1"/>
    <col min="805" max="805" width="4.140625" style="1" bestFit="1" customWidth="1"/>
    <col min="806" max="806" width="5.85546875" style="1" bestFit="1" customWidth="1"/>
    <col min="807" max="807" width="9.140625" style="1" bestFit="1" customWidth="1"/>
    <col min="808" max="808" width="6.42578125" style="1" bestFit="1" customWidth="1"/>
    <col min="809" max="809" width="8.85546875" style="1" bestFit="1" customWidth="1"/>
    <col min="810" max="810" width="8.28515625" style="1" bestFit="1" customWidth="1"/>
    <col min="811" max="1024" width="11.42578125" style="1"/>
    <col min="1025" max="1025" width="13.7109375" style="1" customWidth="1"/>
    <col min="1026" max="1027" width="13.140625" style="1" customWidth="1"/>
    <col min="1028" max="1028" width="13" style="1" customWidth="1"/>
    <col min="1029" max="1029" width="14" style="1" customWidth="1"/>
    <col min="1030" max="1030" width="12.42578125" style="1" customWidth="1"/>
    <col min="1031" max="1031" width="17.28515625" style="1" customWidth="1"/>
    <col min="1032" max="1032" width="14.140625" style="1" customWidth="1"/>
    <col min="1033" max="1033" width="15.42578125" style="1" customWidth="1"/>
    <col min="1034" max="1034" width="14.7109375" style="1" customWidth="1"/>
    <col min="1035" max="1035" width="12.85546875" style="1" customWidth="1"/>
    <col min="1036" max="1036" width="12.7109375" style="1" customWidth="1"/>
    <col min="1037" max="1037" width="12.140625" style="1" customWidth="1"/>
    <col min="1038" max="1038" width="13" style="1" customWidth="1"/>
    <col min="1039" max="1039" width="15.28515625" style="1" customWidth="1"/>
    <col min="1040" max="1040" width="15.85546875" style="1" customWidth="1"/>
    <col min="1041" max="1041" width="13.7109375" style="1" customWidth="1"/>
    <col min="1042" max="1042" width="15.140625" style="1" customWidth="1"/>
    <col min="1043" max="1043" width="11.85546875" style="1" customWidth="1"/>
    <col min="1044" max="1044" width="20" style="1" customWidth="1"/>
    <col min="1045" max="1045" width="16.42578125" style="1" customWidth="1"/>
    <col min="1046" max="1046" width="11.42578125" style="1"/>
    <col min="1047" max="1047" width="14.140625" style="1" customWidth="1"/>
    <col min="1048" max="1048" width="14.42578125" style="1" customWidth="1"/>
    <col min="1049" max="1049" width="11.7109375" style="1" customWidth="1"/>
    <col min="1050" max="1050" width="11.42578125" style="1"/>
    <col min="1051" max="1051" width="13.7109375" style="1" customWidth="1"/>
    <col min="1052" max="1052" width="15.42578125" style="1" customWidth="1"/>
    <col min="1053" max="1053" width="15.85546875" style="1" customWidth="1"/>
    <col min="1054" max="1054" width="15.7109375" style="1" customWidth="1"/>
    <col min="1055" max="1055" width="5" style="1" bestFit="1" customWidth="1"/>
    <col min="1056" max="1056" width="6.42578125" style="1" bestFit="1" customWidth="1"/>
    <col min="1057" max="1057" width="5.42578125" style="1" bestFit="1" customWidth="1"/>
    <col min="1058" max="1058" width="4.28515625" style="1" bestFit="1" customWidth="1"/>
    <col min="1059" max="1059" width="5" style="1" bestFit="1" customWidth="1"/>
    <col min="1060" max="1060" width="4.42578125" style="1" bestFit="1" customWidth="1"/>
    <col min="1061" max="1061" width="4.140625" style="1" bestFit="1" customWidth="1"/>
    <col min="1062" max="1062" width="5.85546875" style="1" bestFit="1" customWidth="1"/>
    <col min="1063" max="1063" width="9.140625" style="1" bestFit="1" customWidth="1"/>
    <col min="1064" max="1064" width="6.42578125" style="1" bestFit="1" customWidth="1"/>
    <col min="1065" max="1065" width="8.85546875" style="1" bestFit="1" customWidth="1"/>
    <col min="1066" max="1066" width="8.28515625" style="1" bestFit="1" customWidth="1"/>
    <col min="1067" max="1280" width="11.42578125" style="1"/>
    <col min="1281" max="1281" width="13.7109375" style="1" customWidth="1"/>
    <col min="1282" max="1283" width="13.140625" style="1" customWidth="1"/>
    <col min="1284" max="1284" width="13" style="1" customWidth="1"/>
    <col min="1285" max="1285" width="14" style="1" customWidth="1"/>
    <col min="1286" max="1286" width="12.42578125" style="1" customWidth="1"/>
    <col min="1287" max="1287" width="17.28515625" style="1" customWidth="1"/>
    <col min="1288" max="1288" width="14.140625" style="1" customWidth="1"/>
    <col min="1289" max="1289" width="15.42578125" style="1" customWidth="1"/>
    <col min="1290" max="1290" width="14.7109375" style="1" customWidth="1"/>
    <col min="1291" max="1291" width="12.85546875" style="1" customWidth="1"/>
    <col min="1292" max="1292" width="12.7109375" style="1" customWidth="1"/>
    <col min="1293" max="1293" width="12.140625" style="1" customWidth="1"/>
    <col min="1294" max="1294" width="13" style="1" customWidth="1"/>
    <col min="1295" max="1295" width="15.28515625" style="1" customWidth="1"/>
    <col min="1296" max="1296" width="15.85546875" style="1" customWidth="1"/>
    <col min="1297" max="1297" width="13.7109375" style="1" customWidth="1"/>
    <col min="1298" max="1298" width="15.140625" style="1" customWidth="1"/>
    <col min="1299" max="1299" width="11.85546875" style="1" customWidth="1"/>
    <col min="1300" max="1300" width="20" style="1" customWidth="1"/>
    <col min="1301" max="1301" width="16.42578125" style="1" customWidth="1"/>
    <col min="1302" max="1302" width="11.42578125" style="1"/>
    <col min="1303" max="1303" width="14.140625" style="1" customWidth="1"/>
    <col min="1304" max="1304" width="14.42578125" style="1" customWidth="1"/>
    <col min="1305" max="1305" width="11.7109375" style="1" customWidth="1"/>
    <col min="1306" max="1306" width="11.42578125" style="1"/>
    <col min="1307" max="1307" width="13.7109375" style="1" customWidth="1"/>
    <col min="1308" max="1308" width="15.42578125" style="1" customWidth="1"/>
    <col min="1309" max="1309" width="15.85546875" style="1" customWidth="1"/>
    <col min="1310" max="1310" width="15.7109375" style="1" customWidth="1"/>
    <col min="1311" max="1311" width="5" style="1" bestFit="1" customWidth="1"/>
    <col min="1312" max="1312" width="6.42578125" style="1" bestFit="1" customWidth="1"/>
    <col min="1313" max="1313" width="5.42578125" style="1" bestFit="1" customWidth="1"/>
    <col min="1314" max="1314" width="4.28515625" style="1" bestFit="1" customWidth="1"/>
    <col min="1315" max="1315" width="5" style="1" bestFit="1" customWidth="1"/>
    <col min="1316" max="1316" width="4.42578125" style="1" bestFit="1" customWidth="1"/>
    <col min="1317" max="1317" width="4.140625" style="1" bestFit="1" customWidth="1"/>
    <col min="1318" max="1318" width="5.85546875" style="1" bestFit="1" customWidth="1"/>
    <col min="1319" max="1319" width="9.140625" style="1" bestFit="1" customWidth="1"/>
    <col min="1320" max="1320" width="6.42578125" style="1" bestFit="1" customWidth="1"/>
    <col min="1321" max="1321" width="8.85546875" style="1" bestFit="1" customWidth="1"/>
    <col min="1322" max="1322" width="8.28515625" style="1" bestFit="1" customWidth="1"/>
    <col min="1323" max="1536" width="11.42578125" style="1"/>
    <col min="1537" max="1537" width="13.7109375" style="1" customWidth="1"/>
    <col min="1538" max="1539" width="13.140625" style="1" customWidth="1"/>
    <col min="1540" max="1540" width="13" style="1" customWidth="1"/>
    <col min="1541" max="1541" width="14" style="1" customWidth="1"/>
    <col min="1542" max="1542" width="12.42578125" style="1" customWidth="1"/>
    <col min="1543" max="1543" width="17.28515625" style="1" customWidth="1"/>
    <col min="1544" max="1544" width="14.140625" style="1" customWidth="1"/>
    <col min="1545" max="1545" width="15.42578125" style="1" customWidth="1"/>
    <col min="1546" max="1546" width="14.7109375" style="1" customWidth="1"/>
    <col min="1547" max="1547" width="12.85546875" style="1" customWidth="1"/>
    <col min="1548" max="1548" width="12.7109375" style="1" customWidth="1"/>
    <col min="1549" max="1549" width="12.140625" style="1" customWidth="1"/>
    <col min="1550" max="1550" width="13" style="1" customWidth="1"/>
    <col min="1551" max="1551" width="15.28515625" style="1" customWidth="1"/>
    <col min="1552" max="1552" width="15.85546875" style="1" customWidth="1"/>
    <col min="1553" max="1553" width="13.7109375" style="1" customWidth="1"/>
    <col min="1554" max="1554" width="15.140625" style="1" customWidth="1"/>
    <col min="1555" max="1555" width="11.85546875" style="1" customWidth="1"/>
    <col min="1556" max="1556" width="20" style="1" customWidth="1"/>
    <col min="1557" max="1557" width="16.42578125" style="1" customWidth="1"/>
    <col min="1558" max="1558" width="11.42578125" style="1"/>
    <col min="1559" max="1559" width="14.140625" style="1" customWidth="1"/>
    <col min="1560" max="1560" width="14.42578125" style="1" customWidth="1"/>
    <col min="1561" max="1561" width="11.7109375" style="1" customWidth="1"/>
    <col min="1562" max="1562" width="11.42578125" style="1"/>
    <col min="1563" max="1563" width="13.7109375" style="1" customWidth="1"/>
    <col min="1564" max="1564" width="15.42578125" style="1" customWidth="1"/>
    <col min="1565" max="1565" width="15.85546875" style="1" customWidth="1"/>
    <col min="1566" max="1566" width="15.7109375" style="1" customWidth="1"/>
    <col min="1567" max="1567" width="5" style="1" bestFit="1" customWidth="1"/>
    <col min="1568" max="1568" width="6.42578125" style="1" bestFit="1" customWidth="1"/>
    <col min="1569" max="1569" width="5.42578125" style="1" bestFit="1" customWidth="1"/>
    <col min="1570" max="1570" width="4.28515625" style="1" bestFit="1" customWidth="1"/>
    <col min="1571" max="1571" width="5" style="1" bestFit="1" customWidth="1"/>
    <col min="1572" max="1572" width="4.42578125" style="1" bestFit="1" customWidth="1"/>
    <col min="1573" max="1573" width="4.140625" style="1" bestFit="1" customWidth="1"/>
    <col min="1574" max="1574" width="5.85546875" style="1" bestFit="1" customWidth="1"/>
    <col min="1575" max="1575" width="9.140625" style="1" bestFit="1" customWidth="1"/>
    <col min="1576" max="1576" width="6.42578125" style="1" bestFit="1" customWidth="1"/>
    <col min="1577" max="1577" width="8.85546875" style="1" bestFit="1" customWidth="1"/>
    <col min="1578" max="1578" width="8.28515625" style="1" bestFit="1" customWidth="1"/>
    <col min="1579" max="1792" width="11.42578125" style="1"/>
    <col min="1793" max="1793" width="13.7109375" style="1" customWidth="1"/>
    <col min="1794" max="1795" width="13.140625" style="1" customWidth="1"/>
    <col min="1796" max="1796" width="13" style="1" customWidth="1"/>
    <col min="1797" max="1797" width="14" style="1" customWidth="1"/>
    <col min="1798" max="1798" width="12.42578125" style="1" customWidth="1"/>
    <col min="1799" max="1799" width="17.28515625" style="1" customWidth="1"/>
    <col min="1800" max="1800" width="14.140625" style="1" customWidth="1"/>
    <col min="1801" max="1801" width="15.42578125" style="1" customWidth="1"/>
    <col min="1802" max="1802" width="14.7109375" style="1" customWidth="1"/>
    <col min="1803" max="1803" width="12.85546875" style="1" customWidth="1"/>
    <col min="1804" max="1804" width="12.7109375" style="1" customWidth="1"/>
    <col min="1805" max="1805" width="12.140625" style="1" customWidth="1"/>
    <col min="1806" max="1806" width="13" style="1" customWidth="1"/>
    <col min="1807" max="1807" width="15.28515625" style="1" customWidth="1"/>
    <col min="1808" max="1808" width="15.85546875" style="1" customWidth="1"/>
    <col min="1809" max="1809" width="13.7109375" style="1" customWidth="1"/>
    <col min="1810" max="1810" width="15.140625" style="1" customWidth="1"/>
    <col min="1811" max="1811" width="11.85546875" style="1" customWidth="1"/>
    <col min="1812" max="1812" width="20" style="1" customWidth="1"/>
    <col min="1813" max="1813" width="16.42578125" style="1" customWidth="1"/>
    <col min="1814" max="1814" width="11.42578125" style="1"/>
    <col min="1815" max="1815" width="14.140625" style="1" customWidth="1"/>
    <col min="1816" max="1816" width="14.42578125" style="1" customWidth="1"/>
    <col min="1817" max="1817" width="11.7109375" style="1" customWidth="1"/>
    <col min="1818" max="1818" width="11.42578125" style="1"/>
    <col min="1819" max="1819" width="13.7109375" style="1" customWidth="1"/>
    <col min="1820" max="1820" width="15.42578125" style="1" customWidth="1"/>
    <col min="1821" max="1821" width="15.85546875" style="1" customWidth="1"/>
    <col min="1822" max="1822" width="15.7109375" style="1" customWidth="1"/>
    <col min="1823" max="1823" width="5" style="1" bestFit="1" customWidth="1"/>
    <col min="1824" max="1824" width="6.42578125" style="1" bestFit="1" customWidth="1"/>
    <col min="1825" max="1825" width="5.42578125" style="1" bestFit="1" customWidth="1"/>
    <col min="1826" max="1826" width="4.28515625" style="1" bestFit="1" customWidth="1"/>
    <col min="1827" max="1827" width="5" style="1" bestFit="1" customWidth="1"/>
    <col min="1828" max="1828" width="4.42578125" style="1" bestFit="1" customWidth="1"/>
    <col min="1829" max="1829" width="4.140625" style="1" bestFit="1" customWidth="1"/>
    <col min="1830" max="1830" width="5.85546875" style="1" bestFit="1" customWidth="1"/>
    <col min="1831" max="1831" width="9.140625" style="1" bestFit="1" customWidth="1"/>
    <col min="1832" max="1832" width="6.42578125" style="1" bestFit="1" customWidth="1"/>
    <col min="1833" max="1833" width="8.85546875" style="1" bestFit="1" customWidth="1"/>
    <col min="1834" max="1834" width="8.28515625" style="1" bestFit="1" customWidth="1"/>
    <col min="1835" max="2048" width="11.42578125" style="1"/>
    <col min="2049" max="2049" width="13.7109375" style="1" customWidth="1"/>
    <col min="2050" max="2051" width="13.140625" style="1" customWidth="1"/>
    <col min="2052" max="2052" width="13" style="1" customWidth="1"/>
    <col min="2053" max="2053" width="14" style="1" customWidth="1"/>
    <col min="2054" max="2054" width="12.42578125" style="1" customWidth="1"/>
    <col min="2055" max="2055" width="17.28515625" style="1" customWidth="1"/>
    <col min="2056" max="2056" width="14.140625" style="1" customWidth="1"/>
    <col min="2057" max="2057" width="15.42578125" style="1" customWidth="1"/>
    <col min="2058" max="2058" width="14.7109375" style="1" customWidth="1"/>
    <col min="2059" max="2059" width="12.85546875" style="1" customWidth="1"/>
    <col min="2060" max="2060" width="12.7109375" style="1" customWidth="1"/>
    <col min="2061" max="2061" width="12.140625" style="1" customWidth="1"/>
    <col min="2062" max="2062" width="13" style="1" customWidth="1"/>
    <col min="2063" max="2063" width="15.28515625" style="1" customWidth="1"/>
    <col min="2064" max="2064" width="15.85546875" style="1" customWidth="1"/>
    <col min="2065" max="2065" width="13.7109375" style="1" customWidth="1"/>
    <col min="2066" max="2066" width="15.140625" style="1" customWidth="1"/>
    <col min="2067" max="2067" width="11.85546875" style="1" customWidth="1"/>
    <col min="2068" max="2068" width="20" style="1" customWidth="1"/>
    <col min="2069" max="2069" width="16.42578125" style="1" customWidth="1"/>
    <col min="2070" max="2070" width="11.42578125" style="1"/>
    <col min="2071" max="2071" width="14.140625" style="1" customWidth="1"/>
    <col min="2072" max="2072" width="14.42578125" style="1" customWidth="1"/>
    <col min="2073" max="2073" width="11.7109375" style="1" customWidth="1"/>
    <col min="2074" max="2074" width="11.42578125" style="1"/>
    <col min="2075" max="2075" width="13.7109375" style="1" customWidth="1"/>
    <col min="2076" max="2076" width="15.42578125" style="1" customWidth="1"/>
    <col min="2077" max="2077" width="15.85546875" style="1" customWidth="1"/>
    <col min="2078" max="2078" width="15.7109375" style="1" customWidth="1"/>
    <col min="2079" max="2079" width="5" style="1" bestFit="1" customWidth="1"/>
    <col min="2080" max="2080" width="6.42578125" style="1" bestFit="1" customWidth="1"/>
    <col min="2081" max="2081" width="5.42578125" style="1" bestFit="1" customWidth="1"/>
    <col min="2082" max="2082" width="4.28515625" style="1" bestFit="1" customWidth="1"/>
    <col min="2083" max="2083" width="5" style="1" bestFit="1" customWidth="1"/>
    <col min="2084" max="2084" width="4.42578125" style="1" bestFit="1" customWidth="1"/>
    <col min="2085" max="2085" width="4.140625" style="1" bestFit="1" customWidth="1"/>
    <col min="2086" max="2086" width="5.85546875" style="1" bestFit="1" customWidth="1"/>
    <col min="2087" max="2087" width="9.140625" style="1" bestFit="1" customWidth="1"/>
    <col min="2088" max="2088" width="6.42578125" style="1" bestFit="1" customWidth="1"/>
    <col min="2089" max="2089" width="8.85546875" style="1" bestFit="1" customWidth="1"/>
    <col min="2090" max="2090" width="8.28515625" style="1" bestFit="1" customWidth="1"/>
    <col min="2091" max="2304" width="11.42578125" style="1"/>
    <col min="2305" max="2305" width="13.7109375" style="1" customWidth="1"/>
    <col min="2306" max="2307" width="13.140625" style="1" customWidth="1"/>
    <col min="2308" max="2308" width="13" style="1" customWidth="1"/>
    <col min="2309" max="2309" width="14" style="1" customWidth="1"/>
    <col min="2310" max="2310" width="12.42578125" style="1" customWidth="1"/>
    <col min="2311" max="2311" width="17.28515625" style="1" customWidth="1"/>
    <col min="2312" max="2312" width="14.140625" style="1" customWidth="1"/>
    <col min="2313" max="2313" width="15.42578125" style="1" customWidth="1"/>
    <col min="2314" max="2314" width="14.7109375" style="1" customWidth="1"/>
    <col min="2315" max="2315" width="12.85546875" style="1" customWidth="1"/>
    <col min="2316" max="2316" width="12.7109375" style="1" customWidth="1"/>
    <col min="2317" max="2317" width="12.140625" style="1" customWidth="1"/>
    <col min="2318" max="2318" width="13" style="1" customWidth="1"/>
    <col min="2319" max="2319" width="15.28515625" style="1" customWidth="1"/>
    <col min="2320" max="2320" width="15.85546875" style="1" customWidth="1"/>
    <col min="2321" max="2321" width="13.7109375" style="1" customWidth="1"/>
    <col min="2322" max="2322" width="15.140625" style="1" customWidth="1"/>
    <col min="2323" max="2323" width="11.85546875" style="1" customWidth="1"/>
    <col min="2324" max="2324" width="20" style="1" customWidth="1"/>
    <col min="2325" max="2325" width="16.42578125" style="1" customWidth="1"/>
    <col min="2326" max="2326" width="11.42578125" style="1"/>
    <col min="2327" max="2327" width="14.140625" style="1" customWidth="1"/>
    <col min="2328" max="2328" width="14.42578125" style="1" customWidth="1"/>
    <col min="2329" max="2329" width="11.7109375" style="1" customWidth="1"/>
    <col min="2330" max="2330" width="11.42578125" style="1"/>
    <col min="2331" max="2331" width="13.7109375" style="1" customWidth="1"/>
    <col min="2332" max="2332" width="15.42578125" style="1" customWidth="1"/>
    <col min="2333" max="2333" width="15.85546875" style="1" customWidth="1"/>
    <col min="2334" max="2334" width="15.7109375" style="1" customWidth="1"/>
    <col min="2335" max="2335" width="5" style="1" bestFit="1" customWidth="1"/>
    <col min="2336" max="2336" width="6.42578125" style="1" bestFit="1" customWidth="1"/>
    <col min="2337" max="2337" width="5.42578125" style="1" bestFit="1" customWidth="1"/>
    <col min="2338" max="2338" width="4.28515625" style="1" bestFit="1" customWidth="1"/>
    <col min="2339" max="2339" width="5" style="1" bestFit="1" customWidth="1"/>
    <col min="2340" max="2340" width="4.42578125" style="1" bestFit="1" customWidth="1"/>
    <col min="2341" max="2341" width="4.140625" style="1" bestFit="1" customWidth="1"/>
    <col min="2342" max="2342" width="5.85546875" style="1" bestFit="1" customWidth="1"/>
    <col min="2343" max="2343" width="9.140625" style="1" bestFit="1" customWidth="1"/>
    <col min="2344" max="2344" width="6.42578125" style="1" bestFit="1" customWidth="1"/>
    <col min="2345" max="2345" width="8.85546875" style="1" bestFit="1" customWidth="1"/>
    <col min="2346" max="2346" width="8.28515625" style="1" bestFit="1" customWidth="1"/>
    <col min="2347" max="2560" width="11.42578125" style="1"/>
    <col min="2561" max="2561" width="13.7109375" style="1" customWidth="1"/>
    <col min="2562" max="2563" width="13.140625" style="1" customWidth="1"/>
    <col min="2564" max="2564" width="13" style="1" customWidth="1"/>
    <col min="2565" max="2565" width="14" style="1" customWidth="1"/>
    <col min="2566" max="2566" width="12.42578125" style="1" customWidth="1"/>
    <col min="2567" max="2567" width="17.28515625" style="1" customWidth="1"/>
    <col min="2568" max="2568" width="14.140625" style="1" customWidth="1"/>
    <col min="2569" max="2569" width="15.42578125" style="1" customWidth="1"/>
    <col min="2570" max="2570" width="14.7109375" style="1" customWidth="1"/>
    <col min="2571" max="2571" width="12.85546875" style="1" customWidth="1"/>
    <col min="2572" max="2572" width="12.7109375" style="1" customWidth="1"/>
    <col min="2573" max="2573" width="12.140625" style="1" customWidth="1"/>
    <col min="2574" max="2574" width="13" style="1" customWidth="1"/>
    <col min="2575" max="2575" width="15.28515625" style="1" customWidth="1"/>
    <col min="2576" max="2576" width="15.85546875" style="1" customWidth="1"/>
    <col min="2577" max="2577" width="13.7109375" style="1" customWidth="1"/>
    <col min="2578" max="2578" width="15.140625" style="1" customWidth="1"/>
    <col min="2579" max="2579" width="11.85546875" style="1" customWidth="1"/>
    <col min="2580" max="2580" width="20" style="1" customWidth="1"/>
    <col min="2581" max="2581" width="16.42578125" style="1" customWidth="1"/>
    <col min="2582" max="2582" width="11.42578125" style="1"/>
    <col min="2583" max="2583" width="14.140625" style="1" customWidth="1"/>
    <col min="2584" max="2584" width="14.42578125" style="1" customWidth="1"/>
    <col min="2585" max="2585" width="11.7109375" style="1" customWidth="1"/>
    <col min="2586" max="2586" width="11.42578125" style="1"/>
    <col min="2587" max="2587" width="13.7109375" style="1" customWidth="1"/>
    <col min="2588" max="2588" width="15.42578125" style="1" customWidth="1"/>
    <col min="2589" max="2589" width="15.85546875" style="1" customWidth="1"/>
    <col min="2590" max="2590" width="15.7109375" style="1" customWidth="1"/>
    <col min="2591" max="2591" width="5" style="1" bestFit="1" customWidth="1"/>
    <col min="2592" max="2592" width="6.42578125" style="1" bestFit="1" customWidth="1"/>
    <col min="2593" max="2593" width="5.42578125" style="1" bestFit="1" customWidth="1"/>
    <col min="2594" max="2594" width="4.28515625" style="1" bestFit="1" customWidth="1"/>
    <col min="2595" max="2595" width="5" style="1" bestFit="1" customWidth="1"/>
    <col min="2596" max="2596" width="4.42578125" style="1" bestFit="1" customWidth="1"/>
    <col min="2597" max="2597" width="4.140625" style="1" bestFit="1" customWidth="1"/>
    <col min="2598" max="2598" width="5.85546875" style="1" bestFit="1" customWidth="1"/>
    <col min="2599" max="2599" width="9.140625" style="1" bestFit="1" customWidth="1"/>
    <col min="2600" max="2600" width="6.42578125" style="1" bestFit="1" customWidth="1"/>
    <col min="2601" max="2601" width="8.85546875" style="1" bestFit="1" customWidth="1"/>
    <col min="2602" max="2602" width="8.28515625" style="1" bestFit="1" customWidth="1"/>
    <col min="2603" max="2816" width="11.42578125" style="1"/>
    <col min="2817" max="2817" width="13.7109375" style="1" customWidth="1"/>
    <col min="2818" max="2819" width="13.140625" style="1" customWidth="1"/>
    <col min="2820" max="2820" width="13" style="1" customWidth="1"/>
    <col min="2821" max="2821" width="14" style="1" customWidth="1"/>
    <col min="2822" max="2822" width="12.42578125" style="1" customWidth="1"/>
    <col min="2823" max="2823" width="17.28515625" style="1" customWidth="1"/>
    <col min="2824" max="2824" width="14.140625" style="1" customWidth="1"/>
    <col min="2825" max="2825" width="15.42578125" style="1" customWidth="1"/>
    <col min="2826" max="2826" width="14.7109375" style="1" customWidth="1"/>
    <col min="2827" max="2827" width="12.85546875" style="1" customWidth="1"/>
    <col min="2828" max="2828" width="12.7109375" style="1" customWidth="1"/>
    <col min="2829" max="2829" width="12.140625" style="1" customWidth="1"/>
    <col min="2830" max="2830" width="13" style="1" customWidth="1"/>
    <col min="2831" max="2831" width="15.28515625" style="1" customWidth="1"/>
    <col min="2832" max="2832" width="15.85546875" style="1" customWidth="1"/>
    <col min="2833" max="2833" width="13.7109375" style="1" customWidth="1"/>
    <col min="2834" max="2834" width="15.140625" style="1" customWidth="1"/>
    <col min="2835" max="2835" width="11.85546875" style="1" customWidth="1"/>
    <col min="2836" max="2836" width="20" style="1" customWidth="1"/>
    <col min="2837" max="2837" width="16.42578125" style="1" customWidth="1"/>
    <col min="2838" max="2838" width="11.42578125" style="1"/>
    <col min="2839" max="2839" width="14.140625" style="1" customWidth="1"/>
    <col min="2840" max="2840" width="14.42578125" style="1" customWidth="1"/>
    <col min="2841" max="2841" width="11.7109375" style="1" customWidth="1"/>
    <col min="2842" max="2842" width="11.42578125" style="1"/>
    <col min="2843" max="2843" width="13.7109375" style="1" customWidth="1"/>
    <col min="2844" max="2844" width="15.42578125" style="1" customWidth="1"/>
    <col min="2845" max="2845" width="15.85546875" style="1" customWidth="1"/>
    <col min="2846" max="2846" width="15.7109375" style="1" customWidth="1"/>
    <col min="2847" max="2847" width="5" style="1" bestFit="1" customWidth="1"/>
    <col min="2848" max="2848" width="6.42578125" style="1" bestFit="1" customWidth="1"/>
    <col min="2849" max="2849" width="5.42578125" style="1" bestFit="1" customWidth="1"/>
    <col min="2850" max="2850" width="4.28515625" style="1" bestFit="1" customWidth="1"/>
    <col min="2851" max="2851" width="5" style="1" bestFit="1" customWidth="1"/>
    <col min="2852" max="2852" width="4.42578125" style="1" bestFit="1" customWidth="1"/>
    <col min="2853" max="2853" width="4.140625" style="1" bestFit="1" customWidth="1"/>
    <col min="2854" max="2854" width="5.85546875" style="1" bestFit="1" customWidth="1"/>
    <col min="2855" max="2855" width="9.140625" style="1" bestFit="1" customWidth="1"/>
    <col min="2856" max="2856" width="6.42578125" style="1" bestFit="1" customWidth="1"/>
    <col min="2857" max="2857" width="8.85546875" style="1" bestFit="1" customWidth="1"/>
    <col min="2858" max="2858" width="8.28515625" style="1" bestFit="1" customWidth="1"/>
    <col min="2859" max="3072" width="11.42578125" style="1"/>
    <col min="3073" max="3073" width="13.7109375" style="1" customWidth="1"/>
    <col min="3074" max="3075" width="13.140625" style="1" customWidth="1"/>
    <col min="3076" max="3076" width="13" style="1" customWidth="1"/>
    <col min="3077" max="3077" width="14" style="1" customWidth="1"/>
    <col min="3078" max="3078" width="12.42578125" style="1" customWidth="1"/>
    <col min="3079" max="3079" width="17.28515625" style="1" customWidth="1"/>
    <col min="3080" max="3080" width="14.140625" style="1" customWidth="1"/>
    <col min="3081" max="3081" width="15.42578125" style="1" customWidth="1"/>
    <col min="3082" max="3082" width="14.7109375" style="1" customWidth="1"/>
    <col min="3083" max="3083" width="12.85546875" style="1" customWidth="1"/>
    <col min="3084" max="3084" width="12.7109375" style="1" customWidth="1"/>
    <col min="3085" max="3085" width="12.140625" style="1" customWidth="1"/>
    <col min="3086" max="3086" width="13" style="1" customWidth="1"/>
    <col min="3087" max="3087" width="15.28515625" style="1" customWidth="1"/>
    <col min="3088" max="3088" width="15.85546875" style="1" customWidth="1"/>
    <col min="3089" max="3089" width="13.7109375" style="1" customWidth="1"/>
    <col min="3090" max="3090" width="15.140625" style="1" customWidth="1"/>
    <col min="3091" max="3091" width="11.85546875" style="1" customWidth="1"/>
    <col min="3092" max="3092" width="20" style="1" customWidth="1"/>
    <col min="3093" max="3093" width="16.42578125" style="1" customWidth="1"/>
    <col min="3094" max="3094" width="11.42578125" style="1"/>
    <col min="3095" max="3095" width="14.140625" style="1" customWidth="1"/>
    <col min="3096" max="3096" width="14.42578125" style="1" customWidth="1"/>
    <col min="3097" max="3097" width="11.7109375" style="1" customWidth="1"/>
    <col min="3098" max="3098" width="11.42578125" style="1"/>
    <col min="3099" max="3099" width="13.7109375" style="1" customWidth="1"/>
    <col min="3100" max="3100" width="15.42578125" style="1" customWidth="1"/>
    <col min="3101" max="3101" width="15.85546875" style="1" customWidth="1"/>
    <col min="3102" max="3102" width="15.7109375" style="1" customWidth="1"/>
    <col min="3103" max="3103" width="5" style="1" bestFit="1" customWidth="1"/>
    <col min="3104" max="3104" width="6.42578125" style="1" bestFit="1" customWidth="1"/>
    <col min="3105" max="3105" width="5.42578125" style="1" bestFit="1" customWidth="1"/>
    <col min="3106" max="3106" width="4.28515625" style="1" bestFit="1" customWidth="1"/>
    <col min="3107" max="3107" width="5" style="1" bestFit="1" customWidth="1"/>
    <col min="3108" max="3108" width="4.42578125" style="1" bestFit="1" customWidth="1"/>
    <col min="3109" max="3109" width="4.140625" style="1" bestFit="1" customWidth="1"/>
    <col min="3110" max="3110" width="5.85546875" style="1" bestFit="1" customWidth="1"/>
    <col min="3111" max="3111" width="9.140625" style="1" bestFit="1" customWidth="1"/>
    <col min="3112" max="3112" width="6.42578125" style="1" bestFit="1" customWidth="1"/>
    <col min="3113" max="3113" width="8.85546875" style="1" bestFit="1" customWidth="1"/>
    <col min="3114" max="3114" width="8.28515625" style="1" bestFit="1" customWidth="1"/>
    <col min="3115" max="3328" width="11.42578125" style="1"/>
    <col min="3329" max="3329" width="13.7109375" style="1" customWidth="1"/>
    <col min="3330" max="3331" width="13.140625" style="1" customWidth="1"/>
    <col min="3332" max="3332" width="13" style="1" customWidth="1"/>
    <col min="3333" max="3333" width="14" style="1" customWidth="1"/>
    <col min="3334" max="3334" width="12.42578125" style="1" customWidth="1"/>
    <col min="3335" max="3335" width="17.28515625" style="1" customWidth="1"/>
    <col min="3336" max="3336" width="14.140625" style="1" customWidth="1"/>
    <col min="3337" max="3337" width="15.42578125" style="1" customWidth="1"/>
    <col min="3338" max="3338" width="14.7109375" style="1" customWidth="1"/>
    <col min="3339" max="3339" width="12.85546875" style="1" customWidth="1"/>
    <col min="3340" max="3340" width="12.7109375" style="1" customWidth="1"/>
    <col min="3341" max="3341" width="12.140625" style="1" customWidth="1"/>
    <col min="3342" max="3342" width="13" style="1" customWidth="1"/>
    <col min="3343" max="3343" width="15.28515625" style="1" customWidth="1"/>
    <col min="3344" max="3344" width="15.85546875" style="1" customWidth="1"/>
    <col min="3345" max="3345" width="13.7109375" style="1" customWidth="1"/>
    <col min="3346" max="3346" width="15.140625" style="1" customWidth="1"/>
    <col min="3347" max="3347" width="11.85546875" style="1" customWidth="1"/>
    <col min="3348" max="3348" width="20" style="1" customWidth="1"/>
    <col min="3349" max="3349" width="16.42578125" style="1" customWidth="1"/>
    <col min="3350" max="3350" width="11.42578125" style="1"/>
    <col min="3351" max="3351" width="14.140625" style="1" customWidth="1"/>
    <col min="3352" max="3352" width="14.42578125" style="1" customWidth="1"/>
    <col min="3353" max="3353" width="11.7109375" style="1" customWidth="1"/>
    <col min="3354" max="3354" width="11.42578125" style="1"/>
    <col min="3355" max="3355" width="13.7109375" style="1" customWidth="1"/>
    <col min="3356" max="3356" width="15.42578125" style="1" customWidth="1"/>
    <col min="3357" max="3357" width="15.85546875" style="1" customWidth="1"/>
    <col min="3358" max="3358" width="15.7109375" style="1" customWidth="1"/>
    <col min="3359" max="3359" width="5" style="1" bestFit="1" customWidth="1"/>
    <col min="3360" max="3360" width="6.42578125" style="1" bestFit="1" customWidth="1"/>
    <col min="3361" max="3361" width="5.42578125" style="1" bestFit="1" customWidth="1"/>
    <col min="3362" max="3362" width="4.28515625" style="1" bestFit="1" customWidth="1"/>
    <col min="3363" max="3363" width="5" style="1" bestFit="1" customWidth="1"/>
    <col min="3364" max="3364" width="4.42578125" style="1" bestFit="1" customWidth="1"/>
    <col min="3365" max="3365" width="4.140625" style="1" bestFit="1" customWidth="1"/>
    <col min="3366" max="3366" width="5.85546875" style="1" bestFit="1" customWidth="1"/>
    <col min="3367" max="3367" width="9.140625" style="1" bestFit="1" customWidth="1"/>
    <col min="3368" max="3368" width="6.42578125" style="1" bestFit="1" customWidth="1"/>
    <col min="3369" max="3369" width="8.85546875" style="1" bestFit="1" customWidth="1"/>
    <col min="3370" max="3370" width="8.28515625" style="1" bestFit="1" customWidth="1"/>
    <col min="3371" max="3584" width="11.42578125" style="1"/>
    <col min="3585" max="3585" width="13.7109375" style="1" customWidth="1"/>
    <col min="3586" max="3587" width="13.140625" style="1" customWidth="1"/>
    <col min="3588" max="3588" width="13" style="1" customWidth="1"/>
    <col min="3589" max="3589" width="14" style="1" customWidth="1"/>
    <col min="3590" max="3590" width="12.42578125" style="1" customWidth="1"/>
    <col min="3591" max="3591" width="17.28515625" style="1" customWidth="1"/>
    <col min="3592" max="3592" width="14.140625" style="1" customWidth="1"/>
    <col min="3593" max="3593" width="15.42578125" style="1" customWidth="1"/>
    <col min="3594" max="3594" width="14.7109375" style="1" customWidth="1"/>
    <col min="3595" max="3595" width="12.85546875" style="1" customWidth="1"/>
    <col min="3596" max="3596" width="12.7109375" style="1" customWidth="1"/>
    <col min="3597" max="3597" width="12.140625" style="1" customWidth="1"/>
    <col min="3598" max="3598" width="13" style="1" customWidth="1"/>
    <col min="3599" max="3599" width="15.28515625" style="1" customWidth="1"/>
    <col min="3600" max="3600" width="15.85546875" style="1" customWidth="1"/>
    <col min="3601" max="3601" width="13.7109375" style="1" customWidth="1"/>
    <col min="3602" max="3602" width="15.140625" style="1" customWidth="1"/>
    <col min="3603" max="3603" width="11.85546875" style="1" customWidth="1"/>
    <col min="3604" max="3604" width="20" style="1" customWidth="1"/>
    <col min="3605" max="3605" width="16.42578125" style="1" customWidth="1"/>
    <col min="3606" max="3606" width="11.42578125" style="1"/>
    <col min="3607" max="3607" width="14.140625" style="1" customWidth="1"/>
    <col min="3608" max="3608" width="14.42578125" style="1" customWidth="1"/>
    <col min="3609" max="3609" width="11.7109375" style="1" customWidth="1"/>
    <col min="3610" max="3610" width="11.42578125" style="1"/>
    <col min="3611" max="3611" width="13.7109375" style="1" customWidth="1"/>
    <col min="3612" max="3612" width="15.42578125" style="1" customWidth="1"/>
    <col min="3613" max="3613" width="15.85546875" style="1" customWidth="1"/>
    <col min="3614" max="3614" width="15.7109375" style="1" customWidth="1"/>
    <col min="3615" max="3615" width="5" style="1" bestFit="1" customWidth="1"/>
    <col min="3616" max="3616" width="6.42578125" style="1" bestFit="1" customWidth="1"/>
    <col min="3617" max="3617" width="5.42578125" style="1" bestFit="1" customWidth="1"/>
    <col min="3618" max="3618" width="4.28515625" style="1" bestFit="1" customWidth="1"/>
    <col min="3619" max="3619" width="5" style="1" bestFit="1" customWidth="1"/>
    <col min="3620" max="3620" width="4.42578125" style="1" bestFit="1" customWidth="1"/>
    <col min="3621" max="3621" width="4.140625" style="1" bestFit="1" customWidth="1"/>
    <col min="3622" max="3622" width="5.85546875" style="1" bestFit="1" customWidth="1"/>
    <col min="3623" max="3623" width="9.140625" style="1" bestFit="1" customWidth="1"/>
    <col min="3624" max="3624" width="6.42578125" style="1" bestFit="1" customWidth="1"/>
    <col min="3625" max="3625" width="8.85546875" style="1" bestFit="1" customWidth="1"/>
    <col min="3626" max="3626" width="8.28515625" style="1" bestFit="1" customWidth="1"/>
    <col min="3627" max="3840" width="11.42578125" style="1"/>
    <col min="3841" max="3841" width="13.7109375" style="1" customWidth="1"/>
    <col min="3842" max="3843" width="13.140625" style="1" customWidth="1"/>
    <col min="3844" max="3844" width="13" style="1" customWidth="1"/>
    <col min="3845" max="3845" width="14" style="1" customWidth="1"/>
    <col min="3846" max="3846" width="12.42578125" style="1" customWidth="1"/>
    <col min="3847" max="3847" width="17.28515625" style="1" customWidth="1"/>
    <col min="3848" max="3848" width="14.140625" style="1" customWidth="1"/>
    <col min="3849" max="3849" width="15.42578125" style="1" customWidth="1"/>
    <col min="3850" max="3850" width="14.7109375" style="1" customWidth="1"/>
    <col min="3851" max="3851" width="12.85546875" style="1" customWidth="1"/>
    <col min="3852" max="3852" width="12.7109375" style="1" customWidth="1"/>
    <col min="3853" max="3853" width="12.140625" style="1" customWidth="1"/>
    <col min="3854" max="3854" width="13" style="1" customWidth="1"/>
    <col min="3855" max="3855" width="15.28515625" style="1" customWidth="1"/>
    <col min="3856" max="3856" width="15.85546875" style="1" customWidth="1"/>
    <col min="3857" max="3857" width="13.7109375" style="1" customWidth="1"/>
    <col min="3858" max="3858" width="15.140625" style="1" customWidth="1"/>
    <col min="3859" max="3859" width="11.85546875" style="1" customWidth="1"/>
    <col min="3860" max="3860" width="20" style="1" customWidth="1"/>
    <col min="3861" max="3861" width="16.42578125" style="1" customWidth="1"/>
    <col min="3862" max="3862" width="11.42578125" style="1"/>
    <col min="3863" max="3863" width="14.140625" style="1" customWidth="1"/>
    <col min="3864" max="3864" width="14.42578125" style="1" customWidth="1"/>
    <col min="3865" max="3865" width="11.7109375" style="1" customWidth="1"/>
    <col min="3866" max="3866" width="11.42578125" style="1"/>
    <col min="3867" max="3867" width="13.7109375" style="1" customWidth="1"/>
    <col min="3868" max="3868" width="15.42578125" style="1" customWidth="1"/>
    <col min="3869" max="3869" width="15.85546875" style="1" customWidth="1"/>
    <col min="3870" max="3870" width="15.7109375" style="1" customWidth="1"/>
    <col min="3871" max="3871" width="5" style="1" bestFit="1" customWidth="1"/>
    <col min="3872" max="3872" width="6.42578125" style="1" bestFit="1" customWidth="1"/>
    <col min="3873" max="3873" width="5.42578125" style="1" bestFit="1" customWidth="1"/>
    <col min="3874" max="3874" width="4.28515625" style="1" bestFit="1" customWidth="1"/>
    <col min="3875" max="3875" width="5" style="1" bestFit="1" customWidth="1"/>
    <col min="3876" max="3876" width="4.42578125" style="1" bestFit="1" customWidth="1"/>
    <col min="3877" max="3877" width="4.140625" style="1" bestFit="1" customWidth="1"/>
    <col min="3878" max="3878" width="5.85546875" style="1" bestFit="1" customWidth="1"/>
    <col min="3879" max="3879" width="9.140625" style="1" bestFit="1" customWidth="1"/>
    <col min="3880" max="3880" width="6.42578125" style="1" bestFit="1" customWidth="1"/>
    <col min="3881" max="3881" width="8.85546875" style="1" bestFit="1" customWidth="1"/>
    <col min="3882" max="3882" width="8.28515625" style="1" bestFit="1" customWidth="1"/>
    <col min="3883" max="4096" width="11.42578125" style="1"/>
    <col min="4097" max="4097" width="13.7109375" style="1" customWidth="1"/>
    <col min="4098" max="4099" width="13.140625" style="1" customWidth="1"/>
    <col min="4100" max="4100" width="13" style="1" customWidth="1"/>
    <col min="4101" max="4101" width="14" style="1" customWidth="1"/>
    <col min="4102" max="4102" width="12.42578125" style="1" customWidth="1"/>
    <col min="4103" max="4103" width="17.28515625" style="1" customWidth="1"/>
    <col min="4104" max="4104" width="14.140625" style="1" customWidth="1"/>
    <col min="4105" max="4105" width="15.42578125" style="1" customWidth="1"/>
    <col min="4106" max="4106" width="14.7109375" style="1" customWidth="1"/>
    <col min="4107" max="4107" width="12.85546875" style="1" customWidth="1"/>
    <col min="4108" max="4108" width="12.7109375" style="1" customWidth="1"/>
    <col min="4109" max="4109" width="12.140625" style="1" customWidth="1"/>
    <col min="4110" max="4110" width="13" style="1" customWidth="1"/>
    <col min="4111" max="4111" width="15.28515625" style="1" customWidth="1"/>
    <col min="4112" max="4112" width="15.85546875" style="1" customWidth="1"/>
    <col min="4113" max="4113" width="13.7109375" style="1" customWidth="1"/>
    <col min="4114" max="4114" width="15.140625" style="1" customWidth="1"/>
    <col min="4115" max="4115" width="11.85546875" style="1" customWidth="1"/>
    <col min="4116" max="4116" width="20" style="1" customWidth="1"/>
    <col min="4117" max="4117" width="16.42578125" style="1" customWidth="1"/>
    <col min="4118" max="4118" width="11.42578125" style="1"/>
    <col min="4119" max="4119" width="14.140625" style="1" customWidth="1"/>
    <col min="4120" max="4120" width="14.42578125" style="1" customWidth="1"/>
    <col min="4121" max="4121" width="11.7109375" style="1" customWidth="1"/>
    <col min="4122" max="4122" width="11.42578125" style="1"/>
    <col min="4123" max="4123" width="13.7109375" style="1" customWidth="1"/>
    <col min="4124" max="4124" width="15.42578125" style="1" customWidth="1"/>
    <col min="4125" max="4125" width="15.85546875" style="1" customWidth="1"/>
    <col min="4126" max="4126" width="15.7109375" style="1" customWidth="1"/>
    <col min="4127" max="4127" width="5" style="1" bestFit="1" customWidth="1"/>
    <col min="4128" max="4128" width="6.42578125" style="1" bestFit="1" customWidth="1"/>
    <col min="4129" max="4129" width="5.42578125" style="1" bestFit="1" customWidth="1"/>
    <col min="4130" max="4130" width="4.28515625" style="1" bestFit="1" customWidth="1"/>
    <col min="4131" max="4131" width="5" style="1" bestFit="1" customWidth="1"/>
    <col min="4132" max="4132" width="4.42578125" style="1" bestFit="1" customWidth="1"/>
    <col min="4133" max="4133" width="4.140625" style="1" bestFit="1" customWidth="1"/>
    <col min="4134" max="4134" width="5.85546875" style="1" bestFit="1" customWidth="1"/>
    <col min="4135" max="4135" width="9.140625" style="1" bestFit="1" customWidth="1"/>
    <col min="4136" max="4136" width="6.42578125" style="1" bestFit="1" customWidth="1"/>
    <col min="4137" max="4137" width="8.85546875" style="1" bestFit="1" customWidth="1"/>
    <col min="4138" max="4138" width="8.28515625" style="1" bestFit="1" customWidth="1"/>
    <col min="4139" max="4352" width="11.42578125" style="1"/>
    <col min="4353" max="4353" width="13.7109375" style="1" customWidth="1"/>
    <col min="4354" max="4355" width="13.140625" style="1" customWidth="1"/>
    <col min="4356" max="4356" width="13" style="1" customWidth="1"/>
    <col min="4357" max="4357" width="14" style="1" customWidth="1"/>
    <col min="4358" max="4358" width="12.42578125" style="1" customWidth="1"/>
    <col min="4359" max="4359" width="17.28515625" style="1" customWidth="1"/>
    <col min="4360" max="4360" width="14.140625" style="1" customWidth="1"/>
    <col min="4361" max="4361" width="15.42578125" style="1" customWidth="1"/>
    <col min="4362" max="4362" width="14.7109375" style="1" customWidth="1"/>
    <col min="4363" max="4363" width="12.85546875" style="1" customWidth="1"/>
    <col min="4364" max="4364" width="12.7109375" style="1" customWidth="1"/>
    <col min="4365" max="4365" width="12.140625" style="1" customWidth="1"/>
    <col min="4366" max="4366" width="13" style="1" customWidth="1"/>
    <col min="4367" max="4367" width="15.28515625" style="1" customWidth="1"/>
    <col min="4368" max="4368" width="15.85546875" style="1" customWidth="1"/>
    <col min="4369" max="4369" width="13.7109375" style="1" customWidth="1"/>
    <col min="4370" max="4370" width="15.140625" style="1" customWidth="1"/>
    <col min="4371" max="4371" width="11.85546875" style="1" customWidth="1"/>
    <col min="4372" max="4372" width="20" style="1" customWidth="1"/>
    <col min="4373" max="4373" width="16.42578125" style="1" customWidth="1"/>
    <col min="4374" max="4374" width="11.42578125" style="1"/>
    <col min="4375" max="4375" width="14.140625" style="1" customWidth="1"/>
    <col min="4376" max="4376" width="14.42578125" style="1" customWidth="1"/>
    <col min="4377" max="4377" width="11.7109375" style="1" customWidth="1"/>
    <col min="4378" max="4378" width="11.42578125" style="1"/>
    <col min="4379" max="4379" width="13.7109375" style="1" customWidth="1"/>
    <col min="4380" max="4380" width="15.42578125" style="1" customWidth="1"/>
    <col min="4381" max="4381" width="15.85546875" style="1" customWidth="1"/>
    <col min="4382" max="4382" width="15.7109375" style="1" customWidth="1"/>
    <col min="4383" max="4383" width="5" style="1" bestFit="1" customWidth="1"/>
    <col min="4384" max="4384" width="6.42578125" style="1" bestFit="1" customWidth="1"/>
    <col min="4385" max="4385" width="5.42578125" style="1" bestFit="1" customWidth="1"/>
    <col min="4386" max="4386" width="4.28515625" style="1" bestFit="1" customWidth="1"/>
    <col min="4387" max="4387" width="5" style="1" bestFit="1" customWidth="1"/>
    <col min="4388" max="4388" width="4.42578125" style="1" bestFit="1" customWidth="1"/>
    <col min="4389" max="4389" width="4.140625" style="1" bestFit="1" customWidth="1"/>
    <col min="4390" max="4390" width="5.85546875" style="1" bestFit="1" customWidth="1"/>
    <col min="4391" max="4391" width="9.140625" style="1" bestFit="1" customWidth="1"/>
    <col min="4392" max="4392" width="6.42578125" style="1" bestFit="1" customWidth="1"/>
    <col min="4393" max="4393" width="8.85546875" style="1" bestFit="1" customWidth="1"/>
    <col min="4394" max="4394" width="8.28515625" style="1" bestFit="1" customWidth="1"/>
    <col min="4395" max="4608" width="11.42578125" style="1"/>
    <col min="4609" max="4609" width="13.7109375" style="1" customWidth="1"/>
    <col min="4610" max="4611" width="13.140625" style="1" customWidth="1"/>
    <col min="4612" max="4612" width="13" style="1" customWidth="1"/>
    <col min="4613" max="4613" width="14" style="1" customWidth="1"/>
    <col min="4614" max="4614" width="12.42578125" style="1" customWidth="1"/>
    <col min="4615" max="4615" width="17.28515625" style="1" customWidth="1"/>
    <col min="4616" max="4616" width="14.140625" style="1" customWidth="1"/>
    <col min="4617" max="4617" width="15.42578125" style="1" customWidth="1"/>
    <col min="4618" max="4618" width="14.7109375" style="1" customWidth="1"/>
    <col min="4619" max="4619" width="12.85546875" style="1" customWidth="1"/>
    <col min="4620" max="4620" width="12.7109375" style="1" customWidth="1"/>
    <col min="4621" max="4621" width="12.140625" style="1" customWidth="1"/>
    <col min="4622" max="4622" width="13" style="1" customWidth="1"/>
    <col min="4623" max="4623" width="15.28515625" style="1" customWidth="1"/>
    <col min="4624" max="4624" width="15.85546875" style="1" customWidth="1"/>
    <col min="4625" max="4625" width="13.7109375" style="1" customWidth="1"/>
    <col min="4626" max="4626" width="15.140625" style="1" customWidth="1"/>
    <col min="4627" max="4627" width="11.85546875" style="1" customWidth="1"/>
    <col min="4628" max="4628" width="20" style="1" customWidth="1"/>
    <col min="4629" max="4629" width="16.42578125" style="1" customWidth="1"/>
    <col min="4630" max="4630" width="11.42578125" style="1"/>
    <col min="4631" max="4631" width="14.140625" style="1" customWidth="1"/>
    <col min="4632" max="4632" width="14.42578125" style="1" customWidth="1"/>
    <col min="4633" max="4633" width="11.7109375" style="1" customWidth="1"/>
    <col min="4634" max="4634" width="11.42578125" style="1"/>
    <col min="4635" max="4635" width="13.7109375" style="1" customWidth="1"/>
    <col min="4636" max="4636" width="15.42578125" style="1" customWidth="1"/>
    <col min="4637" max="4637" width="15.85546875" style="1" customWidth="1"/>
    <col min="4638" max="4638" width="15.7109375" style="1" customWidth="1"/>
    <col min="4639" max="4639" width="5" style="1" bestFit="1" customWidth="1"/>
    <col min="4640" max="4640" width="6.42578125" style="1" bestFit="1" customWidth="1"/>
    <col min="4641" max="4641" width="5.42578125" style="1" bestFit="1" customWidth="1"/>
    <col min="4642" max="4642" width="4.28515625" style="1" bestFit="1" customWidth="1"/>
    <col min="4643" max="4643" width="5" style="1" bestFit="1" customWidth="1"/>
    <col min="4644" max="4644" width="4.42578125" style="1" bestFit="1" customWidth="1"/>
    <col min="4645" max="4645" width="4.140625" style="1" bestFit="1" customWidth="1"/>
    <col min="4646" max="4646" width="5.85546875" style="1" bestFit="1" customWidth="1"/>
    <col min="4647" max="4647" width="9.140625" style="1" bestFit="1" customWidth="1"/>
    <col min="4648" max="4648" width="6.42578125" style="1" bestFit="1" customWidth="1"/>
    <col min="4649" max="4649" width="8.85546875" style="1" bestFit="1" customWidth="1"/>
    <col min="4650" max="4650" width="8.28515625" style="1" bestFit="1" customWidth="1"/>
    <col min="4651" max="4864" width="11.42578125" style="1"/>
    <col min="4865" max="4865" width="13.7109375" style="1" customWidth="1"/>
    <col min="4866" max="4867" width="13.140625" style="1" customWidth="1"/>
    <col min="4868" max="4868" width="13" style="1" customWidth="1"/>
    <col min="4869" max="4869" width="14" style="1" customWidth="1"/>
    <col min="4870" max="4870" width="12.42578125" style="1" customWidth="1"/>
    <col min="4871" max="4871" width="17.28515625" style="1" customWidth="1"/>
    <col min="4872" max="4872" width="14.140625" style="1" customWidth="1"/>
    <col min="4873" max="4873" width="15.42578125" style="1" customWidth="1"/>
    <col min="4874" max="4874" width="14.7109375" style="1" customWidth="1"/>
    <col min="4875" max="4875" width="12.85546875" style="1" customWidth="1"/>
    <col min="4876" max="4876" width="12.7109375" style="1" customWidth="1"/>
    <col min="4877" max="4877" width="12.140625" style="1" customWidth="1"/>
    <col min="4878" max="4878" width="13" style="1" customWidth="1"/>
    <col min="4879" max="4879" width="15.28515625" style="1" customWidth="1"/>
    <col min="4880" max="4880" width="15.85546875" style="1" customWidth="1"/>
    <col min="4881" max="4881" width="13.7109375" style="1" customWidth="1"/>
    <col min="4882" max="4882" width="15.140625" style="1" customWidth="1"/>
    <col min="4883" max="4883" width="11.85546875" style="1" customWidth="1"/>
    <col min="4884" max="4884" width="20" style="1" customWidth="1"/>
    <col min="4885" max="4885" width="16.42578125" style="1" customWidth="1"/>
    <col min="4886" max="4886" width="11.42578125" style="1"/>
    <col min="4887" max="4887" width="14.140625" style="1" customWidth="1"/>
    <col min="4888" max="4888" width="14.42578125" style="1" customWidth="1"/>
    <col min="4889" max="4889" width="11.7109375" style="1" customWidth="1"/>
    <col min="4890" max="4890" width="11.42578125" style="1"/>
    <col min="4891" max="4891" width="13.7109375" style="1" customWidth="1"/>
    <col min="4892" max="4892" width="15.42578125" style="1" customWidth="1"/>
    <col min="4893" max="4893" width="15.85546875" style="1" customWidth="1"/>
    <col min="4894" max="4894" width="15.7109375" style="1" customWidth="1"/>
    <col min="4895" max="4895" width="5" style="1" bestFit="1" customWidth="1"/>
    <col min="4896" max="4896" width="6.42578125" style="1" bestFit="1" customWidth="1"/>
    <col min="4897" max="4897" width="5.42578125" style="1" bestFit="1" customWidth="1"/>
    <col min="4898" max="4898" width="4.28515625" style="1" bestFit="1" customWidth="1"/>
    <col min="4899" max="4899" width="5" style="1" bestFit="1" customWidth="1"/>
    <col min="4900" max="4900" width="4.42578125" style="1" bestFit="1" customWidth="1"/>
    <col min="4901" max="4901" width="4.140625" style="1" bestFit="1" customWidth="1"/>
    <col min="4902" max="4902" width="5.85546875" style="1" bestFit="1" customWidth="1"/>
    <col min="4903" max="4903" width="9.140625" style="1" bestFit="1" customWidth="1"/>
    <col min="4904" max="4904" width="6.42578125" style="1" bestFit="1" customWidth="1"/>
    <col min="4905" max="4905" width="8.85546875" style="1" bestFit="1" customWidth="1"/>
    <col min="4906" max="4906" width="8.28515625" style="1" bestFit="1" customWidth="1"/>
    <col min="4907" max="5120" width="11.42578125" style="1"/>
    <col min="5121" max="5121" width="13.7109375" style="1" customWidth="1"/>
    <col min="5122" max="5123" width="13.140625" style="1" customWidth="1"/>
    <col min="5124" max="5124" width="13" style="1" customWidth="1"/>
    <col min="5125" max="5125" width="14" style="1" customWidth="1"/>
    <col min="5126" max="5126" width="12.42578125" style="1" customWidth="1"/>
    <col min="5127" max="5127" width="17.28515625" style="1" customWidth="1"/>
    <col min="5128" max="5128" width="14.140625" style="1" customWidth="1"/>
    <col min="5129" max="5129" width="15.42578125" style="1" customWidth="1"/>
    <col min="5130" max="5130" width="14.7109375" style="1" customWidth="1"/>
    <col min="5131" max="5131" width="12.85546875" style="1" customWidth="1"/>
    <col min="5132" max="5132" width="12.7109375" style="1" customWidth="1"/>
    <col min="5133" max="5133" width="12.140625" style="1" customWidth="1"/>
    <col min="5134" max="5134" width="13" style="1" customWidth="1"/>
    <col min="5135" max="5135" width="15.28515625" style="1" customWidth="1"/>
    <col min="5136" max="5136" width="15.85546875" style="1" customWidth="1"/>
    <col min="5137" max="5137" width="13.7109375" style="1" customWidth="1"/>
    <col min="5138" max="5138" width="15.140625" style="1" customWidth="1"/>
    <col min="5139" max="5139" width="11.85546875" style="1" customWidth="1"/>
    <col min="5140" max="5140" width="20" style="1" customWidth="1"/>
    <col min="5141" max="5141" width="16.42578125" style="1" customWidth="1"/>
    <col min="5142" max="5142" width="11.42578125" style="1"/>
    <col min="5143" max="5143" width="14.140625" style="1" customWidth="1"/>
    <col min="5144" max="5144" width="14.42578125" style="1" customWidth="1"/>
    <col min="5145" max="5145" width="11.7109375" style="1" customWidth="1"/>
    <col min="5146" max="5146" width="11.42578125" style="1"/>
    <col min="5147" max="5147" width="13.7109375" style="1" customWidth="1"/>
    <col min="5148" max="5148" width="15.42578125" style="1" customWidth="1"/>
    <col min="5149" max="5149" width="15.85546875" style="1" customWidth="1"/>
    <col min="5150" max="5150" width="15.7109375" style="1" customWidth="1"/>
    <col min="5151" max="5151" width="5" style="1" bestFit="1" customWidth="1"/>
    <col min="5152" max="5152" width="6.42578125" style="1" bestFit="1" customWidth="1"/>
    <col min="5153" max="5153" width="5.42578125" style="1" bestFit="1" customWidth="1"/>
    <col min="5154" max="5154" width="4.28515625" style="1" bestFit="1" customWidth="1"/>
    <col min="5155" max="5155" width="5" style="1" bestFit="1" customWidth="1"/>
    <col min="5156" max="5156" width="4.42578125" style="1" bestFit="1" customWidth="1"/>
    <col min="5157" max="5157" width="4.140625" style="1" bestFit="1" customWidth="1"/>
    <col min="5158" max="5158" width="5.85546875" style="1" bestFit="1" customWidth="1"/>
    <col min="5159" max="5159" width="9.140625" style="1" bestFit="1" customWidth="1"/>
    <col min="5160" max="5160" width="6.42578125" style="1" bestFit="1" customWidth="1"/>
    <col min="5161" max="5161" width="8.85546875" style="1" bestFit="1" customWidth="1"/>
    <col min="5162" max="5162" width="8.28515625" style="1" bestFit="1" customWidth="1"/>
    <col min="5163" max="5376" width="11.42578125" style="1"/>
    <col min="5377" max="5377" width="13.7109375" style="1" customWidth="1"/>
    <col min="5378" max="5379" width="13.140625" style="1" customWidth="1"/>
    <col min="5380" max="5380" width="13" style="1" customWidth="1"/>
    <col min="5381" max="5381" width="14" style="1" customWidth="1"/>
    <col min="5382" max="5382" width="12.42578125" style="1" customWidth="1"/>
    <col min="5383" max="5383" width="17.28515625" style="1" customWidth="1"/>
    <col min="5384" max="5384" width="14.140625" style="1" customWidth="1"/>
    <col min="5385" max="5385" width="15.42578125" style="1" customWidth="1"/>
    <col min="5386" max="5386" width="14.7109375" style="1" customWidth="1"/>
    <col min="5387" max="5387" width="12.85546875" style="1" customWidth="1"/>
    <col min="5388" max="5388" width="12.7109375" style="1" customWidth="1"/>
    <col min="5389" max="5389" width="12.140625" style="1" customWidth="1"/>
    <col min="5390" max="5390" width="13" style="1" customWidth="1"/>
    <col min="5391" max="5391" width="15.28515625" style="1" customWidth="1"/>
    <col min="5392" max="5392" width="15.85546875" style="1" customWidth="1"/>
    <col min="5393" max="5393" width="13.7109375" style="1" customWidth="1"/>
    <col min="5394" max="5394" width="15.140625" style="1" customWidth="1"/>
    <col min="5395" max="5395" width="11.85546875" style="1" customWidth="1"/>
    <col min="5396" max="5396" width="20" style="1" customWidth="1"/>
    <col min="5397" max="5397" width="16.42578125" style="1" customWidth="1"/>
    <col min="5398" max="5398" width="11.42578125" style="1"/>
    <col min="5399" max="5399" width="14.140625" style="1" customWidth="1"/>
    <col min="5400" max="5400" width="14.42578125" style="1" customWidth="1"/>
    <col min="5401" max="5401" width="11.7109375" style="1" customWidth="1"/>
    <col min="5402" max="5402" width="11.42578125" style="1"/>
    <col min="5403" max="5403" width="13.7109375" style="1" customWidth="1"/>
    <col min="5404" max="5404" width="15.42578125" style="1" customWidth="1"/>
    <col min="5405" max="5405" width="15.85546875" style="1" customWidth="1"/>
    <col min="5406" max="5406" width="15.7109375" style="1" customWidth="1"/>
    <col min="5407" max="5407" width="5" style="1" bestFit="1" customWidth="1"/>
    <col min="5408" max="5408" width="6.42578125" style="1" bestFit="1" customWidth="1"/>
    <col min="5409" max="5409" width="5.42578125" style="1" bestFit="1" customWidth="1"/>
    <col min="5410" max="5410" width="4.28515625" style="1" bestFit="1" customWidth="1"/>
    <col min="5411" max="5411" width="5" style="1" bestFit="1" customWidth="1"/>
    <col min="5412" max="5412" width="4.42578125" style="1" bestFit="1" customWidth="1"/>
    <col min="5413" max="5413" width="4.140625" style="1" bestFit="1" customWidth="1"/>
    <col min="5414" max="5414" width="5.85546875" style="1" bestFit="1" customWidth="1"/>
    <col min="5415" max="5415" width="9.140625" style="1" bestFit="1" customWidth="1"/>
    <col min="5416" max="5416" width="6.42578125" style="1" bestFit="1" customWidth="1"/>
    <col min="5417" max="5417" width="8.85546875" style="1" bestFit="1" customWidth="1"/>
    <col min="5418" max="5418" width="8.28515625" style="1" bestFit="1" customWidth="1"/>
    <col min="5419" max="5632" width="11.42578125" style="1"/>
    <col min="5633" max="5633" width="13.7109375" style="1" customWidth="1"/>
    <col min="5634" max="5635" width="13.140625" style="1" customWidth="1"/>
    <col min="5636" max="5636" width="13" style="1" customWidth="1"/>
    <col min="5637" max="5637" width="14" style="1" customWidth="1"/>
    <col min="5638" max="5638" width="12.42578125" style="1" customWidth="1"/>
    <col min="5639" max="5639" width="17.28515625" style="1" customWidth="1"/>
    <col min="5640" max="5640" width="14.140625" style="1" customWidth="1"/>
    <col min="5641" max="5641" width="15.42578125" style="1" customWidth="1"/>
    <col min="5642" max="5642" width="14.7109375" style="1" customWidth="1"/>
    <col min="5643" max="5643" width="12.85546875" style="1" customWidth="1"/>
    <col min="5644" max="5644" width="12.7109375" style="1" customWidth="1"/>
    <col min="5645" max="5645" width="12.140625" style="1" customWidth="1"/>
    <col min="5646" max="5646" width="13" style="1" customWidth="1"/>
    <col min="5647" max="5647" width="15.28515625" style="1" customWidth="1"/>
    <col min="5648" max="5648" width="15.85546875" style="1" customWidth="1"/>
    <col min="5649" max="5649" width="13.7109375" style="1" customWidth="1"/>
    <col min="5650" max="5650" width="15.140625" style="1" customWidth="1"/>
    <col min="5651" max="5651" width="11.85546875" style="1" customWidth="1"/>
    <col min="5652" max="5652" width="20" style="1" customWidth="1"/>
    <col min="5653" max="5653" width="16.42578125" style="1" customWidth="1"/>
    <col min="5654" max="5654" width="11.42578125" style="1"/>
    <col min="5655" max="5655" width="14.140625" style="1" customWidth="1"/>
    <col min="5656" max="5656" width="14.42578125" style="1" customWidth="1"/>
    <col min="5657" max="5657" width="11.7109375" style="1" customWidth="1"/>
    <col min="5658" max="5658" width="11.42578125" style="1"/>
    <col min="5659" max="5659" width="13.7109375" style="1" customWidth="1"/>
    <col min="5660" max="5660" width="15.42578125" style="1" customWidth="1"/>
    <col min="5661" max="5661" width="15.85546875" style="1" customWidth="1"/>
    <col min="5662" max="5662" width="15.7109375" style="1" customWidth="1"/>
    <col min="5663" max="5663" width="5" style="1" bestFit="1" customWidth="1"/>
    <col min="5664" max="5664" width="6.42578125" style="1" bestFit="1" customWidth="1"/>
    <col min="5665" max="5665" width="5.42578125" style="1" bestFit="1" customWidth="1"/>
    <col min="5666" max="5666" width="4.28515625" style="1" bestFit="1" customWidth="1"/>
    <col min="5667" max="5667" width="5" style="1" bestFit="1" customWidth="1"/>
    <col min="5668" max="5668" width="4.42578125" style="1" bestFit="1" customWidth="1"/>
    <col min="5669" max="5669" width="4.140625" style="1" bestFit="1" customWidth="1"/>
    <col min="5670" max="5670" width="5.85546875" style="1" bestFit="1" customWidth="1"/>
    <col min="5671" max="5671" width="9.140625" style="1" bestFit="1" customWidth="1"/>
    <col min="5672" max="5672" width="6.42578125" style="1" bestFit="1" customWidth="1"/>
    <col min="5673" max="5673" width="8.85546875" style="1" bestFit="1" customWidth="1"/>
    <col min="5674" max="5674" width="8.28515625" style="1" bestFit="1" customWidth="1"/>
    <col min="5675" max="5888" width="11.42578125" style="1"/>
    <col min="5889" max="5889" width="13.7109375" style="1" customWidth="1"/>
    <col min="5890" max="5891" width="13.140625" style="1" customWidth="1"/>
    <col min="5892" max="5892" width="13" style="1" customWidth="1"/>
    <col min="5893" max="5893" width="14" style="1" customWidth="1"/>
    <col min="5894" max="5894" width="12.42578125" style="1" customWidth="1"/>
    <col min="5895" max="5895" width="17.28515625" style="1" customWidth="1"/>
    <col min="5896" max="5896" width="14.140625" style="1" customWidth="1"/>
    <col min="5897" max="5897" width="15.42578125" style="1" customWidth="1"/>
    <col min="5898" max="5898" width="14.7109375" style="1" customWidth="1"/>
    <col min="5899" max="5899" width="12.85546875" style="1" customWidth="1"/>
    <col min="5900" max="5900" width="12.7109375" style="1" customWidth="1"/>
    <col min="5901" max="5901" width="12.140625" style="1" customWidth="1"/>
    <col min="5902" max="5902" width="13" style="1" customWidth="1"/>
    <col min="5903" max="5903" width="15.28515625" style="1" customWidth="1"/>
    <col min="5904" max="5904" width="15.85546875" style="1" customWidth="1"/>
    <col min="5905" max="5905" width="13.7109375" style="1" customWidth="1"/>
    <col min="5906" max="5906" width="15.140625" style="1" customWidth="1"/>
    <col min="5907" max="5907" width="11.85546875" style="1" customWidth="1"/>
    <col min="5908" max="5908" width="20" style="1" customWidth="1"/>
    <col min="5909" max="5909" width="16.42578125" style="1" customWidth="1"/>
    <col min="5910" max="5910" width="11.42578125" style="1"/>
    <col min="5911" max="5911" width="14.140625" style="1" customWidth="1"/>
    <col min="5912" max="5912" width="14.42578125" style="1" customWidth="1"/>
    <col min="5913" max="5913" width="11.7109375" style="1" customWidth="1"/>
    <col min="5914" max="5914" width="11.42578125" style="1"/>
    <col min="5915" max="5915" width="13.7109375" style="1" customWidth="1"/>
    <col min="5916" max="5916" width="15.42578125" style="1" customWidth="1"/>
    <col min="5917" max="5917" width="15.85546875" style="1" customWidth="1"/>
    <col min="5918" max="5918" width="15.7109375" style="1" customWidth="1"/>
    <col min="5919" max="5919" width="5" style="1" bestFit="1" customWidth="1"/>
    <col min="5920" max="5920" width="6.42578125" style="1" bestFit="1" customWidth="1"/>
    <col min="5921" max="5921" width="5.42578125" style="1" bestFit="1" customWidth="1"/>
    <col min="5922" max="5922" width="4.28515625" style="1" bestFit="1" customWidth="1"/>
    <col min="5923" max="5923" width="5" style="1" bestFit="1" customWidth="1"/>
    <col min="5924" max="5924" width="4.42578125" style="1" bestFit="1" customWidth="1"/>
    <col min="5925" max="5925" width="4.140625" style="1" bestFit="1" customWidth="1"/>
    <col min="5926" max="5926" width="5.85546875" style="1" bestFit="1" customWidth="1"/>
    <col min="5927" max="5927" width="9.140625" style="1" bestFit="1" customWidth="1"/>
    <col min="5928" max="5928" width="6.42578125" style="1" bestFit="1" customWidth="1"/>
    <col min="5929" max="5929" width="8.85546875" style="1" bestFit="1" customWidth="1"/>
    <col min="5930" max="5930" width="8.28515625" style="1" bestFit="1" customWidth="1"/>
    <col min="5931" max="6144" width="11.42578125" style="1"/>
    <col min="6145" max="6145" width="13.7109375" style="1" customWidth="1"/>
    <col min="6146" max="6147" width="13.140625" style="1" customWidth="1"/>
    <col min="6148" max="6148" width="13" style="1" customWidth="1"/>
    <col min="6149" max="6149" width="14" style="1" customWidth="1"/>
    <col min="6150" max="6150" width="12.42578125" style="1" customWidth="1"/>
    <col min="6151" max="6151" width="17.28515625" style="1" customWidth="1"/>
    <col min="6152" max="6152" width="14.140625" style="1" customWidth="1"/>
    <col min="6153" max="6153" width="15.42578125" style="1" customWidth="1"/>
    <col min="6154" max="6154" width="14.7109375" style="1" customWidth="1"/>
    <col min="6155" max="6155" width="12.85546875" style="1" customWidth="1"/>
    <col min="6156" max="6156" width="12.7109375" style="1" customWidth="1"/>
    <col min="6157" max="6157" width="12.140625" style="1" customWidth="1"/>
    <col min="6158" max="6158" width="13" style="1" customWidth="1"/>
    <col min="6159" max="6159" width="15.28515625" style="1" customWidth="1"/>
    <col min="6160" max="6160" width="15.85546875" style="1" customWidth="1"/>
    <col min="6161" max="6161" width="13.7109375" style="1" customWidth="1"/>
    <col min="6162" max="6162" width="15.140625" style="1" customWidth="1"/>
    <col min="6163" max="6163" width="11.85546875" style="1" customWidth="1"/>
    <col min="6164" max="6164" width="20" style="1" customWidth="1"/>
    <col min="6165" max="6165" width="16.42578125" style="1" customWidth="1"/>
    <col min="6166" max="6166" width="11.42578125" style="1"/>
    <col min="6167" max="6167" width="14.140625" style="1" customWidth="1"/>
    <col min="6168" max="6168" width="14.42578125" style="1" customWidth="1"/>
    <col min="6169" max="6169" width="11.7109375" style="1" customWidth="1"/>
    <col min="6170" max="6170" width="11.42578125" style="1"/>
    <col min="6171" max="6171" width="13.7109375" style="1" customWidth="1"/>
    <col min="6172" max="6172" width="15.42578125" style="1" customWidth="1"/>
    <col min="6173" max="6173" width="15.85546875" style="1" customWidth="1"/>
    <col min="6174" max="6174" width="15.7109375" style="1" customWidth="1"/>
    <col min="6175" max="6175" width="5" style="1" bestFit="1" customWidth="1"/>
    <col min="6176" max="6176" width="6.42578125" style="1" bestFit="1" customWidth="1"/>
    <col min="6177" max="6177" width="5.42578125" style="1" bestFit="1" customWidth="1"/>
    <col min="6178" max="6178" width="4.28515625" style="1" bestFit="1" customWidth="1"/>
    <col min="6179" max="6179" width="5" style="1" bestFit="1" customWidth="1"/>
    <col min="6180" max="6180" width="4.42578125" style="1" bestFit="1" customWidth="1"/>
    <col min="6181" max="6181" width="4.140625" style="1" bestFit="1" customWidth="1"/>
    <col min="6182" max="6182" width="5.85546875" style="1" bestFit="1" customWidth="1"/>
    <col min="6183" max="6183" width="9.140625" style="1" bestFit="1" customWidth="1"/>
    <col min="6184" max="6184" width="6.42578125" style="1" bestFit="1" customWidth="1"/>
    <col min="6185" max="6185" width="8.85546875" style="1" bestFit="1" customWidth="1"/>
    <col min="6186" max="6186" width="8.28515625" style="1" bestFit="1" customWidth="1"/>
    <col min="6187" max="6400" width="11.42578125" style="1"/>
    <col min="6401" max="6401" width="13.7109375" style="1" customWidth="1"/>
    <col min="6402" max="6403" width="13.140625" style="1" customWidth="1"/>
    <col min="6404" max="6404" width="13" style="1" customWidth="1"/>
    <col min="6405" max="6405" width="14" style="1" customWidth="1"/>
    <col min="6406" max="6406" width="12.42578125" style="1" customWidth="1"/>
    <col min="6407" max="6407" width="17.28515625" style="1" customWidth="1"/>
    <col min="6408" max="6408" width="14.140625" style="1" customWidth="1"/>
    <col min="6409" max="6409" width="15.42578125" style="1" customWidth="1"/>
    <col min="6410" max="6410" width="14.7109375" style="1" customWidth="1"/>
    <col min="6411" max="6411" width="12.85546875" style="1" customWidth="1"/>
    <col min="6412" max="6412" width="12.7109375" style="1" customWidth="1"/>
    <col min="6413" max="6413" width="12.140625" style="1" customWidth="1"/>
    <col min="6414" max="6414" width="13" style="1" customWidth="1"/>
    <col min="6415" max="6415" width="15.28515625" style="1" customWidth="1"/>
    <col min="6416" max="6416" width="15.85546875" style="1" customWidth="1"/>
    <col min="6417" max="6417" width="13.7109375" style="1" customWidth="1"/>
    <col min="6418" max="6418" width="15.140625" style="1" customWidth="1"/>
    <col min="6419" max="6419" width="11.85546875" style="1" customWidth="1"/>
    <col min="6420" max="6420" width="20" style="1" customWidth="1"/>
    <col min="6421" max="6421" width="16.42578125" style="1" customWidth="1"/>
    <col min="6422" max="6422" width="11.42578125" style="1"/>
    <col min="6423" max="6423" width="14.140625" style="1" customWidth="1"/>
    <col min="6424" max="6424" width="14.42578125" style="1" customWidth="1"/>
    <col min="6425" max="6425" width="11.7109375" style="1" customWidth="1"/>
    <col min="6426" max="6426" width="11.42578125" style="1"/>
    <col min="6427" max="6427" width="13.7109375" style="1" customWidth="1"/>
    <col min="6428" max="6428" width="15.42578125" style="1" customWidth="1"/>
    <col min="6429" max="6429" width="15.85546875" style="1" customWidth="1"/>
    <col min="6430" max="6430" width="15.7109375" style="1" customWidth="1"/>
    <col min="6431" max="6431" width="5" style="1" bestFit="1" customWidth="1"/>
    <col min="6432" max="6432" width="6.42578125" style="1" bestFit="1" customWidth="1"/>
    <col min="6433" max="6433" width="5.42578125" style="1" bestFit="1" customWidth="1"/>
    <col min="6434" max="6434" width="4.28515625" style="1" bestFit="1" customWidth="1"/>
    <col min="6435" max="6435" width="5" style="1" bestFit="1" customWidth="1"/>
    <col min="6436" max="6436" width="4.42578125" style="1" bestFit="1" customWidth="1"/>
    <col min="6437" max="6437" width="4.140625" style="1" bestFit="1" customWidth="1"/>
    <col min="6438" max="6438" width="5.85546875" style="1" bestFit="1" customWidth="1"/>
    <col min="6439" max="6439" width="9.140625" style="1" bestFit="1" customWidth="1"/>
    <col min="6440" max="6440" width="6.42578125" style="1" bestFit="1" customWidth="1"/>
    <col min="6441" max="6441" width="8.85546875" style="1" bestFit="1" customWidth="1"/>
    <col min="6442" max="6442" width="8.28515625" style="1" bestFit="1" customWidth="1"/>
    <col min="6443" max="6656" width="11.42578125" style="1"/>
    <col min="6657" max="6657" width="13.7109375" style="1" customWidth="1"/>
    <col min="6658" max="6659" width="13.140625" style="1" customWidth="1"/>
    <col min="6660" max="6660" width="13" style="1" customWidth="1"/>
    <col min="6661" max="6661" width="14" style="1" customWidth="1"/>
    <col min="6662" max="6662" width="12.42578125" style="1" customWidth="1"/>
    <col min="6663" max="6663" width="17.28515625" style="1" customWidth="1"/>
    <col min="6664" max="6664" width="14.140625" style="1" customWidth="1"/>
    <col min="6665" max="6665" width="15.42578125" style="1" customWidth="1"/>
    <col min="6666" max="6666" width="14.7109375" style="1" customWidth="1"/>
    <col min="6667" max="6667" width="12.85546875" style="1" customWidth="1"/>
    <col min="6668" max="6668" width="12.7109375" style="1" customWidth="1"/>
    <col min="6669" max="6669" width="12.140625" style="1" customWidth="1"/>
    <col min="6670" max="6670" width="13" style="1" customWidth="1"/>
    <col min="6671" max="6671" width="15.28515625" style="1" customWidth="1"/>
    <col min="6672" max="6672" width="15.85546875" style="1" customWidth="1"/>
    <col min="6673" max="6673" width="13.7109375" style="1" customWidth="1"/>
    <col min="6674" max="6674" width="15.140625" style="1" customWidth="1"/>
    <col min="6675" max="6675" width="11.85546875" style="1" customWidth="1"/>
    <col min="6676" max="6676" width="20" style="1" customWidth="1"/>
    <col min="6677" max="6677" width="16.42578125" style="1" customWidth="1"/>
    <col min="6678" max="6678" width="11.42578125" style="1"/>
    <col min="6679" max="6679" width="14.140625" style="1" customWidth="1"/>
    <col min="6680" max="6680" width="14.42578125" style="1" customWidth="1"/>
    <col min="6681" max="6681" width="11.7109375" style="1" customWidth="1"/>
    <col min="6682" max="6682" width="11.42578125" style="1"/>
    <col min="6683" max="6683" width="13.7109375" style="1" customWidth="1"/>
    <col min="6684" max="6684" width="15.42578125" style="1" customWidth="1"/>
    <col min="6685" max="6685" width="15.85546875" style="1" customWidth="1"/>
    <col min="6686" max="6686" width="15.7109375" style="1" customWidth="1"/>
    <col min="6687" max="6687" width="5" style="1" bestFit="1" customWidth="1"/>
    <col min="6688" max="6688" width="6.42578125" style="1" bestFit="1" customWidth="1"/>
    <col min="6689" max="6689" width="5.42578125" style="1" bestFit="1" customWidth="1"/>
    <col min="6690" max="6690" width="4.28515625" style="1" bestFit="1" customWidth="1"/>
    <col min="6691" max="6691" width="5" style="1" bestFit="1" customWidth="1"/>
    <col min="6692" max="6692" width="4.42578125" style="1" bestFit="1" customWidth="1"/>
    <col min="6693" max="6693" width="4.140625" style="1" bestFit="1" customWidth="1"/>
    <col min="6694" max="6694" width="5.85546875" style="1" bestFit="1" customWidth="1"/>
    <col min="6695" max="6695" width="9.140625" style="1" bestFit="1" customWidth="1"/>
    <col min="6696" max="6696" width="6.42578125" style="1" bestFit="1" customWidth="1"/>
    <col min="6697" max="6697" width="8.85546875" style="1" bestFit="1" customWidth="1"/>
    <col min="6698" max="6698" width="8.28515625" style="1" bestFit="1" customWidth="1"/>
    <col min="6699" max="6912" width="11.42578125" style="1"/>
    <col min="6913" max="6913" width="13.7109375" style="1" customWidth="1"/>
    <col min="6914" max="6915" width="13.140625" style="1" customWidth="1"/>
    <col min="6916" max="6916" width="13" style="1" customWidth="1"/>
    <col min="6917" max="6917" width="14" style="1" customWidth="1"/>
    <col min="6918" max="6918" width="12.42578125" style="1" customWidth="1"/>
    <col min="6919" max="6919" width="17.28515625" style="1" customWidth="1"/>
    <col min="6920" max="6920" width="14.140625" style="1" customWidth="1"/>
    <col min="6921" max="6921" width="15.42578125" style="1" customWidth="1"/>
    <col min="6922" max="6922" width="14.7109375" style="1" customWidth="1"/>
    <col min="6923" max="6923" width="12.85546875" style="1" customWidth="1"/>
    <col min="6924" max="6924" width="12.7109375" style="1" customWidth="1"/>
    <col min="6925" max="6925" width="12.140625" style="1" customWidth="1"/>
    <col min="6926" max="6926" width="13" style="1" customWidth="1"/>
    <col min="6927" max="6927" width="15.28515625" style="1" customWidth="1"/>
    <col min="6928" max="6928" width="15.85546875" style="1" customWidth="1"/>
    <col min="6929" max="6929" width="13.7109375" style="1" customWidth="1"/>
    <col min="6930" max="6930" width="15.140625" style="1" customWidth="1"/>
    <col min="6931" max="6931" width="11.85546875" style="1" customWidth="1"/>
    <col min="6932" max="6932" width="20" style="1" customWidth="1"/>
    <col min="6933" max="6933" width="16.42578125" style="1" customWidth="1"/>
    <col min="6934" max="6934" width="11.42578125" style="1"/>
    <col min="6935" max="6935" width="14.140625" style="1" customWidth="1"/>
    <col min="6936" max="6936" width="14.42578125" style="1" customWidth="1"/>
    <col min="6937" max="6937" width="11.7109375" style="1" customWidth="1"/>
    <col min="6938" max="6938" width="11.42578125" style="1"/>
    <col min="6939" max="6939" width="13.7109375" style="1" customWidth="1"/>
    <col min="6940" max="6940" width="15.42578125" style="1" customWidth="1"/>
    <col min="6941" max="6941" width="15.85546875" style="1" customWidth="1"/>
    <col min="6942" max="6942" width="15.7109375" style="1" customWidth="1"/>
    <col min="6943" max="6943" width="5" style="1" bestFit="1" customWidth="1"/>
    <col min="6944" max="6944" width="6.42578125" style="1" bestFit="1" customWidth="1"/>
    <col min="6945" max="6945" width="5.42578125" style="1" bestFit="1" customWidth="1"/>
    <col min="6946" max="6946" width="4.28515625" style="1" bestFit="1" customWidth="1"/>
    <col min="6947" max="6947" width="5" style="1" bestFit="1" customWidth="1"/>
    <col min="6948" max="6948" width="4.42578125" style="1" bestFit="1" customWidth="1"/>
    <col min="6949" max="6949" width="4.140625" style="1" bestFit="1" customWidth="1"/>
    <col min="6950" max="6950" width="5.85546875" style="1" bestFit="1" customWidth="1"/>
    <col min="6951" max="6951" width="9.140625" style="1" bestFit="1" customWidth="1"/>
    <col min="6952" max="6952" width="6.42578125" style="1" bestFit="1" customWidth="1"/>
    <col min="6953" max="6953" width="8.85546875" style="1" bestFit="1" customWidth="1"/>
    <col min="6954" max="6954" width="8.28515625" style="1" bestFit="1" customWidth="1"/>
    <col min="6955" max="7168" width="11.42578125" style="1"/>
    <col min="7169" max="7169" width="13.7109375" style="1" customWidth="1"/>
    <col min="7170" max="7171" width="13.140625" style="1" customWidth="1"/>
    <col min="7172" max="7172" width="13" style="1" customWidth="1"/>
    <col min="7173" max="7173" width="14" style="1" customWidth="1"/>
    <col min="7174" max="7174" width="12.42578125" style="1" customWidth="1"/>
    <col min="7175" max="7175" width="17.28515625" style="1" customWidth="1"/>
    <col min="7176" max="7176" width="14.140625" style="1" customWidth="1"/>
    <col min="7177" max="7177" width="15.42578125" style="1" customWidth="1"/>
    <col min="7178" max="7178" width="14.7109375" style="1" customWidth="1"/>
    <col min="7179" max="7179" width="12.85546875" style="1" customWidth="1"/>
    <col min="7180" max="7180" width="12.7109375" style="1" customWidth="1"/>
    <col min="7181" max="7181" width="12.140625" style="1" customWidth="1"/>
    <col min="7182" max="7182" width="13" style="1" customWidth="1"/>
    <col min="7183" max="7183" width="15.28515625" style="1" customWidth="1"/>
    <col min="7184" max="7184" width="15.85546875" style="1" customWidth="1"/>
    <col min="7185" max="7185" width="13.7109375" style="1" customWidth="1"/>
    <col min="7186" max="7186" width="15.140625" style="1" customWidth="1"/>
    <col min="7187" max="7187" width="11.85546875" style="1" customWidth="1"/>
    <col min="7188" max="7188" width="20" style="1" customWidth="1"/>
    <col min="7189" max="7189" width="16.42578125" style="1" customWidth="1"/>
    <col min="7190" max="7190" width="11.42578125" style="1"/>
    <col min="7191" max="7191" width="14.140625" style="1" customWidth="1"/>
    <col min="7192" max="7192" width="14.42578125" style="1" customWidth="1"/>
    <col min="7193" max="7193" width="11.7109375" style="1" customWidth="1"/>
    <col min="7194" max="7194" width="11.42578125" style="1"/>
    <col min="7195" max="7195" width="13.7109375" style="1" customWidth="1"/>
    <col min="7196" max="7196" width="15.42578125" style="1" customWidth="1"/>
    <col min="7197" max="7197" width="15.85546875" style="1" customWidth="1"/>
    <col min="7198" max="7198" width="15.7109375" style="1" customWidth="1"/>
    <col min="7199" max="7199" width="5" style="1" bestFit="1" customWidth="1"/>
    <col min="7200" max="7200" width="6.42578125" style="1" bestFit="1" customWidth="1"/>
    <col min="7201" max="7201" width="5.42578125" style="1" bestFit="1" customWidth="1"/>
    <col min="7202" max="7202" width="4.28515625" style="1" bestFit="1" customWidth="1"/>
    <col min="7203" max="7203" width="5" style="1" bestFit="1" customWidth="1"/>
    <col min="7204" max="7204" width="4.42578125" style="1" bestFit="1" customWidth="1"/>
    <col min="7205" max="7205" width="4.140625" style="1" bestFit="1" customWidth="1"/>
    <col min="7206" max="7206" width="5.85546875" style="1" bestFit="1" customWidth="1"/>
    <col min="7207" max="7207" width="9.140625" style="1" bestFit="1" customWidth="1"/>
    <col min="7208" max="7208" width="6.42578125" style="1" bestFit="1" customWidth="1"/>
    <col min="7209" max="7209" width="8.85546875" style="1" bestFit="1" customWidth="1"/>
    <col min="7210" max="7210" width="8.28515625" style="1" bestFit="1" customWidth="1"/>
    <col min="7211" max="7424" width="11.42578125" style="1"/>
    <col min="7425" max="7425" width="13.7109375" style="1" customWidth="1"/>
    <col min="7426" max="7427" width="13.140625" style="1" customWidth="1"/>
    <col min="7428" max="7428" width="13" style="1" customWidth="1"/>
    <col min="7429" max="7429" width="14" style="1" customWidth="1"/>
    <col min="7430" max="7430" width="12.42578125" style="1" customWidth="1"/>
    <col min="7431" max="7431" width="17.28515625" style="1" customWidth="1"/>
    <col min="7432" max="7432" width="14.140625" style="1" customWidth="1"/>
    <col min="7433" max="7433" width="15.42578125" style="1" customWidth="1"/>
    <col min="7434" max="7434" width="14.7109375" style="1" customWidth="1"/>
    <col min="7435" max="7435" width="12.85546875" style="1" customWidth="1"/>
    <col min="7436" max="7436" width="12.7109375" style="1" customWidth="1"/>
    <col min="7437" max="7437" width="12.140625" style="1" customWidth="1"/>
    <col min="7438" max="7438" width="13" style="1" customWidth="1"/>
    <col min="7439" max="7439" width="15.28515625" style="1" customWidth="1"/>
    <col min="7440" max="7440" width="15.85546875" style="1" customWidth="1"/>
    <col min="7441" max="7441" width="13.7109375" style="1" customWidth="1"/>
    <col min="7442" max="7442" width="15.140625" style="1" customWidth="1"/>
    <col min="7443" max="7443" width="11.85546875" style="1" customWidth="1"/>
    <col min="7444" max="7444" width="20" style="1" customWidth="1"/>
    <col min="7445" max="7445" width="16.42578125" style="1" customWidth="1"/>
    <col min="7446" max="7446" width="11.42578125" style="1"/>
    <col min="7447" max="7447" width="14.140625" style="1" customWidth="1"/>
    <col min="7448" max="7448" width="14.42578125" style="1" customWidth="1"/>
    <col min="7449" max="7449" width="11.7109375" style="1" customWidth="1"/>
    <col min="7450" max="7450" width="11.42578125" style="1"/>
    <col min="7451" max="7451" width="13.7109375" style="1" customWidth="1"/>
    <col min="7452" max="7452" width="15.42578125" style="1" customWidth="1"/>
    <col min="7453" max="7453" width="15.85546875" style="1" customWidth="1"/>
    <col min="7454" max="7454" width="15.7109375" style="1" customWidth="1"/>
    <col min="7455" max="7455" width="5" style="1" bestFit="1" customWidth="1"/>
    <col min="7456" max="7456" width="6.42578125" style="1" bestFit="1" customWidth="1"/>
    <col min="7457" max="7457" width="5.42578125" style="1" bestFit="1" customWidth="1"/>
    <col min="7458" max="7458" width="4.28515625" style="1" bestFit="1" customWidth="1"/>
    <col min="7459" max="7459" width="5" style="1" bestFit="1" customWidth="1"/>
    <col min="7460" max="7460" width="4.42578125" style="1" bestFit="1" customWidth="1"/>
    <col min="7461" max="7461" width="4.140625" style="1" bestFit="1" customWidth="1"/>
    <col min="7462" max="7462" width="5.85546875" style="1" bestFit="1" customWidth="1"/>
    <col min="7463" max="7463" width="9.140625" style="1" bestFit="1" customWidth="1"/>
    <col min="7464" max="7464" width="6.42578125" style="1" bestFit="1" customWidth="1"/>
    <col min="7465" max="7465" width="8.85546875" style="1" bestFit="1" customWidth="1"/>
    <col min="7466" max="7466" width="8.28515625" style="1" bestFit="1" customWidth="1"/>
    <col min="7467" max="7680" width="11.42578125" style="1"/>
    <col min="7681" max="7681" width="13.7109375" style="1" customWidth="1"/>
    <col min="7682" max="7683" width="13.140625" style="1" customWidth="1"/>
    <col min="7684" max="7684" width="13" style="1" customWidth="1"/>
    <col min="7685" max="7685" width="14" style="1" customWidth="1"/>
    <col min="7686" max="7686" width="12.42578125" style="1" customWidth="1"/>
    <col min="7687" max="7687" width="17.28515625" style="1" customWidth="1"/>
    <col min="7688" max="7688" width="14.140625" style="1" customWidth="1"/>
    <col min="7689" max="7689" width="15.42578125" style="1" customWidth="1"/>
    <col min="7690" max="7690" width="14.7109375" style="1" customWidth="1"/>
    <col min="7691" max="7691" width="12.85546875" style="1" customWidth="1"/>
    <col min="7692" max="7692" width="12.7109375" style="1" customWidth="1"/>
    <col min="7693" max="7693" width="12.140625" style="1" customWidth="1"/>
    <col min="7694" max="7694" width="13" style="1" customWidth="1"/>
    <col min="7695" max="7695" width="15.28515625" style="1" customWidth="1"/>
    <col min="7696" max="7696" width="15.85546875" style="1" customWidth="1"/>
    <col min="7697" max="7697" width="13.7109375" style="1" customWidth="1"/>
    <col min="7698" max="7698" width="15.140625" style="1" customWidth="1"/>
    <col min="7699" max="7699" width="11.85546875" style="1" customWidth="1"/>
    <col min="7700" max="7700" width="20" style="1" customWidth="1"/>
    <col min="7701" max="7701" width="16.42578125" style="1" customWidth="1"/>
    <col min="7702" max="7702" width="11.42578125" style="1"/>
    <col min="7703" max="7703" width="14.140625" style="1" customWidth="1"/>
    <col min="7704" max="7704" width="14.42578125" style="1" customWidth="1"/>
    <col min="7705" max="7705" width="11.7109375" style="1" customWidth="1"/>
    <col min="7706" max="7706" width="11.42578125" style="1"/>
    <col min="7707" max="7707" width="13.7109375" style="1" customWidth="1"/>
    <col min="7708" max="7708" width="15.42578125" style="1" customWidth="1"/>
    <col min="7709" max="7709" width="15.85546875" style="1" customWidth="1"/>
    <col min="7710" max="7710" width="15.7109375" style="1" customWidth="1"/>
    <col min="7711" max="7711" width="5" style="1" bestFit="1" customWidth="1"/>
    <col min="7712" max="7712" width="6.42578125" style="1" bestFit="1" customWidth="1"/>
    <col min="7713" max="7713" width="5.42578125" style="1" bestFit="1" customWidth="1"/>
    <col min="7714" max="7714" width="4.28515625" style="1" bestFit="1" customWidth="1"/>
    <col min="7715" max="7715" width="5" style="1" bestFit="1" customWidth="1"/>
    <col min="7716" max="7716" width="4.42578125" style="1" bestFit="1" customWidth="1"/>
    <col min="7717" max="7717" width="4.140625" style="1" bestFit="1" customWidth="1"/>
    <col min="7718" max="7718" width="5.85546875" style="1" bestFit="1" customWidth="1"/>
    <col min="7719" max="7719" width="9.140625" style="1" bestFit="1" customWidth="1"/>
    <col min="7720" max="7720" width="6.42578125" style="1" bestFit="1" customWidth="1"/>
    <col min="7721" max="7721" width="8.85546875" style="1" bestFit="1" customWidth="1"/>
    <col min="7722" max="7722" width="8.28515625" style="1" bestFit="1" customWidth="1"/>
    <col min="7723" max="7936" width="11.42578125" style="1"/>
    <col min="7937" max="7937" width="13.7109375" style="1" customWidth="1"/>
    <col min="7938" max="7939" width="13.140625" style="1" customWidth="1"/>
    <col min="7940" max="7940" width="13" style="1" customWidth="1"/>
    <col min="7941" max="7941" width="14" style="1" customWidth="1"/>
    <col min="7942" max="7942" width="12.42578125" style="1" customWidth="1"/>
    <col min="7943" max="7943" width="17.28515625" style="1" customWidth="1"/>
    <col min="7944" max="7944" width="14.140625" style="1" customWidth="1"/>
    <col min="7945" max="7945" width="15.42578125" style="1" customWidth="1"/>
    <col min="7946" max="7946" width="14.7109375" style="1" customWidth="1"/>
    <col min="7947" max="7947" width="12.85546875" style="1" customWidth="1"/>
    <col min="7948" max="7948" width="12.7109375" style="1" customWidth="1"/>
    <col min="7949" max="7949" width="12.140625" style="1" customWidth="1"/>
    <col min="7950" max="7950" width="13" style="1" customWidth="1"/>
    <col min="7951" max="7951" width="15.28515625" style="1" customWidth="1"/>
    <col min="7952" max="7952" width="15.85546875" style="1" customWidth="1"/>
    <col min="7953" max="7953" width="13.7109375" style="1" customWidth="1"/>
    <col min="7954" max="7954" width="15.140625" style="1" customWidth="1"/>
    <col min="7955" max="7955" width="11.85546875" style="1" customWidth="1"/>
    <col min="7956" max="7956" width="20" style="1" customWidth="1"/>
    <col min="7957" max="7957" width="16.42578125" style="1" customWidth="1"/>
    <col min="7958" max="7958" width="11.42578125" style="1"/>
    <col min="7959" max="7959" width="14.140625" style="1" customWidth="1"/>
    <col min="7960" max="7960" width="14.42578125" style="1" customWidth="1"/>
    <col min="7961" max="7961" width="11.7109375" style="1" customWidth="1"/>
    <col min="7962" max="7962" width="11.42578125" style="1"/>
    <col min="7963" max="7963" width="13.7109375" style="1" customWidth="1"/>
    <col min="7964" max="7964" width="15.42578125" style="1" customWidth="1"/>
    <col min="7965" max="7965" width="15.85546875" style="1" customWidth="1"/>
    <col min="7966" max="7966" width="15.7109375" style="1" customWidth="1"/>
    <col min="7967" max="7967" width="5" style="1" bestFit="1" customWidth="1"/>
    <col min="7968" max="7968" width="6.42578125" style="1" bestFit="1" customWidth="1"/>
    <col min="7969" max="7969" width="5.42578125" style="1" bestFit="1" customWidth="1"/>
    <col min="7970" max="7970" width="4.28515625" style="1" bestFit="1" customWidth="1"/>
    <col min="7971" max="7971" width="5" style="1" bestFit="1" customWidth="1"/>
    <col min="7972" max="7972" width="4.42578125" style="1" bestFit="1" customWidth="1"/>
    <col min="7973" max="7973" width="4.140625" style="1" bestFit="1" customWidth="1"/>
    <col min="7974" max="7974" width="5.85546875" style="1" bestFit="1" customWidth="1"/>
    <col min="7975" max="7975" width="9.140625" style="1" bestFit="1" customWidth="1"/>
    <col min="7976" max="7976" width="6.42578125" style="1" bestFit="1" customWidth="1"/>
    <col min="7977" max="7977" width="8.85546875" style="1" bestFit="1" customWidth="1"/>
    <col min="7978" max="7978" width="8.28515625" style="1" bestFit="1" customWidth="1"/>
    <col min="7979" max="8192" width="11.42578125" style="1"/>
    <col min="8193" max="8193" width="13.7109375" style="1" customWidth="1"/>
    <col min="8194" max="8195" width="13.140625" style="1" customWidth="1"/>
    <col min="8196" max="8196" width="13" style="1" customWidth="1"/>
    <col min="8197" max="8197" width="14" style="1" customWidth="1"/>
    <col min="8198" max="8198" width="12.42578125" style="1" customWidth="1"/>
    <col min="8199" max="8199" width="17.28515625" style="1" customWidth="1"/>
    <col min="8200" max="8200" width="14.140625" style="1" customWidth="1"/>
    <col min="8201" max="8201" width="15.42578125" style="1" customWidth="1"/>
    <col min="8202" max="8202" width="14.7109375" style="1" customWidth="1"/>
    <col min="8203" max="8203" width="12.85546875" style="1" customWidth="1"/>
    <col min="8204" max="8204" width="12.7109375" style="1" customWidth="1"/>
    <col min="8205" max="8205" width="12.140625" style="1" customWidth="1"/>
    <col min="8206" max="8206" width="13" style="1" customWidth="1"/>
    <col min="8207" max="8207" width="15.28515625" style="1" customWidth="1"/>
    <col min="8208" max="8208" width="15.85546875" style="1" customWidth="1"/>
    <col min="8209" max="8209" width="13.7109375" style="1" customWidth="1"/>
    <col min="8210" max="8210" width="15.140625" style="1" customWidth="1"/>
    <col min="8211" max="8211" width="11.85546875" style="1" customWidth="1"/>
    <col min="8212" max="8212" width="20" style="1" customWidth="1"/>
    <col min="8213" max="8213" width="16.42578125" style="1" customWidth="1"/>
    <col min="8214" max="8214" width="11.42578125" style="1"/>
    <col min="8215" max="8215" width="14.140625" style="1" customWidth="1"/>
    <col min="8216" max="8216" width="14.42578125" style="1" customWidth="1"/>
    <col min="8217" max="8217" width="11.7109375" style="1" customWidth="1"/>
    <col min="8218" max="8218" width="11.42578125" style="1"/>
    <col min="8219" max="8219" width="13.7109375" style="1" customWidth="1"/>
    <col min="8220" max="8220" width="15.42578125" style="1" customWidth="1"/>
    <col min="8221" max="8221" width="15.85546875" style="1" customWidth="1"/>
    <col min="8222" max="8222" width="15.7109375" style="1" customWidth="1"/>
    <col min="8223" max="8223" width="5" style="1" bestFit="1" customWidth="1"/>
    <col min="8224" max="8224" width="6.42578125" style="1" bestFit="1" customWidth="1"/>
    <col min="8225" max="8225" width="5.42578125" style="1" bestFit="1" customWidth="1"/>
    <col min="8226" max="8226" width="4.28515625" style="1" bestFit="1" customWidth="1"/>
    <col min="8227" max="8227" width="5" style="1" bestFit="1" customWidth="1"/>
    <col min="8228" max="8228" width="4.42578125" style="1" bestFit="1" customWidth="1"/>
    <col min="8229" max="8229" width="4.140625" style="1" bestFit="1" customWidth="1"/>
    <col min="8230" max="8230" width="5.85546875" style="1" bestFit="1" customWidth="1"/>
    <col min="8231" max="8231" width="9.140625" style="1" bestFit="1" customWidth="1"/>
    <col min="8232" max="8232" width="6.42578125" style="1" bestFit="1" customWidth="1"/>
    <col min="8233" max="8233" width="8.85546875" style="1" bestFit="1" customWidth="1"/>
    <col min="8234" max="8234" width="8.28515625" style="1" bestFit="1" customWidth="1"/>
    <col min="8235" max="8448" width="11.42578125" style="1"/>
    <col min="8449" max="8449" width="13.7109375" style="1" customWidth="1"/>
    <col min="8450" max="8451" width="13.140625" style="1" customWidth="1"/>
    <col min="8452" max="8452" width="13" style="1" customWidth="1"/>
    <col min="8453" max="8453" width="14" style="1" customWidth="1"/>
    <col min="8454" max="8454" width="12.42578125" style="1" customWidth="1"/>
    <col min="8455" max="8455" width="17.28515625" style="1" customWidth="1"/>
    <col min="8456" max="8456" width="14.140625" style="1" customWidth="1"/>
    <col min="8457" max="8457" width="15.42578125" style="1" customWidth="1"/>
    <col min="8458" max="8458" width="14.7109375" style="1" customWidth="1"/>
    <col min="8459" max="8459" width="12.85546875" style="1" customWidth="1"/>
    <col min="8460" max="8460" width="12.7109375" style="1" customWidth="1"/>
    <col min="8461" max="8461" width="12.140625" style="1" customWidth="1"/>
    <col min="8462" max="8462" width="13" style="1" customWidth="1"/>
    <col min="8463" max="8463" width="15.28515625" style="1" customWidth="1"/>
    <col min="8464" max="8464" width="15.85546875" style="1" customWidth="1"/>
    <col min="8465" max="8465" width="13.7109375" style="1" customWidth="1"/>
    <col min="8466" max="8466" width="15.140625" style="1" customWidth="1"/>
    <col min="8467" max="8467" width="11.85546875" style="1" customWidth="1"/>
    <col min="8468" max="8468" width="20" style="1" customWidth="1"/>
    <col min="8469" max="8469" width="16.42578125" style="1" customWidth="1"/>
    <col min="8470" max="8470" width="11.42578125" style="1"/>
    <col min="8471" max="8471" width="14.140625" style="1" customWidth="1"/>
    <col min="8472" max="8472" width="14.42578125" style="1" customWidth="1"/>
    <col min="8473" max="8473" width="11.7109375" style="1" customWidth="1"/>
    <col min="8474" max="8474" width="11.42578125" style="1"/>
    <col min="8475" max="8475" width="13.7109375" style="1" customWidth="1"/>
    <col min="8476" max="8476" width="15.42578125" style="1" customWidth="1"/>
    <col min="8477" max="8477" width="15.85546875" style="1" customWidth="1"/>
    <col min="8478" max="8478" width="15.7109375" style="1" customWidth="1"/>
    <col min="8479" max="8479" width="5" style="1" bestFit="1" customWidth="1"/>
    <col min="8480" max="8480" width="6.42578125" style="1" bestFit="1" customWidth="1"/>
    <col min="8481" max="8481" width="5.42578125" style="1" bestFit="1" customWidth="1"/>
    <col min="8482" max="8482" width="4.28515625" style="1" bestFit="1" customWidth="1"/>
    <col min="8483" max="8483" width="5" style="1" bestFit="1" customWidth="1"/>
    <col min="8484" max="8484" width="4.42578125" style="1" bestFit="1" customWidth="1"/>
    <col min="8485" max="8485" width="4.140625" style="1" bestFit="1" customWidth="1"/>
    <col min="8486" max="8486" width="5.85546875" style="1" bestFit="1" customWidth="1"/>
    <col min="8487" max="8487" width="9.140625" style="1" bestFit="1" customWidth="1"/>
    <col min="8488" max="8488" width="6.42578125" style="1" bestFit="1" customWidth="1"/>
    <col min="8489" max="8489" width="8.85546875" style="1" bestFit="1" customWidth="1"/>
    <col min="8490" max="8490" width="8.28515625" style="1" bestFit="1" customWidth="1"/>
    <col min="8491" max="8704" width="11.42578125" style="1"/>
    <col min="8705" max="8705" width="13.7109375" style="1" customWidth="1"/>
    <col min="8706" max="8707" width="13.140625" style="1" customWidth="1"/>
    <col min="8708" max="8708" width="13" style="1" customWidth="1"/>
    <col min="8709" max="8709" width="14" style="1" customWidth="1"/>
    <col min="8710" max="8710" width="12.42578125" style="1" customWidth="1"/>
    <col min="8711" max="8711" width="17.28515625" style="1" customWidth="1"/>
    <col min="8712" max="8712" width="14.140625" style="1" customWidth="1"/>
    <col min="8713" max="8713" width="15.42578125" style="1" customWidth="1"/>
    <col min="8714" max="8714" width="14.7109375" style="1" customWidth="1"/>
    <col min="8715" max="8715" width="12.85546875" style="1" customWidth="1"/>
    <col min="8716" max="8716" width="12.7109375" style="1" customWidth="1"/>
    <col min="8717" max="8717" width="12.140625" style="1" customWidth="1"/>
    <col min="8718" max="8718" width="13" style="1" customWidth="1"/>
    <col min="8719" max="8719" width="15.28515625" style="1" customWidth="1"/>
    <col min="8720" max="8720" width="15.85546875" style="1" customWidth="1"/>
    <col min="8721" max="8721" width="13.7109375" style="1" customWidth="1"/>
    <col min="8722" max="8722" width="15.140625" style="1" customWidth="1"/>
    <col min="8723" max="8723" width="11.85546875" style="1" customWidth="1"/>
    <col min="8724" max="8724" width="20" style="1" customWidth="1"/>
    <col min="8725" max="8725" width="16.42578125" style="1" customWidth="1"/>
    <col min="8726" max="8726" width="11.42578125" style="1"/>
    <col min="8727" max="8727" width="14.140625" style="1" customWidth="1"/>
    <col min="8728" max="8728" width="14.42578125" style="1" customWidth="1"/>
    <col min="8729" max="8729" width="11.7109375" style="1" customWidth="1"/>
    <col min="8730" max="8730" width="11.42578125" style="1"/>
    <col min="8731" max="8731" width="13.7109375" style="1" customWidth="1"/>
    <col min="8732" max="8732" width="15.42578125" style="1" customWidth="1"/>
    <col min="8733" max="8733" width="15.85546875" style="1" customWidth="1"/>
    <col min="8734" max="8734" width="15.7109375" style="1" customWidth="1"/>
    <col min="8735" max="8735" width="5" style="1" bestFit="1" customWidth="1"/>
    <col min="8736" max="8736" width="6.42578125" style="1" bestFit="1" customWidth="1"/>
    <col min="8737" max="8737" width="5.42578125" style="1" bestFit="1" customWidth="1"/>
    <col min="8738" max="8738" width="4.28515625" style="1" bestFit="1" customWidth="1"/>
    <col min="8739" max="8739" width="5" style="1" bestFit="1" customWidth="1"/>
    <col min="8740" max="8740" width="4.42578125" style="1" bestFit="1" customWidth="1"/>
    <col min="8741" max="8741" width="4.140625" style="1" bestFit="1" customWidth="1"/>
    <col min="8742" max="8742" width="5.85546875" style="1" bestFit="1" customWidth="1"/>
    <col min="8743" max="8743" width="9.140625" style="1" bestFit="1" customWidth="1"/>
    <col min="8744" max="8744" width="6.42578125" style="1" bestFit="1" customWidth="1"/>
    <col min="8745" max="8745" width="8.85546875" style="1" bestFit="1" customWidth="1"/>
    <col min="8746" max="8746" width="8.28515625" style="1" bestFit="1" customWidth="1"/>
    <col min="8747" max="8960" width="11.42578125" style="1"/>
    <col min="8961" max="8961" width="13.7109375" style="1" customWidth="1"/>
    <col min="8962" max="8963" width="13.140625" style="1" customWidth="1"/>
    <col min="8964" max="8964" width="13" style="1" customWidth="1"/>
    <col min="8965" max="8965" width="14" style="1" customWidth="1"/>
    <col min="8966" max="8966" width="12.42578125" style="1" customWidth="1"/>
    <col min="8967" max="8967" width="17.28515625" style="1" customWidth="1"/>
    <col min="8968" max="8968" width="14.140625" style="1" customWidth="1"/>
    <col min="8969" max="8969" width="15.42578125" style="1" customWidth="1"/>
    <col min="8970" max="8970" width="14.7109375" style="1" customWidth="1"/>
    <col min="8971" max="8971" width="12.85546875" style="1" customWidth="1"/>
    <col min="8972" max="8972" width="12.7109375" style="1" customWidth="1"/>
    <col min="8973" max="8973" width="12.140625" style="1" customWidth="1"/>
    <col min="8974" max="8974" width="13" style="1" customWidth="1"/>
    <col min="8975" max="8975" width="15.28515625" style="1" customWidth="1"/>
    <col min="8976" max="8976" width="15.85546875" style="1" customWidth="1"/>
    <col min="8977" max="8977" width="13.7109375" style="1" customWidth="1"/>
    <col min="8978" max="8978" width="15.140625" style="1" customWidth="1"/>
    <col min="8979" max="8979" width="11.85546875" style="1" customWidth="1"/>
    <col min="8980" max="8980" width="20" style="1" customWidth="1"/>
    <col min="8981" max="8981" width="16.42578125" style="1" customWidth="1"/>
    <col min="8982" max="8982" width="11.42578125" style="1"/>
    <col min="8983" max="8983" width="14.140625" style="1" customWidth="1"/>
    <col min="8984" max="8984" width="14.42578125" style="1" customWidth="1"/>
    <col min="8985" max="8985" width="11.7109375" style="1" customWidth="1"/>
    <col min="8986" max="8986" width="11.42578125" style="1"/>
    <col min="8987" max="8987" width="13.7109375" style="1" customWidth="1"/>
    <col min="8988" max="8988" width="15.42578125" style="1" customWidth="1"/>
    <col min="8989" max="8989" width="15.85546875" style="1" customWidth="1"/>
    <col min="8990" max="8990" width="15.7109375" style="1" customWidth="1"/>
    <col min="8991" max="8991" width="5" style="1" bestFit="1" customWidth="1"/>
    <col min="8992" max="8992" width="6.42578125" style="1" bestFit="1" customWidth="1"/>
    <col min="8993" max="8993" width="5.42578125" style="1" bestFit="1" customWidth="1"/>
    <col min="8994" max="8994" width="4.28515625" style="1" bestFit="1" customWidth="1"/>
    <col min="8995" max="8995" width="5" style="1" bestFit="1" customWidth="1"/>
    <col min="8996" max="8996" width="4.42578125" style="1" bestFit="1" customWidth="1"/>
    <col min="8997" max="8997" width="4.140625" style="1" bestFit="1" customWidth="1"/>
    <col min="8998" max="8998" width="5.85546875" style="1" bestFit="1" customWidth="1"/>
    <col min="8999" max="8999" width="9.140625" style="1" bestFit="1" customWidth="1"/>
    <col min="9000" max="9000" width="6.42578125" style="1" bestFit="1" customWidth="1"/>
    <col min="9001" max="9001" width="8.85546875" style="1" bestFit="1" customWidth="1"/>
    <col min="9002" max="9002" width="8.28515625" style="1" bestFit="1" customWidth="1"/>
    <col min="9003" max="9216" width="11.42578125" style="1"/>
    <col min="9217" max="9217" width="13.7109375" style="1" customWidth="1"/>
    <col min="9218" max="9219" width="13.140625" style="1" customWidth="1"/>
    <col min="9220" max="9220" width="13" style="1" customWidth="1"/>
    <col min="9221" max="9221" width="14" style="1" customWidth="1"/>
    <col min="9222" max="9222" width="12.42578125" style="1" customWidth="1"/>
    <col min="9223" max="9223" width="17.28515625" style="1" customWidth="1"/>
    <col min="9224" max="9224" width="14.140625" style="1" customWidth="1"/>
    <col min="9225" max="9225" width="15.42578125" style="1" customWidth="1"/>
    <col min="9226" max="9226" width="14.7109375" style="1" customWidth="1"/>
    <col min="9227" max="9227" width="12.85546875" style="1" customWidth="1"/>
    <col min="9228" max="9228" width="12.7109375" style="1" customWidth="1"/>
    <col min="9229" max="9229" width="12.140625" style="1" customWidth="1"/>
    <col min="9230" max="9230" width="13" style="1" customWidth="1"/>
    <col min="9231" max="9231" width="15.28515625" style="1" customWidth="1"/>
    <col min="9232" max="9232" width="15.85546875" style="1" customWidth="1"/>
    <col min="9233" max="9233" width="13.7109375" style="1" customWidth="1"/>
    <col min="9234" max="9234" width="15.140625" style="1" customWidth="1"/>
    <col min="9235" max="9235" width="11.85546875" style="1" customWidth="1"/>
    <col min="9236" max="9236" width="20" style="1" customWidth="1"/>
    <col min="9237" max="9237" width="16.42578125" style="1" customWidth="1"/>
    <col min="9238" max="9238" width="11.42578125" style="1"/>
    <col min="9239" max="9239" width="14.140625" style="1" customWidth="1"/>
    <col min="9240" max="9240" width="14.42578125" style="1" customWidth="1"/>
    <col min="9241" max="9241" width="11.7109375" style="1" customWidth="1"/>
    <col min="9242" max="9242" width="11.42578125" style="1"/>
    <col min="9243" max="9243" width="13.7109375" style="1" customWidth="1"/>
    <col min="9244" max="9244" width="15.42578125" style="1" customWidth="1"/>
    <col min="9245" max="9245" width="15.85546875" style="1" customWidth="1"/>
    <col min="9246" max="9246" width="15.7109375" style="1" customWidth="1"/>
    <col min="9247" max="9247" width="5" style="1" bestFit="1" customWidth="1"/>
    <col min="9248" max="9248" width="6.42578125" style="1" bestFit="1" customWidth="1"/>
    <col min="9249" max="9249" width="5.42578125" style="1" bestFit="1" customWidth="1"/>
    <col min="9250" max="9250" width="4.28515625" style="1" bestFit="1" customWidth="1"/>
    <col min="9251" max="9251" width="5" style="1" bestFit="1" customWidth="1"/>
    <col min="9252" max="9252" width="4.42578125" style="1" bestFit="1" customWidth="1"/>
    <col min="9253" max="9253" width="4.140625" style="1" bestFit="1" customWidth="1"/>
    <col min="9254" max="9254" width="5.85546875" style="1" bestFit="1" customWidth="1"/>
    <col min="9255" max="9255" width="9.140625" style="1" bestFit="1" customWidth="1"/>
    <col min="9256" max="9256" width="6.42578125" style="1" bestFit="1" customWidth="1"/>
    <col min="9257" max="9257" width="8.85546875" style="1" bestFit="1" customWidth="1"/>
    <col min="9258" max="9258" width="8.28515625" style="1" bestFit="1" customWidth="1"/>
    <col min="9259" max="9472" width="11.42578125" style="1"/>
    <col min="9473" max="9473" width="13.7109375" style="1" customWidth="1"/>
    <col min="9474" max="9475" width="13.140625" style="1" customWidth="1"/>
    <col min="9476" max="9476" width="13" style="1" customWidth="1"/>
    <col min="9477" max="9477" width="14" style="1" customWidth="1"/>
    <col min="9478" max="9478" width="12.42578125" style="1" customWidth="1"/>
    <col min="9479" max="9479" width="17.28515625" style="1" customWidth="1"/>
    <col min="9480" max="9480" width="14.140625" style="1" customWidth="1"/>
    <col min="9481" max="9481" width="15.42578125" style="1" customWidth="1"/>
    <col min="9482" max="9482" width="14.7109375" style="1" customWidth="1"/>
    <col min="9483" max="9483" width="12.85546875" style="1" customWidth="1"/>
    <col min="9484" max="9484" width="12.7109375" style="1" customWidth="1"/>
    <col min="9485" max="9485" width="12.140625" style="1" customWidth="1"/>
    <col min="9486" max="9486" width="13" style="1" customWidth="1"/>
    <col min="9487" max="9487" width="15.28515625" style="1" customWidth="1"/>
    <col min="9488" max="9488" width="15.85546875" style="1" customWidth="1"/>
    <col min="9489" max="9489" width="13.7109375" style="1" customWidth="1"/>
    <col min="9490" max="9490" width="15.140625" style="1" customWidth="1"/>
    <col min="9491" max="9491" width="11.85546875" style="1" customWidth="1"/>
    <col min="9492" max="9492" width="20" style="1" customWidth="1"/>
    <col min="9493" max="9493" width="16.42578125" style="1" customWidth="1"/>
    <col min="9494" max="9494" width="11.42578125" style="1"/>
    <col min="9495" max="9495" width="14.140625" style="1" customWidth="1"/>
    <col min="9496" max="9496" width="14.42578125" style="1" customWidth="1"/>
    <col min="9497" max="9497" width="11.7109375" style="1" customWidth="1"/>
    <col min="9498" max="9498" width="11.42578125" style="1"/>
    <col min="9499" max="9499" width="13.7109375" style="1" customWidth="1"/>
    <col min="9500" max="9500" width="15.42578125" style="1" customWidth="1"/>
    <col min="9501" max="9501" width="15.85546875" style="1" customWidth="1"/>
    <col min="9502" max="9502" width="15.7109375" style="1" customWidth="1"/>
    <col min="9503" max="9503" width="5" style="1" bestFit="1" customWidth="1"/>
    <col min="9504" max="9504" width="6.42578125" style="1" bestFit="1" customWidth="1"/>
    <col min="9505" max="9505" width="5.42578125" style="1" bestFit="1" customWidth="1"/>
    <col min="9506" max="9506" width="4.28515625" style="1" bestFit="1" customWidth="1"/>
    <col min="9507" max="9507" width="5" style="1" bestFit="1" customWidth="1"/>
    <col min="9508" max="9508" width="4.42578125" style="1" bestFit="1" customWidth="1"/>
    <col min="9509" max="9509" width="4.140625" style="1" bestFit="1" customWidth="1"/>
    <col min="9510" max="9510" width="5.85546875" style="1" bestFit="1" customWidth="1"/>
    <col min="9511" max="9511" width="9.140625" style="1" bestFit="1" customWidth="1"/>
    <col min="9512" max="9512" width="6.42578125" style="1" bestFit="1" customWidth="1"/>
    <col min="9513" max="9513" width="8.85546875" style="1" bestFit="1" customWidth="1"/>
    <col min="9514" max="9514" width="8.28515625" style="1" bestFit="1" customWidth="1"/>
    <col min="9515" max="9728" width="11.42578125" style="1"/>
    <col min="9729" max="9729" width="13.7109375" style="1" customWidth="1"/>
    <col min="9730" max="9731" width="13.140625" style="1" customWidth="1"/>
    <col min="9732" max="9732" width="13" style="1" customWidth="1"/>
    <col min="9733" max="9733" width="14" style="1" customWidth="1"/>
    <col min="9734" max="9734" width="12.42578125" style="1" customWidth="1"/>
    <col min="9735" max="9735" width="17.28515625" style="1" customWidth="1"/>
    <col min="9736" max="9736" width="14.140625" style="1" customWidth="1"/>
    <col min="9737" max="9737" width="15.42578125" style="1" customWidth="1"/>
    <col min="9738" max="9738" width="14.7109375" style="1" customWidth="1"/>
    <col min="9739" max="9739" width="12.85546875" style="1" customWidth="1"/>
    <col min="9740" max="9740" width="12.7109375" style="1" customWidth="1"/>
    <col min="9741" max="9741" width="12.140625" style="1" customWidth="1"/>
    <col min="9742" max="9742" width="13" style="1" customWidth="1"/>
    <col min="9743" max="9743" width="15.28515625" style="1" customWidth="1"/>
    <col min="9744" max="9744" width="15.85546875" style="1" customWidth="1"/>
    <col min="9745" max="9745" width="13.7109375" style="1" customWidth="1"/>
    <col min="9746" max="9746" width="15.140625" style="1" customWidth="1"/>
    <col min="9747" max="9747" width="11.85546875" style="1" customWidth="1"/>
    <col min="9748" max="9748" width="20" style="1" customWidth="1"/>
    <col min="9749" max="9749" width="16.42578125" style="1" customWidth="1"/>
    <col min="9750" max="9750" width="11.42578125" style="1"/>
    <col min="9751" max="9751" width="14.140625" style="1" customWidth="1"/>
    <col min="9752" max="9752" width="14.42578125" style="1" customWidth="1"/>
    <col min="9753" max="9753" width="11.7109375" style="1" customWidth="1"/>
    <col min="9754" max="9754" width="11.42578125" style="1"/>
    <col min="9755" max="9755" width="13.7109375" style="1" customWidth="1"/>
    <col min="9756" max="9756" width="15.42578125" style="1" customWidth="1"/>
    <col min="9757" max="9757" width="15.85546875" style="1" customWidth="1"/>
    <col min="9758" max="9758" width="15.7109375" style="1" customWidth="1"/>
    <col min="9759" max="9759" width="5" style="1" bestFit="1" customWidth="1"/>
    <col min="9760" max="9760" width="6.42578125" style="1" bestFit="1" customWidth="1"/>
    <col min="9761" max="9761" width="5.42578125" style="1" bestFit="1" customWidth="1"/>
    <col min="9762" max="9762" width="4.28515625" style="1" bestFit="1" customWidth="1"/>
    <col min="9763" max="9763" width="5" style="1" bestFit="1" customWidth="1"/>
    <col min="9764" max="9764" width="4.42578125" style="1" bestFit="1" customWidth="1"/>
    <col min="9765" max="9765" width="4.140625" style="1" bestFit="1" customWidth="1"/>
    <col min="9766" max="9766" width="5.85546875" style="1" bestFit="1" customWidth="1"/>
    <col min="9767" max="9767" width="9.140625" style="1" bestFit="1" customWidth="1"/>
    <col min="9768" max="9768" width="6.42578125" style="1" bestFit="1" customWidth="1"/>
    <col min="9769" max="9769" width="8.85546875" style="1" bestFit="1" customWidth="1"/>
    <col min="9770" max="9770" width="8.28515625" style="1" bestFit="1" customWidth="1"/>
    <col min="9771" max="9984" width="11.42578125" style="1"/>
    <col min="9985" max="9985" width="13.7109375" style="1" customWidth="1"/>
    <col min="9986" max="9987" width="13.140625" style="1" customWidth="1"/>
    <col min="9988" max="9988" width="13" style="1" customWidth="1"/>
    <col min="9989" max="9989" width="14" style="1" customWidth="1"/>
    <col min="9990" max="9990" width="12.42578125" style="1" customWidth="1"/>
    <col min="9991" max="9991" width="17.28515625" style="1" customWidth="1"/>
    <col min="9992" max="9992" width="14.140625" style="1" customWidth="1"/>
    <col min="9993" max="9993" width="15.42578125" style="1" customWidth="1"/>
    <col min="9994" max="9994" width="14.7109375" style="1" customWidth="1"/>
    <col min="9995" max="9995" width="12.85546875" style="1" customWidth="1"/>
    <col min="9996" max="9996" width="12.7109375" style="1" customWidth="1"/>
    <col min="9997" max="9997" width="12.140625" style="1" customWidth="1"/>
    <col min="9998" max="9998" width="13" style="1" customWidth="1"/>
    <col min="9999" max="9999" width="15.28515625" style="1" customWidth="1"/>
    <col min="10000" max="10000" width="15.85546875" style="1" customWidth="1"/>
    <col min="10001" max="10001" width="13.7109375" style="1" customWidth="1"/>
    <col min="10002" max="10002" width="15.140625" style="1" customWidth="1"/>
    <col min="10003" max="10003" width="11.85546875" style="1" customWidth="1"/>
    <col min="10004" max="10004" width="20" style="1" customWidth="1"/>
    <col min="10005" max="10005" width="16.42578125" style="1" customWidth="1"/>
    <col min="10006" max="10006" width="11.42578125" style="1"/>
    <col min="10007" max="10007" width="14.140625" style="1" customWidth="1"/>
    <col min="10008" max="10008" width="14.42578125" style="1" customWidth="1"/>
    <col min="10009" max="10009" width="11.7109375" style="1" customWidth="1"/>
    <col min="10010" max="10010" width="11.42578125" style="1"/>
    <col min="10011" max="10011" width="13.7109375" style="1" customWidth="1"/>
    <col min="10012" max="10012" width="15.42578125" style="1" customWidth="1"/>
    <col min="10013" max="10013" width="15.85546875" style="1" customWidth="1"/>
    <col min="10014" max="10014" width="15.7109375" style="1" customWidth="1"/>
    <col min="10015" max="10015" width="5" style="1" bestFit="1" customWidth="1"/>
    <col min="10016" max="10016" width="6.42578125" style="1" bestFit="1" customWidth="1"/>
    <col min="10017" max="10017" width="5.42578125" style="1" bestFit="1" customWidth="1"/>
    <col min="10018" max="10018" width="4.28515625" style="1" bestFit="1" customWidth="1"/>
    <col min="10019" max="10019" width="5" style="1" bestFit="1" customWidth="1"/>
    <col min="10020" max="10020" width="4.42578125" style="1" bestFit="1" customWidth="1"/>
    <col min="10021" max="10021" width="4.140625" style="1" bestFit="1" customWidth="1"/>
    <col min="10022" max="10022" width="5.85546875" style="1" bestFit="1" customWidth="1"/>
    <col min="10023" max="10023" width="9.140625" style="1" bestFit="1" customWidth="1"/>
    <col min="10024" max="10024" width="6.42578125" style="1" bestFit="1" customWidth="1"/>
    <col min="10025" max="10025" width="8.85546875" style="1" bestFit="1" customWidth="1"/>
    <col min="10026" max="10026" width="8.28515625" style="1" bestFit="1" customWidth="1"/>
    <col min="10027" max="10240" width="11.42578125" style="1"/>
    <col min="10241" max="10241" width="13.7109375" style="1" customWidth="1"/>
    <col min="10242" max="10243" width="13.140625" style="1" customWidth="1"/>
    <col min="10244" max="10244" width="13" style="1" customWidth="1"/>
    <col min="10245" max="10245" width="14" style="1" customWidth="1"/>
    <col min="10246" max="10246" width="12.42578125" style="1" customWidth="1"/>
    <col min="10247" max="10247" width="17.28515625" style="1" customWidth="1"/>
    <col min="10248" max="10248" width="14.140625" style="1" customWidth="1"/>
    <col min="10249" max="10249" width="15.42578125" style="1" customWidth="1"/>
    <col min="10250" max="10250" width="14.7109375" style="1" customWidth="1"/>
    <col min="10251" max="10251" width="12.85546875" style="1" customWidth="1"/>
    <col min="10252" max="10252" width="12.7109375" style="1" customWidth="1"/>
    <col min="10253" max="10253" width="12.140625" style="1" customWidth="1"/>
    <col min="10254" max="10254" width="13" style="1" customWidth="1"/>
    <col min="10255" max="10255" width="15.28515625" style="1" customWidth="1"/>
    <col min="10256" max="10256" width="15.85546875" style="1" customWidth="1"/>
    <col min="10257" max="10257" width="13.7109375" style="1" customWidth="1"/>
    <col min="10258" max="10258" width="15.140625" style="1" customWidth="1"/>
    <col min="10259" max="10259" width="11.85546875" style="1" customWidth="1"/>
    <col min="10260" max="10260" width="20" style="1" customWidth="1"/>
    <col min="10261" max="10261" width="16.42578125" style="1" customWidth="1"/>
    <col min="10262" max="10262" width="11.42578125" style="1"/>
    <col min="10263" max="10263" width="14.140625" style="1" customWidth="1"/>
    <col min="10264" max="10264" width="14.42578125" style="1" customWidth="1"/>
    <col min="10265" max="10265" width="11.7109375" style="1" customWidth="1"/>
    <col min="10266" max="10266" width="11.42578125" style="1"/>
    <col min="10267" max="10267" width="13.7109375" style="1" customWidth="1"/>
    <col min="10268" max="10268" width="15.42578125" style="1" customWidth="1"/>
    <col min="10269" max="10269" width="15.85546875" style="1" customWidth="1"/>
    <col min="10270" max="10270" width="15.7109375" style="1" customWidth="1"/>
    <col min="10271" max="10271" width="5" style="1" bestFit="1" customWidth="1"/>
    <col min="10272" max="10272" width="6.42578125" style="1" bestFit="1" customWidth="1"/>
    <col min="10273" max="10273" width="5.42578125" style="1" bestFit="1" customWidth="1"/>
    <col min="10274" max="10274" width="4.28515625" style="1" bestFit="1" customWidth="1"/>
    <col min="10275" max="10275" width="5" style="1" bestFit="1" customWidth="1"/>
    <col min="10276" max="10276" width="4.42578125" style="1" bestFit="1" customWidth="1"/>
    <col min="10277" max="10277" width="4.140625" style="1" bestFit="1" customWidth="1"/>
    <col min="10278" max="10278" width="5.85546875" style="1" bestFit="1" customWidth="1"/>
    <col min="10279" max="10279" width="9.140625" style="1" bestFit="1" customWidth="1"/>
    <col min="10280" max="10280" width="6.42578125" style="1" bestFit="1" customWidth="1"/>
    <col min="10281" max="10281" width="8.85546875" style="1" bestFit="1" customWidth="1"/>
    <col min="10282" max="10282" width="8.28515625" style="1" bestFit="1" customWidth="1"/>
    <col min="10283" max="10496" width="11.42578125" style="1"/>
    <col min="10497" max="10497" width="13.7109375" style="1" customWidth="1"/>
    <col min="10498" max="10499" width="13.140625" style="1" customWidth="1"/>
    <col min="10500" max="10500" width="13" style="1" customWidth="1"/>
    <col min="10501" max="10501" width="14" style="1" customWidth="1"/>
    <col min="10502" max="10502" width="12.42578125" style="1" customWidth="1"/>
    <col min="10503" max="10503" width="17.28515625" style="1" customWidth="1"/>
    <col min="10504" max="10504" width="14.140625" style="1" customWidth="1"/>
    <col min="10505" max="10505" width="15.42578125" style="1" customWidth="1"/>
    <col min="10506" max="10506" width="14.7109375" style="1" customWidth="1"/>
    <col min="10507" max="10507" width="12.85546875" style="1" customWidth="1"/>
    <col min="10508" max="10508" width="12.7109375" style="1" customWidth="1"/>
    <col min="10509" max="10509" width="12.140625" style="1" customWidth="1"/>
    <col min="10510" max="10510" width="13" style="1" customWidth="1"/>
    <col min="10511" max="10511" width="15.28515625" style="1" customWidth="1"/>
    <col min="10512" max="10512" width="15.85546875" style="1" customWidth="1"/>
    <col min="10513" max="10513" width="13.7109375" style="1" customWidth="1"/>
    <col min="10514" max="10514" width="15.140625" style="1" customWidth="1"/>
    <col min="10515" max="10515" width="11.85546875" style="1" customWidth="1"/>
    <col min="10516" max="10516" width="20" style="1" customWidth="1"/>
    <col min="10517" max="10517" width="16.42578125" style="1" customWidth="1"/>
    <col min="10518" max="10518" width="11.42578125" style="1"/>
    <col min="10519" max="10519" width="14.140625" style="1" customWidth="1"/>
    <col min="10520" max="10520" width="14.42578125" style="1" customWidth="1"/>
    <col min="10521" max="10521" width="11.7109375" style="1" customWidth="1"/>
    <col min="10522" max="10522" width="11.42578125" style="1"/>
    <col min="10523" max="10523" width="13.7109375" style="1" customWidth="1"/>
    <col min="10524" max="10524" width="15.42578125" style="1" customWidth="1"/>
    <col min="10525" max="10525" width="15.85546875" style="1" customWidth="1"/>
    <col min="10526" max="10526" width="15.7109375" style="1" customWidth="1"/>
    <col min="10527" max="10527" width="5" style="1" bestFit="1" customWidth="1"/>
    <col min="10528" max="10528" width="6.42578125" style="1" bestFit="1" customWidth="1"/>
    <col min="10529" max="10529" width="5.42578125" style="1" bestFit="1" customWidth="1"/>
    <col min="10530" max="10530" width="4.28515625" style="1" bestFit="1" customWidth="1"/>
    <col min="10531" max="10531" width="5" style="1" bestFit="1" customWidth="1"/>
    <col min="10532" max="10532" width="4.42578125" style="1" bestFit="1" customWidth="1"/>
    <col min="10533" max="10533" width="4.140625" style="1" bestFit="1" customWidth="1"/>
    <col min="10534" max="10534" width="5.85546875" style="1" bestFit="1" customWidth="1"/>
    <col min="10535" max="10535" width="9.140625" style="1" bestFit="1" customWidth="1"/>
    <col min="10536" max="10536" width="6.42578125" style="1" bestFit="1" customWidth="1"/>
    <col min="10537" max="10537" width="8.85546875" style="1" bestFit="1" customWidth="1"/>
    <col min="10538" max="10538" width="8.28515625" style="1" bestFit="1" customWidth="1"/>
    <col min="10539" max="10752" width="11.42578125" style="1"/>
    <col min="10753" max="10753" width="13.7109375" style="1" customWidth="1"/>
    <col min="10754" max="10755" width="13.140625" style="1" customWidth="1"/>
    <col min="10756" max="10756" width="13" style="1" customWidth="1"/>
    <col min="10757" max="10757" width="14" style="1" customWidth="1"/>
    <col min="10758" max="10758" width="12.42578125" style="1" customWidth="1"/>
    <col min="10759" max="10759" width="17.28515625" style="1" customWidth="1"/>
    <col min="10760" max="10760" width="14.140625" style="1" customWidth="1"/>
    <col min="10761" max="10761" width="15.42578125" style="1" customWidth="1"/>
    <col min="10762" max="10762" width="14.7109375" style="1" customWidth="1"/>
    <col min="10763" max="10763" width="12.85546875" style="1" customWidth="1"/>
    <col min="10764" max="10764" width="12.7109375" style="1" customWidth="1"/>
    <col min="10765" max="10765" width="12.140625" style="1" customWidth="1"/>
    <col min="10766" max="10766" width="13" style="1" customWidth="1"/>
    <col min="10767" max="10767" width="15.28515625" style="1" customWidth="1"/>
    <col min="10768" max="10768" width="15.85546875" style="1" customWidth="1"/>
    <col min="10769" max="10769" width="13.7109375" style="1" customWidth="1"/>
    <col min="10770" max="10770" width="15.140625" style="1" customWidth="1"/>
    <col min="10771" max="10771" width="11.85546875" style="1" customWidth="1"/>
    <col min="10772" max="10772" width="20" style="1" customWidth="1"/>
    <col min="10773" max="10773" width="16.42578125" style="1" customWidth="1"/>
    <col min="10774" max="10774" width="11.42578125" style="1"/>
    <col min="10775" max="10775" width="14.140625" style="1" customWidth="1"/>
    <col min="10776" max="10776" width="14.42578125" style="1" customWidth="1"/>
    <col min="10777" max="10777" width="11.7109375" style="1" customWidth="1"/>
    <col min="10778" max="10778" width="11.42578125" style="1"/>
    <col min="10779" max="10779" width="13.7109375" style="1" customWidth="1"/>
    <col min="10780" max="10780" width="15.42578125" style="1" customWidth="1"/>
    <col min="10781" max="10781" width="15.85546875" style="1" customWidth="1"/>
    <col min="10782" max="10782" width="15.7109375" style="1" customWidth="1"/>
    <col min="10783" max="10783" width="5" style="1" bestFit="1" customWidth="1"/>
    <col min="10784" max="10784" width="6.42578125" style="1" bestFit="1" customWidth="1"/>
    <col min="10785" max="10785" width="5.42578125" style="1" bestFit="1" customWidth="1"/>
    <col min="10786" max="10786" width="4.28515625" style="1" bestFit="1" customWidth="1"/>
    <col min="10787" max="10787" width="5" style="1" bestFit="1" customWidth="1"/>
    <col min="10788" max="10788" width="4.42578125" style="1" bestFit="1" customWidth="1"/>
    <col min="10789" max="10789" width="4.140625" style="1" bestFit="1" customWidth="1"/>
    <col min="10790" max="10790" width="5.85546875" style="1" bestFit="1" customWidth="1"/>
    <col min="10791" max="10791" width="9.140625" style="1" bestFit="1" customWidth="1"/>
    <col min="10792" max="10792" width="6.42578125" style="1" bestFit="1" customWidth="1"/>
    <col min="10793" max="10793" width="8.85546875" style="1" bestFit="1" customWidth="1"/>
    <col min="10794" max="10794" width="8.28515625" style="1" bestFit="1" customWidth="1"/>
    <col min="10795" max="11008" width="11.42578125" style="1"/>
    <col min="11009" max="11009" width="13.7109375" style="1" customWidth="1"/>
    <col min="11010" max="11011" width="13.140625" style="1" customWidth="1"/>
    <col min="11012" max="11012" width="13" style="1" customWidth="1"/>
    <col min="11013" max="11013" width="14" style="1" customWidth="1"/>
    <col min="11014" max="11014" width="12.42578125" style="1" customWidth="1"/>
    <col min="11015" max="11015" width="17.28515625" style="1" customWidth="1"/>
    <col min="11016" max="11016" width="14.140625" style="1" customWidth="1"/>
    <col min="11017" max="11017" width="15.42578125" style="1" customWidth="1"/>
    <col min="11018" max="11018" width="14.7109375" style="1" customWidth="1"/>
    <col min="11019" max="11019" width="12.85546875" style="1" customWidth="1"/>
    <col min="11020" max="11020" width="12.7109375" style="1" customWidth="1"/>
    <col min="11021" max="11021" width="12.140625" style="1" customWidth="1"/>
    <col min="11022" max="11022" width="13" style="1" customWidth="1"/>
    <col min="11023" max="11023" width="15.28515625" style="1" customWidth="1"/>
    <col min="11024" max="11024" width="15.85546875" style="1" customWidth="1"/>
    <col min="11025" max="11025" width="13.7109375" style="1" customWidth="1"/>
    <col min="11026" max="11026" width="15.140625" style="1" customWidth="1"/>
    <col min="11027" max="11027" width="11.85546875" style="1" customWidth="1"/>
    <col min="11028" max="11028" width="20" style="1" customWidth="1"/>
    <col min="11029" max="11029" width="16.42578125" style="1" customWidth="1"/>
    <col min="11030" max="11030" width="11.42578125" style="1"/>
    <col min="11031" max="11031" width="14.140625" style="1" customWidth="1"/>
    <col min="11032" max="11032" width="14.42578125" style="1" customWidth="1"/>
    <col min="11033" max="11033" width="11.7109375" style="1" customWidth="1"/>
    <col min="11034" max="11034" width="11.42578125" style="1"/>
    <col min="11035" max="11035" width="13.7109375" style="1" customWidth="1"/>
    <col min="11036" max="11036" width="15.42578125" style="1" customWidth="1"/>
    <col min="11037" max="11037" width="15.85546875" style="1" customWidth="1"/>
    <col min="11038" max="11038" width="15.7109375" style="1" customWidth="1"/>
    <col min="11039" max="11039" width="5" style="1" bestFit="1" customWidth="1"/>
    <col min="11040" max="11040" width="6.42578125" style="1" bestFit="1" customWidth="1"/>
    <col min="11041" max="11041" width="5.42578125" style="1" bestFit="1" customWidth="1"/>
    <col min="11042" max="11042" width="4.28515625" style="1" bestFit="1" customWidth="1"/>
    <col min="11043" max="11043" width="5" style="1" bestFit="1" customWidth="1"/>
    <col min="11044" max="11044" width="4.42578125" style="1" bestFit="1" customWidth="1"/>
    <col min="11045" max="11045" width="4.140625" style="1" bestFit="1" customWidth="1"/>
    <col min="11046" max="11046" width="5.85546875" style="1" bestFit="1" customWidth="1"/>
    <col min="11047" max="11047" width="9.140625" style="1" bestFit="1" customWidth="1"/>
    <col min="11048" max="11048" width="6.42578125" style="1" bestFit="1" customWidth="1"/>
    <col min="11049" max="11049" width="8.85546875" style="1" bestFit="1" customWidth="1"/>
    <col min="11050" max="11050" width="8.28515625" style="1" bestFit="1" customWidth="1"/>
    <col min="11051" max="11264" width="11.42578125" style="1"/>
    <col min="11265" max="11265" width="13.7109375" style="1" customWidth="1"/>
    <col min="11266" max="11267" width="13.140625" style="1" customWidth="1"/>
    <col min="11268" max="11268" width="13" style="1" customWidth="1"/>
    <col min="11269" max="11269" width="14" style="1" customWidth="1"/>
    <col min="11270" max="11270" width="12.42578125" style="1" customWidth="1"/>
    <col min="11271" max="11271" width="17.28515625" style="1" customWidth="1"/>
    <col min="11272" max="11272" width="14.140625" style="1" customWidth="1"/>
    <col min="11273" max="11273" width="15.42578125" style="1" customWidth="1"/>
    <col min="11274" max="11274" width="14.7109375" style="1" customWidth="1"/>
    <col min="11275" max="11275" width="12.85546875" style="1" customWidth="1"/>
    <col min="11276" max="11276" width="12.7109375" style="1" customWidth="1"/>
    <col min="11277" max="11277" width="12.140625" style="1" customWidth="1"/>
    <col min="11278" max="11278" width="13" style="1" customWidth="1"/>
    <col min="11279" max="11279" width="15.28515625" style="1" customWidth="1"/>
    <col min="11280" max="11280" width="15.85546875" style="1" customWidth="1"/>
    <col min="11281" max="11281" width="13.7109375" style="1" customWidth="1"/>
    <col min="11282" max="11282" width="15.140625" style="1" customWidth="1"/>
    <col min="11283" max="11283" width="11.85546875" style="1" customWidth="1"/>
    <col min="11284" max="11284" width="20" style="1" customWidth="1"/>
    <col min="11285" max="11285" width="16.42578125" style="1" customWidth="1"/>
    <col min="11286" max="11286" width="11.42578125" style="1"/>
    <col min="11287" max="11287" width="14.140625" style="1" customWidth="1"/>
    <col min="11288" max="11288" width="14.42578125" style="1" customWidth="1"/>
    <col min="11289" max="11289" width="11.7109375" style="1" customWidth="1"/>
    <col min="11290" max="11290" width="11.42578125" style="1"/>
    <col min="11291" max="11291" width="13.7109375" style="1" customWidth="1"/>
    <col min="11292" max="11292" width="15.42578125" style="1" customWidth="1"/>
    <col min="11293" max="11293" width="15.85546875" style="1" customWidth="1"/>
    <col min="11294" max="11294" width="15.7109375" style="1" customWidth="1"/>
    <col min="11295" max="11295" width="5" style="1" bestFit="1" customWidth="1"/>
    <col min="11296" max="11296" width="6.42578125" style="1" bestFit="1" customWidth="1"/>
    <col min="11297" max="11297" width="5.42578125" style="1" bestFit="1" customWidth="1"/>
    <col min="11298" max="11298" width="4.28515625" style="1" bestFit="1" customWidth="1"/>
    <col min="11299" max="11299" width="5" style="1" bestFit="1" customWidth="1"/>
    <col min="11300" max="11300" width="4.42578125" style="1" bestFit="1" customWidth="1"/>
    <col min="11301" max="11301" width="4.140625" style="1" bestFit="1" customWidth="1"/>
    <col min="11302" max="11302" width="5.85546875" style="1" bestFit="1" customWidth="1"/>
    <col min="11303" max="11303" width="9.140625" style="1" bestFit="1" customWidth="1"/>
    <col min="11304" max="11304" width="6.42578125" style="1" bestFit="1" customWidth="1"/>
    <col min="11305" max="11305" width="8.85546875" style="1" bestFit="1" customWidth="1"/>
    <col min="11306" max="11306" width="8.28515625" style="1" bestFit="1" customWidth="1"/>
    <col min="11307" max="11520" width="11.42578125" style="1"/>
    <col min="11521" max="11521" width="13.7109375" style="1" customWidth="1"/>
    <col min="11522" max="11523" width="13.140625" style="1" customWidth="1"/>
    <col min="11524" max="11524" width="13" style="1" customWidth="1"/>
    <col min="11525" max="11525" width="14" style="1" customWidth="1"/>
    <col min="11526" max="11526" width="12.42578125" style="1" customWidth="1"/>
    <col min="11527" max="11527" width="17.28515625" style="1" customWidth="1"/>
    <col min="11528" max="11528" width="14.140625" style="1" customWidth="1"/>
    <col min="11529" max="11529" width="15.42578125" style="1" customWidth="1"/>
    <col min="11530" max="11530" width="14.7109375" style="1" customWidth="1"/>
    <col min="11531" max="11531" width="12.85546875" style="1" customWidth="1"/>
    <col min="11532" max="11532" width="12.7109375" style="1" customWidth="1"/>
    <col min="11533" max="11533" width="12.140625" style="1" customWidth="1"/>
    <col min="11534" max="11534" width="13" style="1" customWidth="1"/>
    <col min="11535" max="11535" width="15.28515625" style="1" customWidth="1"/>
    <col min="11536" max="11536" width="15.85546875" style="1" customWidth="1"/>
    <col min="11537" max="11537" width="13.7109375" style="1" customWidth="1"/>
    <col min="11538" max="11538" width="15.140625" style="1" customWidth="1"/>
    <col min="11539" max="11539" width="11.85546875" style="1" customWidth="1"/>
    <col min="11540" max="11540" width="20" style="1" customWidth="1"/>
    <col min="11541" max="11541" width="16.42578125" style="1" customWidth="1"/>
    <col min="11542" max="11542" width="11.42578125" style="1"/>
    <col min="11543" max="11543" width="14.140625" style="1" customWidth="1"/>
    <col min="11544" max="11544" width="14.42578125" style="1" customWidth="1"/>
    <col min="11545" max="11545" width="11.7109375" style="1" customWidth="1"/>
    <col min="11546" max="11546" width="11.42578125" style="1"/>
    <col min="11547" max="11547" width="13.7109375" style="1" customWidth="1"/>
    <col min="11548" max="11548" width="15.42578125" style="1" customWidth="1"/>
    <col min="11549" max="11549" width="15.85546875" style="1" customWidth="1"/>
    <col min="11550" max="11550" width="15.7109375" style="1" customWidth="1"/>
    <col min="11551" max="11551" width="5" style="1" bestFit="1" customWidth="1"/>
    <col min="11552" max="11552" width="6.42578125" style="1" bestFit="1" customWidth="1"/>
    <col min="11553" max="11553" width="5.42578125" style="1" bestFit="1" customWidth="1"/>
    <col min="11554" max="11554" width="4.28515625" style="1" bestFit="1" customWidth="1"/>
    <col min="11555" max="11555" width="5" style="1" bestFit="1" customWidth="1"/>
    <col min="11556" max="11556" width="4.42578125" style="1" bestFit="1" customWidth="1"/>
    <col min="11557" max="11557" width="4.140625" style="1" bestFit="1" customWidth="1"/>
    <col min="11558" max="11558" width="5.85546875" style="1" bestFit="1" customWidth="1"/>
    <col min="11559" max="11559" width="9.140625" style="1" bestFit="1" customWidth="1"/>
    <col min="11560" max="11560" width="6.42578125" style="1" bestFit="1" customWidth="1"/>
    <col min="11561" max="11561" width="8.85546875" style="1" bestFit="1" customWidth="1"/>
    <col min="11562" max="11562" width="8.28515625" style="1" bestFit="1" customWidth="1"/>
    <col min="11563" max="11776" width="11.42578125" style="1"/>
    <col min="11777" max="11777" width="13.7109375" style="1" customWidth="1"/>
    <col min="11778" max="11779" width="13.140625" style="1" customWidth="1"/>
    <col min="11780" max="11780" width="13" style="1" customWidth="1"/>
    <col min="11781" max="11781" width="14" style="1" customWidth="1"/>
    <col min="11782" max="11782" width="12.42578125" style="1" customWidth="1"/>
    <col min="11783" max="11783" width="17.28515625" style="1" customWidth="1"/>
    <col min="11784" max="11784" width="14.140625" style="1" customWidth="1"/>
    <col min="11785" max="11785" width="15.42578125" style="1" customWidth="1"/>
    <col min="11786" max="11786" width="14.7109375" style="1" customWidth="1"/>
    <col min="11787" max="11787" width="12.85546875" style="1" customWidth="1"/>
    <col min="11788" max="11788" width="12.7109375" style="1" customWidth="1"/>
    <col min="11789" max="11789" width="12.140625" style="1" customWidth="1"/>
    <col min="11790" max="11790" width="13" style="1" customWidth="1"/>
    <col min="11791" max="11791" width="15.28515625" style="1" customWidth="1"/>
    <col min="11792" max="11792" width="15.85546875" style="1" customWidth="1"/>
    <col min="11793" max="11793" width="13.7109375" style="1" customWidth="1"/>
    <col min="11794" max="11794" width="15.140625" style="1" customWidth="1"/>
    <col min="11795" max="11795" width="11.85546875" style="1" customWidth="1"/>
    <col min="11796" max="11796" width="20" style="1" customWidth="1"/>
    <col min="11797" max="11797" width="16.42578125" style="1" customWidth="1"/>
    <col min="11798" max="11798" width="11.42578125" style="1"/>
    <col min="11799" max="11799" width="14.140625" style="1" customWidth="1"/>
    <col min="11800" max="11800" width="14.42578125" style="1" customWidth="1"/>
    <col min="11801" max="11801" width="11.7109375" style="1" customWidth="1"/>
    <col min="11802" max="11802" width="11.42578125" style="1"/>
    <col min="11803" max="11803" width="13.7109375" style="1" customWidth="1"/>
    <col min="11804" max="11804" width="15.42578125" style="1" customWidth="1"/>
    <col min="11805" max="11805" width="15.85546875" style="1" customWidth="1"/>
    <col min="11806" max="11806" width="15.7109375" style="1" customWidth="1"/>
    <col min="11807" max="11807" width="5" style="1" bestFit="1" customWidth="1"/>
    <col min="11808" max="11808" width="6.42578125" style="1" bestFit="1" customWidth="1"/>
    <col min="11809" max="11809" width="5.42578125" style="1" bestFit="1" customWidth="1"/>
    <col min="11810" max="11810" width="4.28515625" style="1" bestFit="1" customWidth="1"/>
    <col min="11811" max="11811" width="5" style="1" bestFit="1" customWidth="1"/>
    <col min="11812" max="11812" width="4.42578125" style="1" bestFit="1" customWidth="1"/>
    <col min="11813" max="11813" width="4.140625" style="1" bestFit="1" customWidth="1"/>
    <col min="11814" max="11814" width="5.85546875" style="1" bestFit="1" customWidth="1"/>
    <col min="11815" max="11815" width="9.140625" style="1" bestFit="1" customWidth="1"/>
    <col min="11816" max="11816" width="6.42578125" style="1" bestFit="1" customWidth="1"/>
    <col min="11817" max="11817" width="8.85546875" style="1" bestFit="1" customWidth="1"/>
    <col min="11818" max="11818" width="8.28515625" style="1" bestFit="1" customWidth="1"/>
    <col min="11819" max="12032" width="11.42578125" style="1"/>
    <col min="12033" max="12033" width="13.7109375" style="1" customWidth="1"/>
    <col min="12034" max="12035" width="13.140625" style="1" customWidth="1"/>
    <col min="12036" max="12036" width="13" style="1" customWidth="1"/>
    <col min="12037" max="12037" width="14" style="1" customWidth="1"/>
    <col min="12038" max="12038" width="12.42578125" style="1" customWidth="1"/>
    <col min="12039" max="12039" width="17.28515625" style="1" customWidth="1"/>
    <col min="12040" max="12040" width="14.140625" style="1" customWidth="1"/>
    <col min="12041" max="12041" width="15.42578125" style="1" customWidth="1"/>
    <col min="12042" max="12042" width="14.7109375" style="1" customWidth="1"/>
    <col min="12043" max="12043" width="12.85546875" style="1" customWidth="1"/>
    <col min="12044" max="12044" width="12.7109375" style="1" customWidth="1"/>
    <col min="12045" max="12045" width="12.140625" style="1" customWidth="1"/>
    <col min="12046" max="12046" width="13" style="1" customWidth="1"/>
    <col min="12047" max="12047" width="15.28515625" style="1" customWidth="1"/>
    <col min="12048" max="12048" width="15.85546875" style="1" customWidth="1"/>
    <col min="12049" max="12049" width="13.7109375" style="1" customWidth="1"/>
    <col min="12050" max="12050" width="15.140625" style="1" customWidth="1"/>
    <col min="12051" max="12051" width="11.85546875" style="1" customWidth="1"/>
    <col min="12052" max="12052" width="20" style="1" customWidth="1"/>
    <col min="12053" max="12053" width="16.42578125" style="1" customWidth="1"/>
    <col min="12054" max="12054" width="11.42578125" style="1"/>
    <col min="12055" max="12055" width="14.140625" style="1" customWidth="1"/>
    <col min="12056" max="12056" width="14.42578125" style="1" customWidth="1"/>
    <col min="12057" max="12057" width="11.7109375" style="1" customWidth="1"/>
    <col min="12058" max="12058" width="11.42578125" style="1"/>
    <col min="12059" max="12059" width="13.7109375" style="1" customWidth="1"/>
    <col min="12060" max="12060" width="15.42578125" style="1" customWidth="1"/>
    <col min="12061" max="12061" width="15.85546875" style="1" customWidth="1"/>
    <col min="12062" max="12062" width="15.7109375" style="1" customWidth="1"/>
    <col min="12063" max="12063" width="5" style="1" bestFit="1" customWidth="1"/>
    <col min="12064" max="12064" width="6.42578125" style="1" bestFit="1" customWidth="1"/>
    <col min="12065" max="12065" width="5.42578125" style="1" bestFit="1" customWidth="1"/>
    <col min="12066" max="12066" width="4.28515625" style="1" bestFit="1" customWidth="1"/>
    <col min="12067" max="12067" width="5" style="1" bestFit="1" customWidth="1"/>
    <col min="12068" max="12068" width="4.42578125" style="1" bestFit="1" customWidth="1"/>
    <col min="12069" max="12069" width="4.140625" style="1" bestFit="1" customWidth="1"/>
    <col min="12070" max="12070" width="5.85546875" style="1" bestFit="1" customWidth="1"/>
    <col min="12071" max="12071" width="9.140625" style="1" bestFit="1" customWidth="1"/>
    <col min="12072" max="12072" width="6.42578125" style="1" bestFit="1" customWidth="1"/>
    <col min="12073" max="12073" width="8.85546875" style="1" bestFit="1" customWidth="1"/>
    <col min="12074" max="12074" width="8.28515625" style="1" bestFit="1" customWidth="1"/>
    <col min="12075" max="12288" width="11.42578125" style="1"/>
    <col min="12289" max="12289" width="13.7109375" style="1" customWidth="1"/>
    <col min="12290" max="12291" width="13.140625" style="1" customWidth="1"/>
    <col min="12292" max="12292" width="13" style="1" customWidth="1"/>
    <col min="12293" max="12293" width="14" style="1" customWidth="1"/>
    <col min="12294" max="12294" width="12.42578125" style="1" customWidth="1"/>
    <col min="12295" max="12295" width="17.28515625" style="1" customWidth="1"/>
    <col min="12296" max="12296" width="14.140625" style="1" customWidth="1"/>
    <col min="12297" max="12297" width="15.42578125" style="1" customWidth="1"/>
    <col min="12298" max="12298" width="14.7109375" style="1" customWidth="1"/>
    <col min="12299" max="12299" width="12.85546875" style="1" customWidth="1"/>
    <col min="12300" max="12300" width="12.7109375" style="1" customWidth="1"/>
    <col min="12301" max="12301" width="12.140625" style="1" customWidth="1"/>
    <col min="12302" max="12302" width="13" style="1" customWidth="1"/>
    <col min="12303" max="12303" width="15.28515625" style="1" customWidth="1"/>
    <col min="12304" max="12304" width="15.85546875" style="1" customWidth="1"/>
    <col min="12305" max="12305" width="13.7109375" style="1" customWidth="1"/>
    <col min="12306" max="12306" width="15.140625" style="1" customWidth="1"/>
    <col min="12307" max="12307" width="11.85546875" style="1" customWidth="1"/>
    <col min="12308" max="12308" width="20" style="1" customWidth="1"/>
    <col min="12309" max="12309" width="16.42578125" style="1" customWidth="1"/>
    <col min="12310" max="12310" width="11.42578125" style="1"/>
    <col min="12311" max="12311" width="14.140625" style="1" customWidth="1"/>
    <col min="12312" max="12312" width="14.42578125" style="1" customWidth="1"/>
    <col min="12313" max="12313" width="11.7109375" style="1" customWidth="1"/>
    <col min="12314" max="12314" width="11.42578125" style="1"/>
    <col min="12315" max="12315" width="13.7109375" style="1" customWidth="1"/>
    <col min="12316" max="12316" width="15.42578125" style="1" customWidth="1"/>
    <col min="12317" max="12317" width="15.85546875" style="1" customWidth="1"/>
    <col min="12318" max="12318" width="15.7109375" style="1" customWidth="1"/>
    <col min="12319" max="12319" width="5" style="1" bestFit="1" customWidth="1"/>
    <col min="12320" max="12320" width="6.42578125" style="1" bestFit="1" customWidth="1"/>
    <col min="12321" max="12321" width="5.42578125" style="1" bestFit="1" customWidth="1"/>
    <col min="12322" max="12322" width="4.28515625" style="1" bestFit="1" customWidth="1"/>
    <col min="12323" max="12323" width="5" style="1" bestFit="1" customWidth="1"/>
    <col min="12324" max="12324" width="4.42578125" style="1" bestFit="1" customWidth="1"/>
    <col min="12325" max="12325" width="4.140625" style="1" bestFit="1" customWidth="1"/>
    <col min="12326" max="12326" width="5.85546875" style="1" bestFit="1" customWidth="1"/>
    <col min="12327" max="12327" width="9.140625" style="1" bestFit="1" customWidth="1"/>
    <col min="12328" max="12328" width="6.42578125" style="1" bestFit="1" customWidth="1"/>
    <col min="12329" max="12329" width="8.85546875" style="1" bestFit="1" customWidth="1"/>
    <col min="12330" max="12330" width="8.28515625" style="1" bestFit="1" customWidth="1"/>
    <col min="12331" max="12544" width="11.42578125" style="1"/>
    <col min="12545" max="12545" width="13.7109375" style="1" customWidth="1"/>
    <col min="12546" max="12547" width="13.140625" style="1" customWidth="1"/>
    <col min="12548" max="12548" width="13" style="1" customWidth="1"/>
    <col min="12549" max="12549" width="14" style="1" customWidth="1"/>
    <col min="12550" max="12550" width="12.42578125" style="1" customWidth="1"/>
    <col min="12551" max="12551" width="17.28515625" style="1" customWidth="1"/>
    <col min="12552" max="12552" width="14.140625" style="1" customWidth="1"/>
    <col min="12553" max="12553" width="15.42578125" style="1" customWidth="1"/>
    <col min="12554" max="12554" width="14.7109375" style="1" customWidth="1"/>
    <col min="12555" max="12555" width="12.85546875" style="1" customWidth="1"/>
    <col min="12556" max="12556" width="12.7109375" style="1" customWidth="1"/>
    <col min="12557" max="12557" width="12.140625" style="1" customWidth="1"/>
    <col min="12558" max="12558" width="13" style="1" customWidth="1"/>
    <col min="12559" max="12559" width="15.28515625" style="1" customWidth="1"/>
    <col min="12560" max="12560" width="15.85546875" style="1" customWidth="1"/>
    <col min="12561" max="12561" width="13.7109375" style="1" customWidth="1"/>
    <col min="12562" max="12562" width="15.140625" style="1" customWidth="1"/>
    <col min="12563" max="12563" width="11.85546875" style="1" customWidth="1"/>
    <col min="12564" max="12564" width="20" style="1" customWidth="1"/>
    <col min="12565" max="12565" width="16.42578125" style="1" customWidth="1"/>
    <col min="12566" max="12566" width="11.42578125" style="1"/>
    <col min="12567" max="12567" width="14.140625" style="1" customWidth="1"/>
    <col min="12568" max="12568" width="14.42578125" style="1" customWidth="1"/>
    <col min="12569" max="12569" width="11.7109375" style="1" customWidth="1"/>
    <col min="12570" max="12570" width="11.42578125" style="1"/>
    <col min="12571" max="12571" width="13.7109375" style="1" customWidth="1"/>
    <col min="12572" max="12572" width="15.42578125" style="1" customWidth="1"/>
    <col min="12573" max="12573" width="15.85546875" style="1" customWidth="1"/>
    <col min="12574" max="12574" width="15.7109375" style="1" customWidth="1"/>
    <col min="12575" max="12575" width="5" style="1" bestFit="1" customWidth="1"/>
    <col min="12576" max="12576" width="6.42578125" style="1" bestFit="1" customWidth="1"/>
    <col min="12577" max="12577" width="5.42578125" style="1" bestFit="1" customWidth="1"/>
    <col min="12578" max="12578" width="4.28515625" style="1" bestFit="1" customWidth="1"/>
    <col min="12579" max="12579" width="5" style="1" bestFit="1" customWidth="1"/>
    <col min="12580" max="12580" width="4.42578125" style="1" bestFit="1" customWidth="1"/>
    <col min="12581" max="12581" width="4.140625" style="1" bestFit="1" customWidth="1"/>
    <col min="12582" max="12582" width="5.85546875" style="1" bestFit="1" customWidth="1"/>
    <col min="12583" max="12583" width="9.140625" style="1" bestFit="1" customWidth="1"/>
    <col min="12584" max="12584" width="6.42578125" style="1" bestFit="1" customWidth="1"/>
    <col min="12585" max="12585" width="8.85546875" style="1" bestFit="1" customWidth="1"/>
    <col min="12586" max="12586" width="8.28515625" style="1" bestFit="1" customWidth="1"/>
    <col min="12587" max="12800" width="11.42578125" style="1"/>
    <col min="12801" max="12801" width="13.7109375" style="1" customWidth="1"/>
    <col min="12802" max="12803" width="13.140625" style="1" customWidth="1"/>
    <col min="12804" max="12804" width="13" style="1" customWidth="1"/>
    <col min="12805" max="12805" width="14" style="1" customWidth="1"/>
    <col min="12806" max="12806" width="12.42578125" style="1" customWidth="1"/>
    <col min="12807" max="12807" width="17.28515625" style="1" customWidth="1"/>
    <col min="12808" max="12808" width="14.140625" style="1" customWidth="1"/>
    <col min="12809" max="12809" width="15.42578125" style="1" customWidth="1"/>
    <col min="12810" max="12810" width="14.7109375" style="1" customWidth="1"/>
    <col min="12811" max="12811" width="12.85546875" style="1" customWidth="1"/>
    <col min="12812" max="12812" width="12.7109375" style="1" customWidth="1"/>
    <col min="12813" max="12813" width="12.140625" style="1" customWidth="1"/>
    <col min="12814" max="12814" width="13" style="1" customWidth="1"/>
    <col min="12815" max="12815" width="15.28515625" style="1" customWidth="1"/>
    <col min="12816" max="12816" width="15.85546875" style="1" customWidth="1"/>
    <col min="12817" max="12817" width="13.7109375" style="1" customWidth="1"/>
    <col min="12818" max="12818" width="15.140625" style="1" customWidth="1"/>
    <col min="12819" max="12819" width="11.85546875" style="1" customWidth="1"/>
    <col min="12820" max="12820" width="20" style="1" customWidth="1"/>
    <col min="12821" max="12821" width="16.42578125" style="1" customWidth="1"/>
    <col min="12822" max="12822" width="11.42578125" style="1"/>
    <col min="12823" max="12823" width="14.140625" style="1" customWidth="1"/>
    <col min="12824" max="12824" width="14.42578125" style="1" customWidth="1"/>
    <col min="12825" max="12825" width="11.7109375" style="1" customWidth="1"/>
    <col min="12826" max="12826" width="11.42578125" style="1"/>
    <col min="12827" max="12827" width="13.7109375" style="1" customWidth="1"/>
    <col min="12828" max="12828" width="15.42578125" style="1" customWidth="1"/>
    <col min="12829" max="12829" width="15.85546875" style="1" customWidth="1"/>
    <col min="12830" max="12830" width="15.7109375" style="1" customWidth="1"/>
    <col min="12831" max="12831" width="5" style="1" bestFit="1" customWidth="1"/>
    <col min="12832" max="12832" width="6.42578125" style="1" bestFit="1" customWidth="1"/>
    <col min="12833" max="12833" width="5.42578125" style="1" bestFit="1" customWidth="1"/>
    <col min="12834" max="12834" width="4.28515625" style="1" bestFit="1" customWidth="1"/>
    <col min="12835" max="12835" width="5" style="1" bestFit="1" customWidth="1"/>
    <col min="12836" max="12836" width="4.42578125" style="1" bestFit="1" customWidth="1"/>
    <col min="12837" max="12837" width="4.140625" style="1" bestFit="1" customWidth="1"/>
    <col min="12838" max="12838" width="5.85546875" style="1" bestFit="1" customWidth="1"/>
    <col min="12839" max="12839" width="9.140625" style="1" bestFit="1" customWidth="1"/>
    <col min="12840" max="12840" width="6.42578125" style="1" bestFit="1" customWidth="1"/>
    <col min="12841" max="12841" width="8.85546875" style="1" bestFit="1" customWidth="1"/>
    <col min="12842" max="12842" width="8.28515625" style="1" bestFit="1" customWidth="1"/>
    <col min="12843" max="13056" width="11.42578125" style="1"/>
    <col min="13057" max="13057" width="13.7109375" style="1" customWidth="1"/>
    <col min="13058" max="13059" width="13.140625" style="1" customWidth="1"/>
    <col min="13060" max="13060" width="13" style="1" customWidth="1"/>
    <col min="13061" max="13061" width="14" style="1" customWidth="1"/>
    <col min="13062" max="13062" width="12.42578125" style="1" customWidth="1"/>
    <col min="13063" max="13063" width="17.28515625" style="1" customWidth="1"/>
    <col min="13064" max="13064" width="14.140625" style="1" customWidth="1"/>
    <col min="13065" max="13065" width="15.42578125" style="1" customWidth="1"/>
    <col min="13066" max="13066" width="14.7109375" style="1" customWidth="1"/>
    <col min="13067" max="13067" width="12.85546875" style="1" customWidth="1"/>
    <col min="13068" max="13068" width="12.7109375" style="1" customWidth="1"/>
    <col min="13069" max="13069" width="12.140625" style="1" customWidth="1"/>
    <col min="13070" max="13070" width="13" style="1" customWidth="1"/>
    <col min="13071" max="13071" width="15.28515625" style="1" customWidth="1"/>
    <col min="13072" max="13072" width="15.85546875" style="1" customWidth="1"/>
    <col min="13073" max="13073" width="13.7109375" style="1" customWidth="1"/>
    <col min="13074" max="13074" width="15.140625" style="1" customWidth="1"/>
    <col min="13075" max="13075" width="11.85546875" style="1" customWidth="1"/>
    <col min="13076" max="13076" width="20" style="1" customWidth="1"/>
    <col min="13077" max="13077" width="16.42578125" style="1" customWidth="1"/>
    <col min="13078" max="13078" width="11.42578125" style="1"/>
    <col min="13079" max="13079" width="14.140625" style="1" customWidth="1"/>
    <col min="13080" max="13080" width="14.42578125" style="1" customWidth="1"/>
    <col min="13081" max="13081" width="11.7109375" style="1" customWidth="1"/>
    <col min="13082" max="13082" width="11.42578125" style="1"/>
    <col min="13083" max="13083" width="13.7109375" style="1" customWidth="1"/>
    <col min="13084" max="13084" width="15.42578125" style="1" customWidth="1"/>
    <col min="13085" max="13085" width="15.85546875" style="1" customWidth="1"/>
    <col min="13086" max="13086" width="15.7109375" style="1" customWidth="1"/>
    <col min="13087" max="13087" width="5" style="1" bestFit="1" customWidth="1"/>
    <col min="13088" max="13088" width="6.42578125" style="1" bestFit="1" customWidth="1"/>
    <col min="13089" max="13089" width="5.42578125" style="1" bestFit="1" customWidth="1"/>
    <col min="13090" max="13090" width="4.28515625" style="1" bestFit="1" customWidth="1"/>
    <col min="13091" max="13091" width="5" style="1" bestFit="1" customWidth="1"/>
    <col min="13092" max="13092" width="4.42578125" style="1" bestFit="1" customWidth="1"/>
    <col min="13093" max="13093" width="4.140625" style="1" bestFit="1" customWidth="1"/>
    <col min="13094" max="13094" width="5.85546875" style="1" bestFit="1" customWidth="1"/>
    <col min="13095" max="13095" width="9.140625" style="1" bestFit="1" customWidth="1"/>
    <col min="13096" max="13096" width="6.42578125" style="1" bestFit="1" customWidth="1"/>
    <col min="13097" max="13097" width="8.85546875" style="1" bestFit="1" customWidth="1"/>
    <col min="13098" max="13098" width="8.28515625" style="1" bestFit="1" customWidth="1"/>
    <col min="13099" max="13312" width="11.42578125" style="1"/>
    <col min="13313" max="13313" width="13.7109375" style="1" customWidth="1"/>
    <col min="13314" max="13315" width="13.140625" style="1" customWidth="1"/>
    <col min="13316" max="13316" width="13" style="1" customWidth="1"/>
    <col min="13317" max="13317" width="14" style="1" customWidth="1"/>
    <col min="13318" max="13318" width="12.42578125" style="1" customWidth="1"/>
    <col min="13319" max="13319" width="17.28515625" style="1" customWidth="1"/>
    <col min="13320" max="13320" width="14.140625" style="1" customWidth="1"/>
    <col min="13321" max="13321" width="15.42578125" style="1" customWidth="1"/>
    <col min="13322" max="13322" width="14.7109375" style="1" customWidth="1"/>
    <col min="13323" max="13323" width="12.85546875" style="1" customWidth="1"/>
    <col min="13324" max="13324" width="12.7109375" style="1" customWidth="1"/>
    <col min="13325" max="13325" width="12.140625" style="1" customWidth="1"/>
    <col min="13326" max="13326" width="13" style="1" customWidth="1"/>
    <col min="13327" max="13327" width="15.28515625" style="1" customWidth="1"/>
    <col min="13328" max="13328" width="15.85546875" style="1" customWidth="1"/>
    <col min="13329" max="13329" width="13.7109375" style="1" customWidth="1"/>
    <col min="13330" max="13330" width="15.140625" style="1" customWidth="1"/>
    <col min="13331" max="13331" width="11.85546875" style="1" customWidth="1"/>
    <col min="13332" max="13332" width="20" style="1" customWidth="1"/>
    <col min="13333" max="13333" width="16.42578125" style="1" customWidth="1"/>
    <col min="13334" max="13334" width="11.42578125" style="1"/>
    <col min="13335" max="13335" width="14.140625" style="1" customWidth="1"/>
    <col min="13336" max="13336" width="14.42578125" style="1" customWidth="1"/>
    <col min="13337" max="13337" width="11.7109375" style="1" customWidth="1"/>
    <col min="13338" max="13338" width="11.42578125" style="1"/>
    <col min="13339" max="13339" width="13.7109375" style="1" customWidth="1"/>
    <col min="13340" max="13340" width="15.42578125" style="1" customWidth="1"/>
    <col min="13341" max="13341" width="15.85546875" style="1" customWidth="1"/>
    <col min="13342" max="13342" width="15.7109375" style="1" customWidth="1"/>
    <col min="13343" max="13343" width="5" style="1" bestFit="1" customWidth="1"/>
    <col min="13344" max="13344" width="6.42578125" style="1" bestFit="1" customWidth="1"/>
    <col min="13345" max="13345" width="5.42578125" style="1" bestFit="1" customWidth="1"/>
    <col min="13346" max="13346" width="4.28515625" style="1" bestFit="1" customWidth="1"/>
    <col min="13347" max="13347" width="5" style="1" bestFit="1" customWidth="1"/>
    <col min="13348" max="13348" width="4.42578125" style="1" bestFit="1" customWidth="1"/>
    <col min="13349" max="13349" width="4.140625" style="1" bestFit="1" customWidth="1"/>
    <col min="13350" max="13350" width="5.85546875" style="1" bestFit="1" customWidth="1"/>
    <col min="13351" max="13351" width="9.140625" style="1" bestFit="1" customWidth="1"/>
    <col min="13352" max="13352" width="6.42578125" style="1" bestFit="1" customWidth="1"/>
    <col min="13353" max="13353" width="8.85546875" style="1" bestFit="1" customWidth="1"/>
    <col min="13354" max="13354" width="8.28515625" style="1" bestFit="1" customWidth="1"/>
    <col min="13355" max="13568" width="11.42578125" style="1"/>
    <col min="13569" max="13569" width="13.7109375" style="1" customWidth="1"/>
    <col min="13570" max="13571" width="13.140625" style="1" customWidth="1"/>
    <col min="13572" max="13572" width="13" style="1" customWidth="1"/>
    <col min="13573" max="13573" width="14" style="1" customWidth="1"/>
    <col min="13574" max="13574" width="12.42578125" style="1" customWidth="1"/>
    <col min="13575" max="13575" width="17.28515625" style="1" customWidth="1"/>
    <col min="13576" max="13576" width="14.140625" style="1" customWidth="1"/>
    <col min="13577" max="13577" width="15.42578125" style="1" customWidth="1"/>
    <col min="13578" max="13578" width="14.7109375" style="1" customWidth="1"/>
    <col min="13579" max="13579" width="12.85546875" style="1" customWidth="1"/>
    <col min="13580" max="13580" width="12.7109375" style="1" customWidth="1"/>
    <col min="13581" max="13581" width="12.140625" style="1" customWidth="1"/>
    <col min="13582" max="13582" width="13" style="1" customWidth="1"/>
    <col min="13583" max="13583" width="15.28515625" style="1" customWidth="1"/>
    <col min="13584" max="13584" width="15.85546875" style="1" customWidth="1"/>
    <col min="13585" max="13585" width="13.7109375" style="1" customWidth="1"/>
    <col min="13586" max="13586" width="15.140625" style="1" customWidth="1"/>
    <col min="13587" max="13587" width="11.85546875" style="1" customWidth="1"/>
    <col min="13588" max="13588" width="20" style="1" customWidth="1"/>
    <col min="13589" max="13589" width="16.42578125" style="1" customWidth="1"/>
    <col min="13590" max="13590" width="11.42578125" style="1"/>
    <col min="13591" max="13591" width="14.140625" style="1" customWidth="1"/>
    <col min="13592" max="13592" width="14.42578125" style="1" customWidth="1"/>
    <col min="13593" max="13593" width="11.7109375" style="1" customWidth="1"/>
    <col min="13594" max="13594" width="11.42578125" style="1"/>
    <col min="13595" max="13595" width="13.7109375" style="1" customWidth="1"/>
    <col min="13596" max="13596" width="15.42578125" style="1" customWidth="1"/>
    <col min="13597" max="13597" width="15.85546875" style="1" customWidth="1"/>
    <col min="13598" max="13598" width="15.7109375" style="1" customWidth="1"/>
    <col min="13599" max="13599" width="5" style="1" bestFit="1" customWidth="1"/>
    <col min="13600" max="13600" width="6.42578125" style="1" bestFit="1" customWidth="1"/>
    <col min="13601" max="13601" width="5.42578125" style="1" bestFit="1" customWidth="1"/>
    <col min="13602" max="13602" width="4.28515625" style="1" bestFit="1" customWidth="1"/>
    <col min="13603" max="13603" width="5" style="1" bestFit="1" customWidth="1"/>
    <col min="13604" max="13604" width="4.42578125" style="1" bestFit="1" customWidth="1"/>
    <col min="13605" max="13605" width="4.140625" style="1" bestFit="1" customWidth="1"/>
    <col min="13606" max="13606" width="5.85546875" style="1" bestFit="1" customWidth="1"/>
    <col min="13607" max="13607" width="9.140625" style="1" bestFit="1" customWidth="1"/>
    <col min="13608" max="13608" width="6.42578125" style="1" bestFit="1" customWidth="1"/>
    <col min="13609" max="13609" width="8.85546875" style="1" bestFit="1" customWidth="1"/>
    <col min="13610" max="13610" width="8.28515625" style="1" bestFit="1" customWidth="1"/>
    <col min="13611" max="13824" width="11.42578125" style="1"/>
    <col min="13825" max="13825" width="13.7109375" style="1" customWidth="1"/>
    <col min="13826" max="13827" width="13.140625" style="1" customWidth="1"/>
    <col min="13828" max="13828" width="13" style="1" customWidth="1"/>
    <col min="13829" max="13829" width="14" style="1" customWidth="1"/>
    <col min="13830" max="13830" width="12.42578125" style="1" customWidth="1"/>
    <col min="13831" max="13831" width="17.28515625" style="1" customWidth="1"/>
    <col min="13832" max="13832" width="14.140625" style="1" customWidth="1"/>
    <col min="13833" max="13833" width="15.42578125" style="1" customWidth="1"/>
    <col min="13834" max="13834" width="14.7109375" style="1" customWidth="1"/>
    <col min="13835" max="13835" width="12.85546875" style="1" customWidth="1"/>
    <col min="13836" max="13836" width="12.7109375" style="1" customWidth="1"/>
    <col min="13837" max="13837" width="12.140625" style="1" customWidth="1"/>
    <col min="13838" max="13838" width="13" style="1" customWidth="1"/>
    <col min="13839" max="13839" width="15.28515625" style="1" customWidth="1"/>
    <col min="13840" max="13840" width="15.85546875" style="1" customWidth="1"/>
    <col min="13841" max="13841" width="13.7109375" style="1" customWidth="1"/>
    <col min="13842" max="13842" width="15.140625" style="1" customWidth="1"/>
    <col min="13843" max="13843" width="11.85546875" style="1" customWidth="1"/>
    <col min="13844" max="13844" width="20" style="1" customWidth="1"/>
    <col min="13845" max="13845" width="16.42578125" style="1" customWidth="1"/>
    <col min="13846" max="13846" width="11.42578125" style="1"/>
    <col min="13847" max="13847" width="14.140625" style="1" customWidth="1"/>
    <col min="13848" max="13848" width="14.42578125" style="1" customWidth="1"/>
    <col min="13849" max="13849" width="11.7109375" style="1" customWidth="1"/>
    <col min="13850" max="13850" width="11.42578125" style="1"/>
    <col min="13851" max="13851" width="13.7109375" style="1" customWidth="1"/>
    <col min="13852" max="13852" width="15.42578125" style="1" customWidth="1"/>
    <col min="13853" max="13853" width="15.85546875" style="1" customWidth="1"/>
    <col min="13854" max="13854" width="15.7109375" style="1" customWidth="1"/>
    <col min="13855" max="13855" width="5" style="1" bestFit="1" customWidth="1"/>
    <col min="13856" max="13856" width="6.42578125" style="1" bestFit="1" customWidth="1"/>
    <col min="13857" max="13857" width="5.42578125" style="1" bestFit="1" customWidth="1"/>
    <col min="13858" max="13858" width="4.28515625" style="1" bestFit="1" customWidth="1"/>
    <col min="13859" max="13859" width="5" style="1" bestFit="1" customWidth="1"/>
    <col min="13860" max="13860" width="4.42578125" style="1" bestFit="1" customWidth="1"/>
    <col min="13861" max="13861" width="4.140625" style="1" bestFit="1" customWidth="1"/>
    <col min="13862" max="13862" width="5.85546875" style="1" bestFit="1" customWidth="1"/>
    <col min="13863" max="13863" width="9.140625" style="1" bestFit="1" customWidth="1"/>
    <col min="13864" max="13864" width="6.42578125" style="1" bestFit="1" customWidth="1"/>
    <col min="13865" max="13865" width="8.85546875" style="1" bestFit="1" customWidth="1"/>
    <col min="13866" max="13866" width="8.28515625" style="1" bestFit="1" customWidth="1"/>
    <col min="13867" max="14080" width="11.42578125" style="1"/>
    <col min="14081" max="14081" width="13.7109375" style="1" customWidth="1"/>
    <col min="14082" max="14083" width="13.140625" style="1" customWidth="1"/>
    <col min="14084" max="14084" width="13" style="1" customWidth="1"/>
    <col min="14085" max="14085" width="14" style="1" customWidth="1"/>
    <col min="14086" max="14086" width="12.42578125" style="1" customWidth="1"/>
    <col min="14087" max="14087" width="17.28515625" style="1" customWidth="1"/>
    <col min="14088" max="14088" width="14.140625" style="1" customWidth="1"/>
    <col min="14089" max="14089" width="15.42578125" style="1" customWidth="1"/>
    <col min="14090" max="14090" width="14.7109375" style="1" customWidth="1"/>
    <col min="14091" max="14091" width="12.85546875" style="1" customWidth="1"/>
    <col min="14092" max="14092" width="12.7109375" style="1" customWidth="1"/>
    <col min="14093" max="14093" width="12.140625" style="1" customWidth="1"/>
    <col min="14094" max="14094" width="13" style="1" customWidth="1"/>
    <col min="14095" max="14095" width="15.28515625" style="1" customWidth="1"/>
    <col min="14096" max="14096" width="15.85546875" style="1" customWidth="1"/>
    <col min="14097" max="14097" width="13.7109375" style="1" customWidth="1"/>
    <col min="14098" max="14098" width="15.140625" style="1" customWidth="1"/>
    <col min="14099" max="14099" width="11.85546875" style="1" customWidth="1"/>
    <col min="14100" max="14100" width="20" style="1" customWidth="1"/>
    <col min="14101" max="14101" width="16.42578125" style="1" customWidth="1"/>
    <col min="14102" max="14102" width="11.42578125" style="1"/>
    <col min="14103" max="14103" width="14.140625" style="1" customWidth="1"/>
    <col min="14104" max="14104" width="14.42578125" style="1" customWidth="1"/>
    <col min="14105" max="14105" width="11.7109375" style="1" customWidth="1"/>
    <col min="14106" max="14106" width="11.42578125" style="1"/>
    <col min="14107" max="14107" width="13.7109375" style="1" customWidth="1"/>
    <col min="14108" max="14108" width="15.42578125" style="1" customWidth="1"/>
    <col min="14109" max="14109" width="15.85546875" style="1" customWidth="1"/>
    <col min="14110" max="14110" width="15.7109375" style="1" customWidth="1"/>
    <col min="14111" max="14111" width="5" style="1" bestFit="1" customWidth="1"/>
    <col min="14112" max="14112" width="6.42578125" style="1" bestFit="1" customWidth="1"/>
    <col min="14113" max="14113" width="5.42578125" style="1" bestFit="1" customWidth="1"/>
    <col min="14114" max="14114" width="4.28515625" style="1" bestFit="1" customWidth="1"/>
    <col min="14115" max="14115" width="5" style="1" bestFit="1" customWidth="1"/>
    <col min="14116" max="14116" width="4.42578125" style="1" bestFit="1" customWidth="1"/>
    <col min="14117" max="14117" width="4.140625" style="1" bestFit="1" customWidth="1"/>
    <col min="14118" max="14118" width="5.85546875" style="1" bestFit="1" customWidth="1"/>
    <col min="14119" max="14119" width="9.140625" style="1" bestFit="1" customWidth="1"/>
    <col min="14120" max="14120" width="6.42578125" style="1" bestFit="1" customWidth="1"/>
    <col min="14121" max="14121" width="8.85546875" style="1" bestFit="1" customWidth="1"/>
    <col min="14122" max="14122" width="8.28515625" style="1" bestFit="1" customWidth="1"/>
    <col min="14123" max="14336" width="11.42578125" style="1"/>
    <col min="14337" max="14337" width="13.7109375" style="1" customWidth="1"/>
    <col min="14338" max="14339" width="13.140625" style="1" customWidth="1"/>
    <col min="14340" max="14340" width="13" style="1" customWidth="1"/>
    <col min="14341" max="14341" width="14" style="1" customWidth="1"/>
    <col min="14342" max="14342" width="12.42578125" style="1" customWidth="1"/>
    <col min="14343" max="14343" width="17.28515625" style="1" customWidth="1"/>
    <col min="14344" max="14344" width="14.140625" style="1" customWidth="1"/>
    <col min="14345" max="14345" width="15.42578125" style="1" customWidth="1"/>
    <col min="14346" max="14346" width="14.7109375" style="1" customWidth="1"/>
    <col min="14347" max="14347" width="12.85546875" style="1" customWidth="1"/>
    <col min="14348" max="14348" width="12.7109375" style="1" customWidth="1"/>
    <col min="14349" max="14349" width="12.140625" style="1" customWidth="1"/>
    <col min="14350" max="14350" width="13" style="1" customWidth="1"/>
    <col min="14351" max="14351" width="15.28515625" style="1" customWidth="1"/>
    <col min="14352" max="14352" width="15.85546875" style="1" customWidth="1"/>
    <col min="14353" max="14353" width="13.7109375" style="1" customWidth="1"/>
    <col min="14354" max="14354" width="15.140625" style="1" customWidth="1"/>
    <col min="14355" max="14355" width="11.85546875" style="1" customWidth="1"/>
    <col min="14356" max="14356" width="20" style="1" customWidth="1"/>
    <col min="14357" max="14357" width="16.42578125" style="1" customWidth="1"/>
    <col min="14358" max="14358" width="11.42578125" style="1"/>
    <col min="14359" max="14359" width="14.140625" style="1" customWidth="1"/>
    <col min="14360" max="14360" width="14.42578125" style="1" customWidth="1"/>
    <col min="14361" max="14361" width="11.7109375" style="1" customWidth="1"/>
    <col min="14362" max="14362" width="11.42578125" style="1"/>
    <col min="14363" max="14363" width="13.7109375" style="1" customWidth="1"/>
    <col min="14364" max="14364" width="15.42578125" style="1" customWidth="1"/>
    <col min="14365" max="14365" width="15.85546875" style="1" customWidth="1"/>
    <col min="14366" max="14366" width="15.7109375" style="1" customWidth="1"/>
    <col min="14367" max="14367" width="5" style="1" bestFit="1" customWidth="1"/>
    <col min="14368" max="14368" width="6.42578125" style="1" bestFit="1" customWidth="1"/>
    <col min="14369" max="14369" width="5.42578125" style="1" bestFit="1" customWidth="1"/>
    <col min="14370" max="14370" width="4.28515625" style="1" bestFit="1" customWidth="1"/>
    <col min="14371" max="14371" width="5" style="1" bestFit="1" customWidth="1"/>
    <col min="14372" max="14372" width="4.42578125" style="1" bestFit="1" customWidth="1"/>
    <col min="14373" max="14373" width="4.140625" style="1" bestFit="1" customWidth="1"/>
    <col min="14374" max="14374" width="5.85546875" style="1" bestFit="1" customWidth="1"/>
    <col min="14375" max="14375" width="9.140625" style="1" bestFit="1" customWidth="1"/>
    <col min="14376" max="14376" width="6.42578125" style="1" bestFit="1" customWidth="1"/>
    <col min="14377" max="14377" width="8.85546875" style="1" bestFit="1" customWidth="1"/>
    <col min="14378" max="14378" width="8.28515625" style="1" bestFit="1" customWidth="1"/>
    <col min="14379" max="14592" width="11.42578125" style="1"/>
    <col min="14593" max="14593" width="13.7109375" style="1" customWidth="1"/>
    <col min="14594" max="14595" width="13.140625" style="1" customWidth="1"/>
    <col min="14596" max="14596" width="13" style="1" customWidth="1"/>
    <col min="14597" max="14597" width="14" style="1" customWidth="1"/>
    <col min="14598" max="14598" width="12.42578125" style="1" customWidth="1"/>
    <col min="14599" max="14599" width="17.28515625" style="1" customWidth="1"/>
    <col min="14600" max="14600" width="14.140625" style="1" customWidth="1"/>
    <col min="14601" max="14601" width="15.42578125" style="1" customWidth="1"/>
    <col min="14602" max="14602" width="14.7109375" style="1" customWidth="1"/>
    <col min="14603" max="14603" width="12.85546875" style="1" customWidth="1"/>
    <col min="14604" max="14604" width="12.7109375" style="1" customWidth="1"/>
    <col min="14605" max="14605" width="12.140625" style="1" customWidth="1"/>
    <col min="14606" max="14606" width="13" style="1" customWidth="1"/>
    <col min="14607" max="14607" width="15.28515625" style="1" customWidth="1"/>
    <col min="14608" max="14608" width="15.85546875" style="1" customWidth="1"/>
    <col min="14609" max="14609" width="13.7109375" style="1" customWidth="1"/>
    <col min="14610" max="14610" width="15.140625" style="1" customWidth="1"/>
    <col min="14611" max="14611" width="11.85546875" style="1" customWidth="1"/>
    <col min="14612" max="14612" width="20" style="1" customWidth="1"/>
    <col min="14613" max="14613" width="16.42578125" style="1" customWidth="1"/>
    <col min="14614" max="14614" width="11.42578125" style="1"/>
    <col min="14615" max="14615" width="14.140625" style="1" customWidth="1"/>
    <col min="14616" max="14616" width="14.42578125" style="1" customWidth="1"/>
    <col min="14617" max="14617" width="11.7109375" style="1" customWidth="1"/>
    <col min="14618" max="14618" width="11.42578125" style="1"/>
    <col min="14619" max="14619" width="13.7109375" style="1" customWidth="1"/>
    <col min="14620" max="14620" width="15.42578125" style="1" customWidth="1"/>
    <col min="14621" max="14621" width="15.85546875" style="1" customWidth="1"/>
    <col min="14622" max="14622" width="15.7109375" style="1" customWidth="1"/>
    <col min="14623" max="14623" width="5" style="1" bestFit="1" customWidth="1"/>
    <col min="14624" max="14624" width="6.42578125" style="1" bestFit="1" customWidth="1"/>
    <col min="14625" max="14625" width="5.42578125" style="1" bestFit="1" customWidth="1"/>
    <col min="14626" max="14626" width="4.28515625" style="1" bestFit="1" customWidth="1"/>
    <col min="14627" max="14627" width="5" style="1" bestFit="1" customWidth="1"/>
    <col min="14628" max="14628" width="4.42578125" style="1" bestFit="1" customWidth="1"/>
    <col min="14629" max="14629" width="4.140625" style="1" bestFit="1" customWidth="1"/>
    <col min="14630" max="14630" width="5.85546875" style="1" bestFit="1" customWidth="1"/>
    <col min="14631" max="14631" width="9.140625" style="1" bestFit="1" customWidth="1"/>
    <col min="14632" max="14632" width="6.42578125" style="1" bestFit="1" customWidth="1"/>
    <col min="14633" max="14633" width="8.85546875" style="1" bestFit="1" customWidth="1"/>
    <col min="14634" max="14634" width="8.28515625" style="1" bestFit="1" customWidth="1"/>
    <col min="14635" max="14848" width="11.42578125" style="1"/>
    <col min="14849" max="14849" width="13.7109375" style="1" customWidth="1"/>
    <col min="14850" max="14851" width="13.140625" style="1" customWidth="1"/>
    <col min="14852" max="14852" width="13" style="1" customWidth="1"/>
    <col min="14853" max="14853" width="14" style="1" customWidth="1"/>
    <col min="14854" max="14854" width="12.42578125" style="1" customWidth="1"/>
    <col min="14855" max="14855" width="17.28515625" style="1" customWidth="1"/>
    <col min="14856" max="14856" width="14.140625" style="1" customWidth="1"/>
    <col min="14857" max="14857" width="15.42578125" style="1" customWidth="1"/>
    <col min="14858" max="14858" width="14.7109375" style="1" customWidth="1"/>
    <col min="14859" max="14859" width="12.85546875" style="1" customWidth="1"/>
    <col min="14860" max="14860" width="12.7109375" style="1" customWidth="1"/>
    <col min="14861" max="14861" width="12.140625" style="1" customWidth="1"/>
    <col min="14862" max="14862" width="13" style="1" customWidth="1"/>
    <col min="14863" max="14863" width="15.28515625" style="1" customWidth="1"/>
    <col min="14864" max="14864" width="15.85546875" style="1" customWidth="1"/>
    <col min="14865" max="14865" width="13.7109375" style="1" customWidth="1"/>
    <col min="14866" max="14866" width="15.140625" style="1" customWidth="1"/>
    <col min="14867" max="14867" width="11.85546875" style="1" customWidth="1"/>
    <col min="14868" max="14868" width="20" style="1" customWidth="1"/>
    <col min="14869" max="14869" width="16.42578125" style="1" customWidth="1"/>
    <col min="14870" max="14870" width="11.42578125" style="1"/>
    <col min="14871" max="14871" width="14.140625" style="1" customWidth="1"/>
    <col min="14872" max="14872" width="14.42578125" style="1" customWidth="1"/>
    <col min="14873" max="14873" width="11.7109375" style="1" customWidth="1"/>
    <col min="14874" max="14874" width="11.42578125" style="1"/>
    <col min="14875" max="14875" width="13.7109375" style="1" customWidth="1"/>
    <col min="14876" max="14876" width="15.42578125" style="1" customWidth="1"/>
    <col min="14877" max="14877" width="15.85546875" style="1" customWidth="1"/>
    <col min="14878" max="14878" width="15.7109375" style="1" customWidth="1"/>
    <col min="14879" max="14879" width="5" style="1" bestFit="1" customWidth="1"/>
    <col min="14880" max="14880" width="6.42578125" style="1" bestFit="1" customWidth="1"/>
    <col min="14881" max="14881" width="5.42578125" style="1" bestFit="1" customWidth="1"/>
    <col min="14882" max="14882" width="4.28515625" style="1" bestFit="1" customWidth="1"/>
    <col min="14883" max="14883" width="5" style="1" bestFit="1" customWidth="1"/>
    <col min="14884" max="14884" width="4.42578125" style="1" bestFit="1" customWidth="1"/>
    <col min="14885" max="14885" width="4.140625" style="1" bestFit="1" customWidth="1"/>
    <col min="14886" max="14886" width="5.85546875" style="1" bestFit="1" customWidth="1"/>
    <col min="14887" max="14887" width="9.140625" style="1" bestFit="1" customWidth="1"/>
    <col min="14888" max="14888" width="6.42578125" style="1" bestFit="1" customWidth="1"/>
    <col min="14889" max="14889" width="8.85546875" style="1" bestFit="1" customWidth="1"/>
    <col min="14890" max="14890" width="8.28515625" style="1" bestFit="1" customWidth="1"/>
    <col min="14891" max="15104" width="11.42578125" style="1"/>
    <col min="15105" max="15105" width="13.7109375" style="1" customWidth="1"/>
    <col min="15106" max="15107" width="13.140625" style="1" customWidth="1"/>
    <col min="15108" max="15108" width="13" style="1" customWidth="1"/>
    <col min="15109" max="15109" width="14" style="1" customWidth="1"/>
    <col min="15110" max="15110" width="12.42578125" style="1" customWidth="1"/>
    <col min="15111" max="15111" width="17.28515625" style="1" customWidth="1"/>
    <col min="15112" max="15112" width="14.140625" style="1" customWidth="1"/>
    <col min="15113" max="15113" width="15.42578125" style="1" customWidth="1"/>
    <col min="15114" max="15114" width="14.7109375" style="1" customWidth="1"/>
    <col min="15115" max="15115" width="12.85546875" style="1" customWidth="1"/>
    <col min="15116" max="15116" width="12.7109375" style="1" customWidth="1"/>
    <col min="15117" max="15117" width="12.140625" style="1" customWidth="1"/>
    <col min="15118" max="15118" width="13" style="1" customWidth="1"/>
    <col min="15119" max="15119" width="15.28515625" style="1" customWidth="1"/>
    <col min="15120" max="15120" width="15.85546875" style="1" customWidth="1"/>
    <col min="15121" max="15121" width="13.7109375" style="1" customWidth="1"/>
    <col min="15122" max="15122" width="15.140625" style="1" customWidth="1"/>
    <col min="15123" max="15123" width="11.85546875" style="1" customWidth="1"/>
    <col min="15124" max="15124" width="20" style="1" customWidth="1"/>
    <col min="15125" max="15125" width="16.42578125" style="1" customWidth="1"/>
    <col min="15126" max="15126" width="11.42578125" style="1"/>
    <col min="15127" max="15127" width="14.140625" style="1" customWidth="1"/>
    <col min="15128" max="15128" width="14.42578125" style="1" customWidth="1"/>
    <col min="15129" max="15129" width="11.7109375" style="1" customWidth="1"/>
    <col min="15130" max="15130" width="11.42578125" style="1"/>
    <col min="15131" max="15131" width="13.7109375" style="1" customWidth="1"/>
    <col min="15132" max="15132" width="15.42578125" style="1" customWidth="1"/>
    <col min="15133" max="15133" width="15.85546875" style="1" customWidth="1"/>
    <col min="15134" max="15134" width="15.7109375" style="1" customWidth="1"/>
    <col min="15135" max="15135" width="5" style="1" bestFit="1" customWidth="1"/>
    <col min="15136" max="15136" width="6.42578125" style="1" bestFit="1" customWidth="1"/>
    <col min="15137" max="15137" width="5.42578125" style="1" bestFit="1" customWidth="1"/>
    <col min="15138" max="15138" width="4.28515625" style="1" bestFit="1" customWidth="1"/>
    <col min="15139" max="15139" width="5" style="1" bestFit="1" customWidth="1"/>
    <col min="15140" max="15140" width="4.42578125" style="1" bestFit="1" customWidth="1"/>
    <col min="15141" max="15141" width="4.140625" style="1" bestFit="1" customWidth="1"/>
    <col min="15142" max="15142" width="5.85546875" style="1" bestFit="1" customWidth="1"/>
    <col min="15143" max="15143" width="9.140625" style="1" bestFit="1" customWidth="1"/>
    <col min="15144" max="15144" width="6.42578125" style="1" bestFit="1" customWidth="1"/>
    <col min="15145" max="15145" width="8.85546875" style="1" bestFit="1" customWidth="1"/>
    <col min="15146" max="15146" width="8.28515625" style="1" bestFit="1" customWidth="1"/>
    <col min="15147" max="15360" width="11.42578125" style="1"/>
    <col min="15361" max="15361" width="13.7109375" style="1" customWidth="1"/>
    <col min="15362" max="15363" width="13.140625" style="1" customWidth="1"/>
    <col min="15364" max="15364" width="13" style="1" customWidth="1"/>
    <col min="15365" max="15365" width="14" style="1" customWidth="1"/>
    <col min="15366" max="15366" width="12.42578125" style="1" customWidth="1"/>
    <col min="15367" max="15367" width="17.28515625" style="1" customWidth="1"/>
    <col min="15368" max="15368" width="14.140625" style="1" customWidth="1"/>
    <col min="15369" max="15369" width="15.42578125" style="1" customWidth="1"/>
    <col min="15370" max="15370" width="14.7109375" style="1" customWidth="1"/>
    <col min="15371" max="15371" width="12.85546875" style="1" customWidth="1"/>
    <col min="15372" max="15372" width="12.7109375" style="1" customWidth="1"/>
    <col min="15373" max="15373" width="12.140625" style="1" customWidth="1"/>
    <col min="15374" max="15374" width="13" style="1" customWidth="1"/>
    <col min="15375" max="15375" width="15.28515625" style="1" customWidth="1"/>
    <col min="15376" max="15376" width="15.85546875" style="1" customWidth="1"/>
    <col min="15377" max="15377" width="13.7109375" style="1" customWidth="1"/>
    <col min="15378" max="15378" width="15.140625" style="1" customWidth="1"/>
    <col min="15379" max="15379" width="11.85546875" style="1" customWidth="1"/>
    <col min="15380" max="15380" width="20" style="1" customWidth="1"/>
    <col min="15381" max="15381" width="16.42578125" style="1" customWidth="1"/>
    <col min="15382" max="15382" width="11.42578125" style="1"/>
    <col min="15383" max="15383" width="14.140625" style="1" customWidth="1"/>
    <col min="15384" max="15384" width="14.42578125" style="1" customWidth="1"/>
    <col min="15385" max="15385" width="11.7109375" style="1" customWidth="1"/>
    <col min="15386" max="15386" width="11.42578125" style="1"/>
    <col min="15387" max="15387" width="13.7109375" style="1" customWidth="1"/>
    <col min="15388" max="15388" width="15.42578125" style="1" customWidth="1"/>
    <col min="15389" max="15389" width="15.85546875" style="1" customWidth="1"/>
    <col min="15390" max="15390" width="15.7109375" style="1" customWidth="1"/>
    <col min="15391" max="15391" width="5" style="1" bestFit="1" customWidth="1"/>
    <col min="15392" max="15392" width="6.42578125" style="1" bestFit="1" customWidth="1"/>
    <col min="15393" max="15393" width="5.42578125" style="1" bestFit="1" customWidth="1"/>
    <col min="15394" max="15394" width="4.28515625" style="1" bestFit="1" customWidth="1"/>
    <col min="15395" max="15395" width="5" style="1" bestFit="1" customWidth="1"/>
    <col min="15396" max="15396" width="4.42578125" style="1" bestFit="1" customWidth="1"/>
    <col min="15397" max="15397" width="4.140625" style="1" bestFit="1" customWidth="1"/>
    <col min="15398" max="15398" width="5.85546875" style="1" bestFit="1" customWidth="1"/>
    <col min="15399" max="15399" width="9.140625" style="1" bestFit="1" customWidth="1"/>
    <col min="15400" max="15400" width="6.42578125" style="1" bestFit="1" customWidth="1"/>
    <col min="15401" max="15401" width="8.85546875" style="1" bestFit="1" customWidth="1"/>
    <col min="15402" max="15402" width="8.28515625" style="1" bestFit="1" customWidth="1"/>
    <col min="15403" max="15616" width="11.42578125" style="1"/>
    <col min="15617" max="15617" width="13.7109375" style="1" customWidth="1"/>
    <col min="15618" max="15619" width="13.140625" style="1" customWidth="1"/>
    <col min="15620" max="15620" width="13" style="1" customWidth="1"/>
    <col min="15621" max="15621" width="14" style="1" customWidth="1"/>
    <col min="15622" max="15622" width="12.42578125" style="1" customWidth="1"/>
    <col min="15623" max="15623" width="17.28515625" style="1" customWidth="1"/>
    <col min="15624" max="15624" width="14.140625" style="1" customWidth="1"/>
    <col min="15625" max="15625" width="15.42578125" style="1" customWidth="1"/>
    <col min="15626" max="15626" width="14.7109375" style="1" customWidth="1"/>
    <col min="15627" max="15627" width="12.85546875" style="1" customWidth="1"/>
    <col min="15628" max="15628" width="12.7109375" style="1" customWidth="1"/>
    <col min="15629" max="15629" width="12.140625" style="1" customWidth="1"/>
    <col min="15630" max="15630" width="13" style="1" customWidth="1"/>
    <col min="15631" max="15631" width="15.28515625" style="1" customWidth="1"/>
    <col min="15632" max="15632" width="15.85546875" style="1" customWidth="1"/>
    <col min="15633" max="15633" width="13.7109375" style="1" customWidth="1"/>
    <col min="15634" max="15634" width="15.140625" style="1" customWidth="1"/>
    <col min="15635" max="15635" width="11.85546875" style="1" customWidth="1"/>
    <col min="15636" max="15636" width="20" style="1" customWidth="1"/>
    <col min="15637" max="15637" width="16.42578125" style="1" customWidth="1"/>
    <col min="15638" max="15638" width="11.42578125" style="1"/>
    <col min="15639" max="15639" width="14.140625" style="1" customWidth="1"/>
    <col min="15640" max="15640" width="14.42578125" style="1" customWidth="1"/>
    <col min="15641" max="15641" width="11.7109375" style="1" customWidth="1"/>
    <col min="15642" max="15642" width="11.42578125" style="1"/>
    <col min="15643" max="15643" width="13.7109375" style="1" customWidth="1"/>
    <col min="15644" max="15644" width="15.42578125" style="1" customWidth="1"/>
    <col min="15645" max="15645" width="15.85546875" style="1" customWidth="1"/>
    <col min="15646" max="15646" width="15.7109375" style="1" customWidth="1"/>
    <col min="15647" max="15647" width="5" style="1" bestFit="1" customWidth="1"/>
    <col min="15648" max="15648" width="6.42578125" style="1" bestFit="1" customWidth="1"/>
    <col min="15649" max="15649" width="5.42578125" style="1" bestFit="1" customWidth="1"/>
    <col min="15650" max="15650" width="4.28515625" style="1" bestFit="1" customWidth="1"/>
    <col min="15651" max="15651" width="5" style="1" bestFit="1" customWidth="1"/>
    <col min="15652" max="15652" width="4.42578125" style="1" bestFit="1" customWidth="1"/>
    <col min="15653" max="15653" width="4.140625" style="1" bestFit="1" customWidth="1"/>
    <col min="15654" max="15654" width="5.85546875" style="1" bestFit="1" customWidth="1"/>
    <col min="15655" max="15655" width="9.140625" style="1" bestFit="1" customWidth="1"/>
    <col min="15656" max="15656" width="6.42578125" style="1" bestFit="1" customWidth="1"/>
    <col min="15657" max="15657" width="8.85546875" style="1" bestFit="1" customWidth="1"/>
    <col min="15658" max="15658" width="8.28515625" style="1" bestFit="1" customWidth="1"/>
    <col min="15659" max="15872" width="11.42578125" style="1"/>
    <col min="15873" max="15873" width="13.7109375" style="1" customWidth="1"/>
    <col min="15874" max="15875" width="13.140625" style="1" customWidth="1"/>
    <col min="15876" max="15876" width="13" style="1" customWidth="1"/>
    <col min="15877" max="15877" width="14" style="1" customWidth="1"/>
    <col min="15878" max="15878" width="12.42578125" style="1" customWidth="1"/>
    <col min="15879" max="15879" width="17.28515625" style="1" customWidth="1"/>
    <col min="15880" max="15880" width="14.140625" style="1" customWidth="1"/>
    <col min="15881" max="15881" width="15.42578125" style="1" customWidth="1"/>
    <col min="15882" max="15882" width="14.7109375" style="1" customWidth="1"/>
    <col min="15883" max="15883" width="12.85546875" style="1" customWidth="1"/>
    <col min="15884" max="15884" width="12.7109375" style="1" customWidth="1"/>
    <col min="15885" max="15885" width="12.140625" style="1" customWidth="1"/>
    <col min="15886" max="15886" width="13" style="1" customWidth="1"/>
    <col min="15887" max="15887" width="15.28515625" style="1" customWidth="1"/>
    <col min="15888" max="15888" width="15.85546875" style="1" customWidth="1"/>
    <col min="15889" max="15889" width="13.7109375" style="1" customWidth="1"/>
    <col min="15890" max="15890" width="15.140625" style="1" customWidth="1"/>
    <col min="15891" max="15891" width="11.85546875" style="1" customWidth="1"/>
    <col min="15892" max="15892" width="20" style="1" customWidth="1"/>
    <col min="15893" max="15893" width="16.42578125" style="1" customWidth="1"/>
    <col min="15894" max="15894" width="11.42578125" style="1"/>
    <col min="15895" max="15895" width="14.140625" style="1" customWidth="1"/>
    <col min="15896" max="15896" width="14.42578125" style="1" customWidth="1"/>
    <col min="15897" max="15897" width="11.7109375" style="1" customWidth="1"/>
    <col min="15898" max="15898" width="11.42578125" style="1"/>
    <col min="15899" max="15899" width="13.7109375" style="1" customWidth="1"/>
    <col min="15900" max="15900" width="15.42578125" style="1" customWidth="1"/>
    <col min="15901" max="15901" width="15.85546875" style="1" customWidth="1"/>
    <col min="15902" max="15902" width="15.7109375" style="1" customWidth="1"/>
    <col min="15903" max="15903" width="5" style="1" bestFit="1" customWidth="1"/>
    <col min="15904" max="15904" width="6.42578125" style="1" bestFit="1" customWidth="1"/>
    <col min="15905" max="15905" width="5.42578125" style="1" bestFit="1" customWidth="1"/>
    <col min="15906" max="15906" width="4.28515625" style="1" bestFit="1" customWidth="1"/>
    <col min="15907" max="15907" width="5" style="1" bestFit="1" customWidth="1"/>
    <col min="15908" max="15908" width="4.42578125" style="1" bestFit="1" customWidth="1"/>
    <col min="15909" max="15909" width="4.140625" style="1" bestFit="1" customWidth="1"/>
    <col min="15910" max="15910" width="5.85546875" style="1" bestFit="1" customWidth="1"/>
    <col min="15911" max="15911" width="9.140625" style="1" bestFit="1" customWidth="1"/>
    <col min="15912" max="15912" width="6.42578125" style="1" bestFit="1" customWidth="1"/>
    <col min="15913" max="15913" width="8.85546875" style="1" bestFit="1" customWidth="1"/>
    <col min="15914" max="15914" width="8.28515625" style="1" bestFit="1" customWidth="1"/>
    <col min="15915" max="16128" width="11.42578125" style="1"/>
    <col min="16129" max="16129" width="13.7109375" style="1" customWidth="1"/>
    <col min="16130" max="16131" width="13.140625" style="1" customWidth="1"/>
    <col min="16132" max="16132" width="13" style="1" customWidth="1"/>
    <col min="16133" max="16133" width="14" style="1" customWidth="1"/>
    <col min="16134" max="16134" width="12.42578125" style="1" customWidth="1"/>
    <col min="16135" max="16135" width="17.28515625" style="1" customWidth="1"/>
    <col min="16136" max="16136" width="14.140625" style="1" customWidth="1"/>
    <col min="16137" max="16137" width="15.42578125" style="1" customWidth="1"/>
    <col min="16138" max="16138" width="14.7109375" style="1" customWidth="1"/>
    <col min="16139" max="16139" width="12.85546875" style="1" customWidth="1"/>
    <col min="16140" max="16140" width="12.7109375" style="1" customWidth="1"/>
    <col min="16141" max="16141" width="12.140625" style="1" customWidth="1"/>
    <col min="16142" max="16142" width="13" style="1" customWidth="1"/>
    <col min="16143" max="16143" width="15.28515625" style="1" customWidth="1"/>
    <col min="16144" max="16144" width="15.85546875" style="1" customWidth="1"/>
    <col min="16145" max="16145" width="13.7109375" style="1" customWidth="1"/>
    <col min="16146" max="16146" width="15.140625" style="1" customWidth="1"/>
    <col min="16147" max="16147" width="11.85546875" style="1" customWidth="1"/>
    <col min="16148" max="16148" width="20" style="1" customWidth="1"/>
    <col min="16149" max="16149" width="16.42578125" style="1" customWidth="1"/>
    <col min="16150" max="16150" width="11.42578125" style="1"/>
    <col min="16151" max="16151" width="14.140625" style="1" customWidth="1"/>
    <col min="16152" max="16152" width="14.42578125" style="1" customWidth="1"/>
    <col min="16153" max="16153" width="11.7109375" style="1" customWidth="1"/>
    <col min="16154" max="16154" width="11.42578125" style="1"/>
    <col min="16155" max="16155" width="13.7109375" style="1" customWidth="1"/>
    <col min="16156" max="16156" width="15.42578125" style="1" customWidth="1"/>
    <col min="16157" max="16157" width="15.85546875" style="1" customWidth="1"/>
    <col min="16158" max="16158" width="15.7109375" style="1" customWidth="1"/>
    <col min="16159" max="16159" width="5" style="1" bestFit="1" customWidth="1"/>
    <col min="16160" max="16160" width="6.42578125" style="1" bestFit="1" customWidth="1"/>
    <col min="16161" max="16161" width="5.42578125" style="1" bestFit="1" customWidth="1"/>
    <col min="16162" max="16162" width="4.28515625" style="1" bestFit="1" customWidth="1"/>
    <col min="16163" max="16163" width="5" style="1" bestFit="1" customWidth="1"/>
    <col min="16164" max="16164" width="4.42578125" style="1" bestFit="1" customWidth="1"/>
    <col min="16165" max="16165" width="4.140625" style="1" bestFit="1" customWidth="1"/>
    <col min="16166" max="16166" width="5.85546875" style="1" bestFit="1" customWidth="1"/>
    <col min="16167" max="16167" width="9.140625" style="1" bestFit="1" customWidth="1"/>
    <col min="16168" max="16168" width="6.42578125" style="1" bestFit="1" customWidth="1"/>
    <col min="16169" max="16169" width="8.85546875" style="1" bestFit="1" customWidth="1"/>
    <col min="16170" max="16170" width="8.28515625" style="1" bestFit="1" customWidth="1"/>
    <col min="16171" max="16384" width="11.42578125" style="1"/>
  </cols>
  <sheetData>
    <row r="1" spans="1:43" x14ac:dyDescent="0.25">
      <c r="A1" s="605" t="s">
        <v>0</v>
      </c>
      <c r="B1" s="605"/>
      <c r="C1" s="605"/>
      <c r="D1" s="605"/>
      <c r="E1" s="605"/>
      <c r="F1" s="605"/>
      <c r="G1" s="605"/>
      <c r="H1" s="605"/>
      <c r="I1" s="605"/>
      <c r="J1" s="605"/>
      <c r="K1" s="605"/>
      <c r="L1" s="605"/>
      <c r="M1" s="605"/>
      <c r="N1" s="605"/>
      <c r="O1" s="605"/>
      <c r="P1" s="605"/>
    </row>
    <row r="2" spans="1:43" x14ac:dyDescent="0.25">
      <c r="A2" s="605" t="s">
        <v>1</v>
      </c>
      <c r="B2" s="605"/>
      <c r="C2" s="605"/>
      <c r="D2" s="605"/>
      <c r="E2" s="605"/>
      <c r="F2" s="605"/>
      <c r="G2" s="605"/>
      <c r="H2" s="605"/>
      <c r="I2" s="605"/>
      <c r="J2" s="605"/>
      <c r="K2" s="605"/>
      <c r="L2" s="605"/>
      <c r="M2" s="605"/>
      <c r="N2" s="605"/>
      <c r="O2" s="605"/>
      <c r="P2" s="605"/>
    </row>
    <row r="3" spans="1:43" x14ac:dyDescent="0.25">
      <c r="A3" s="605" t="s">
        <v>61</v>
      </c>
      <c r="B3" s="605"/>
      <c r="C3" s="605"/>
      <c r="D3" s="605"/>
      <c r="E3" s="605"/>
      <c r="F3" s="605"/>
      <c r="G3" s="605"/>
      <c r="H3" s="605"/>
      <c r="I3" s="605"/>
      <c r="J3" s="605"/>
      <c r="K3" s="605"/>
      <c r="L3" s="605"/>
      <c r="M3" s="605"/>
      <c r="N3" s="605"/>
      <c r="O3" s="605"/>
      <c r="P3" s="605"/>
    </row>
    <row r="4" spans="1:43" x14ac:dyDescent="0.25">
      <c r="A4" s="605">
        <v>2013</v>
      </c>
      <c r="B4" s="605"/>
      <c r="C4" s="605"/>
      <c r="D4" s="605"/>
      <c r="E4" s="605"/>
      <c r="F4" s="605"/>
      <c r="G4" s="605"/>
      <c r="H4" s="605"/>
      <c r="I4" s="605"/>
      <c r="J4" s="605"/>
      <c r="K4" s="605"/>
      <c r="L4" s="605"/>
      <c r="M4" s="605"/>
      <c r="N4" s="605"/>
      <c r="O4" s="605"/>
      <c r="P4" s="605"/>
    </row>
    <row r="5" spans="1:43" x14ac:dyDescent="0.25">
      <c r="A5" s="606" t="s">
        <v>4</v>
      </c>
      <c r="B5" s="606"/>
      <c r="C5" s="24" t="s">
        <v>2830</v>
      </c>
      <c r="D5" s="24"/>
      <c r="E5" s="24"/>
      <c r="F5" s="24"/>
      <c r="G5" s="24"/>
      <c r="H5" s="24"/>
      <c r="I5" s="25"/>
      <c r="J5" s="25"/>
      <c r="K5" s="24"/>
      <c r="L5" s="25"/>
      <c r="M5" s="25"/>
      <c r="N5" s="25"/>
      <c r="O5" s="25"/>
      <c r="P5" s="25"/>
      <c r="Q5" s="27"/>
      <c r="R5" s="27"/>
      <c r="S5" s="27"/>
      <c r="T5" s="27"/>
      <c r="U5" s="27"/>
      <c r="V5" s="27"/>
      <c r="W5" s="27"/>
      <c r="X5" s="27"/>
      <c r="Y5" s="27"/>
      <c r="Z5" s="27"/>
      <c r="AA5" s="27"/>
      <c r="AB5" s="27"/>
      <c r="AC5" s="27"/>
      <c r="AD5" s="27"/>
    </row>
    <row r="6" spans="1:43" x14ac:dyDescent="0.25">
      <c r="I6" s="155">
        <f>I38-H38</f>
        <v>3567742093</v>
      </c>
    </row>
    <row r="7" spans="1:43" s="29" customFormat="1" ht="24" customHeight="1"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3" ht="36"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3" ht="124.5" customHeight="1" x14ac:dyDescent="0.25">
      <c r="A9" s="34" t="s">
        <v>55</v>
      </c>
      <c r="B9" s="34" t="s">
        <v>354</v>
      </c>
      <c r="C9" s="34" t="s">
        <v>2285</v>
      </c>
      <c r="D9" s="34">
        <v>241310000</v>
      </c>
      <c r="E9" s="74" t="s">
        <v>2832</v>
      </c>
      <c r="F9" s="34" t="s">
        <v>2833</v>
      </c>
      <c r="G9" s="34" t="s">
        <v>2834</v>
      </c>
      <c r="H9" s="36">
        <v>30076331435</v>
      </c>
      <c r="I9" s="464">
        <v>33215122464</v>
      </c>
      <c r="J9" s="36">
        <v>45398700101</v>
      </c>
      <c r="K9" s="36">
        <v>0</v>
      </c>
      <c r="L9" s="36"/>
      <c r="M9" s="36"/>
      <c r="N9" s="36">
        <v>30076331435</v>
      </c>
      <c r="O9" s="36"/>
      <c r="P9" s="36"/>
      <c r="Q9" s="36">
        <v>45007528170</v>
      </c>
      <c r="R9" s="36">
        <v>13591000000</v>
      </c>
      <c r="S9" s="36">
        <f>Q9+R9</f>
        <v>58598528170</v>
      </c>
      <c r="T9" s="37">
        <v>0</v>
      </c>
      <c r="U9" s="37">
        <v>0</v>
      </c>
      <c r="V9" s="37">
        <v>0</v>
      </c>
      <c r="W9" s="34"/>
      <c r="X9" s="34"/>
      <c r="Y9" s="34"/>
      <c r="Z9" s="34"/>
      <c r="AA9" s="34">
        <v>0</v>
      </c>
      <c r="AB9" s="34"/>
      <c r="AC9" s="34"/>
      <c r="AD9" s="10" t="s">
        <v>2888</v>
      </c>
      <c r="AE9" s="124">
        <v>0</v>
      </c>
      <c r="AF9" s="124">
        <v>0</v>
      </c>
      <c r="AG9" s="124">
        <v>0</v>
      </c>
      <c r="AH9" s="124">
        <v>0</v>
      </c>
      <c r="AI9" s="124">
        <v>0</v>
      </c>
      <c r="AJ9" s="124">
        <v>0</v>
      </c>
      <c r="AK9" s="124">
        <v>0</v>
      </c>
      <c r="AL9" s="124">
        <v>0</v>
      </c>
      <c r="AM9" s="124">
        <v>0</v>
      </c>
      <c r="AN9" s="124">
        <v>0</v>
      </c>
      <c r="AO9" s="124">
        <v>0</v>
      </c>
      <c r="AP9" s="124">
        <v>0</v>
      </c>
      <c r="AQ9" s="465"/>
    </row>
    <row r="10" spans="1:43" ht="92.25" customHeight="1" x14ac:dyDescent="0.25">
      <c r="A10" s="34">
        <v>0</v>
      </c>
      <c r="B10" s="34">
        <v>0</v>
      </c>
      <c r="C10" s="34">
        <v>0</v>
      </c>
      <c r="D10" s="34">
        <v>0</v>
      </c>
      <c r="E10" s="74">
        <v>0</v>
      </c>
      <c r="F10" s="34">
        <v>0</v>
      </c>
      <c r="G10" s="34">
        <v>0</v>
      </c>
      <c r="H10" s="36">
        <v>0</v>
      </c>
      <c r="I10" s="466"/>
      <c r="J10" s="39"/>
      <c r="K10" s="36">
        <v>0</v>
      </c>
      <c r="L10" s="39"/>
      <c r="M10" s="39"/>
      <c r="N10" s="36">
        <v>0</v>
      </c>
      <c r="O10" s="39">
        <v>0</v>
      </c>
      <c r="P10" s="39">
        <v>0</v>
      </c>
      <c r="Q10" s="39"/>
      <c r="R10" s="39"/>
      <c r="S10" s="36">
        <f t="shared" ref="S10:S41" si="0">Q10+R10</f>
        <v>0</v>
      </c>
      <c r="T10" s="37" t="s">
        <v>2889</v>
      </c>
      <c r="U10" s="37" t="s">
        <v>2890</v>
      </c>
      <c r="V10" s="37">
        <v>10</v>
      </c>
      <c r="W10" s="10">
        <v>10</v>
      </c>
      <c r="X10" s="10"/>
      <c r="Y10" s="10">
        <v>10</v>
      </c>
      <c r="Z10" s="10">
        <v>10</v>
      </c>
      <c r="AA10" s="34">
        <v>330</v>
      </c>
      <c r="AB10" s="10">
        <v>150</v>
      </c>
      <c r="AC10" s="10">
        <v>330</v>
      </c>
      <c r="AD10" s="10" t="s">
        <v>2891</v>
      </c>
      <c r="AE10" s="124">
        <v>0</v>
      </c>
      <c r="AF10" s="124" t="s">
        <v>102</v>
      </c>
      <c r="AG10" s="124" t="s">
        <v>102</v>
      </c>
      <c r="AH10" s="124" t="s">
        <v>102</v>
      </c>
      <c r="AI10" s="124" t="s">
        <v>102</v>
      </c>
      <c r="AJ10" s="124" t="s">
        <v>102</v>
      </c>
      <c r="AK10" s="124" t="s">
        <v>102</v>
      </c>
      <c r="AL10" s="124" t="s">
        <v>102</v>
      </c>
      <c r="AM10" s="124" t="s">
        <v>102</v>
      </c>
      <c r="AN10" s="124" t="s">
        <v>102</v>
      </c>
      <c r="AO10" s="124" t="s">
        <v>102</v>
      </c>
      <c r="AP10" s="124" t="s">
        <v>102</v>
      </c>
      <c r="AQ10" s="465"/>
    </row>
    <row r="11" spans="1:43" ht="70.5" customHeight="1" x14ac:dyDescent="0.25">
      <c r="A11" s="34">
        <v>0</v>
      </c>
      <c r="B11" s="34">
        <v>0</v>
      </c>
      <c r="C11" s="34">
        <v>0</v>
      </c>
      <c r="D11" s="34">
        <v>0</v>
      </c>
      <c r="E11" s="74">
        <v>0</v>
      </c>
      <c r="F11" s="34">
        <v>0</v>
      </c>
      <c r="G11" s="34">
        <v>0</v>
      </c>
      <c r="H11" s="36">
        <v>0</v>
      </c>
      <c r="I11" s="466"/>
      <c r="J11" s="39"/>
      <c r="K11" s="36">
        <v>0</v>
      </c>
      <c r="L11" s="39"/>
      <c r="M11" s="39"/>
      <c r="N11" s="36">
        <v>0</v>
      </c>
      <c r="O11" s="39">
        <v>0</v>
      </c>
      <c r="P11" s="39">
        <v>0</v>
      </c>
      <c r="Q11" s="39"/>
      <c r="R11" s="39"/>
      <c r="S11" s="36">
        <f t="shared" si="0"/>
        <v>0</v>
      </c>
      <c r="T11" s="37" t="s">
        <v>2892</v>
      </c>
      <c r="U11" s="37" t="s">
        <v>941</v>
      </c>
      <c r="V11" s="37">
        <v>3</v>
      </c>
      <c r="W11" s="10">
        <v>0</v>
      </c>
      <c r="X11" s="10"/>
      <c r="Y11" s="10">
        <v>3</v>
      </c>
      <c r="Z11" s="10">
        <v>5</v>
      </c>
      <c r="AA11" s="34">
        <v>240</v>
      </c>
      <c r="AB11" s="10">
        <v>120</v>
      </c>
      <c r="AC11" s="10">
        <v>180</v>
      </c>
      <c r="AD11" s="10" t="s">
        <v>2893</v>
      </c>
      <c r="AE11" s="124">
        <v>0</v>
      </c>
      <c r="AF11" s="124">
        <v>0</v>
      </c>
      <c r="AG11" s="124">
        <v>0</v>
      </c>
      <c r="AH11" s="124">
        <v>0</v>
      </c>
      <c r="AI11" s="124" t="s">
        <v>102</v>
      </c>
      <c r="AJ11" s="124" t="s">
        <v>102</v>
      </c>
      <c r="AK11" s="124" t="s">
        <v>102</v>
      </c>
      <c r="AL11" s="124" t="s">
        <v>102</v>
      </c>
      <c r="AM11" s="124" t="s">
        <v>102</v>
      </c>
      <c r="AN11" s="124" t="s">
        <v>102</v>
      </c>
      <c r="AO11" s="124" t="s">
        <v>102</v>
      </c>
      <c r="AP11" s="124" t="s">
        <v>102</v>
      </c>
      <c r="AQ11" s="465"/>
    </row>
    <row r="12" spans="1:43" ht="69" customHeight="1" x14ac:dyDescent="0.25">
      <c r="A12" s="34">
        <v>0</v>
      </c>
      <c r="B12" s="34">
        <v>0</v>
      </c>
      <c r="C12" s="34">
        <v>0</v>
      </c>
      <c r="D12" s="34">
        <v>0</v>
      </c>
      <c r="E12" s="74">
        <v>0</v>
      </c>
      <c r="F12" s="34">
        <v>0</v>
      </c>
      <c r="G12" s="34">
        <v>0</v>
      </c>
      <c r="H12" s="36">
        <v>0</v>
      </c>
      <c r="I12" s="466"/>
      <c r="J12" s="39"/>
      <c r="K12" s="36">
        <v>0</v>
      </c>
      <c r="L12" s="39"/>
      <c r="M12" s="39"/>
      <c r="N12" s="36">
        <v>0</v>
      </c>
      <c r="O12" s="39">
        <v>0</v>
      </c>
      <c r="P12" s="39">
        <v>0</v>
      </c>
      <c r="Q12" s="39"/>
      <c r="R12" s="39"/>
      <c r="S12" s="36">
        <f t="shared" si="0"/>
        <v>0</v>
      </c>
      <c r="T12" s="37" t="s">
        <v>2894</v>
      </c>
      <c r="U12" s="37" t="s">
        <v>941</v>
      </c>
      <c r="V12" s="37">
        <v>5</v>
      </c>
      <c r="W12" s="10"/>
      <c r="X12" s="10"/>
      <c r="Y12" s="10">
        <v>5</v>
      </c>
      <c r="Z12" s="10">
        <v>5</v>
      </c>
      <c r="AA12" s="34">
        <v>240</v>
      </c>
      <c r="AB12" s="10">
        <v>120</v>
      </c>
      <c r="AC12" s="10">
        <v>180</v>
      </c>
      <c r="AD12" s="10" t="s">
        <v>2895</v>
      </c>
      <c r="AE12" s="124">
        <v>0</v>
      </c>
      <c r="AF12" s="124">
        <v>0</v>
      </c>
      <c r="AG12" s="124">
        <v>0</v>
      </c>
      <c r="AH12" s="124">
        <v>0</v>
      </c>
      <c r="AI12" s="124" t="s">
        <v>102</v>
      </c>
      <c r="AJ12" s="124" t="s">
        <v>102</v>
      </c>
      <c r="AK12" s="124" t="s">
        <v>102</v>
      </c>
      <c r="AL12" s="124" t="s">
        <v>102</v>
      </c>
      <c r="AM12" s="124" t="s">
        <v>102</v>
      </c>
      <c r="AN12" s="124" t="s">
        <v>102</v>
      </c>
      <c r="AO12" s="124" t="s">
        <v>102</v>
      </c>
      <c r="AP12" s="124" t="s">
        <v>102</v>
      </c>
      <c r="AQ12" s="465"/>
    </row>
    <row r="13" spans="1:43" ht="48" x14ac:dyDescent="0.25">
      <c r="A13" s="34">
        <v>0</v>
      </c>
      <c r="B13" s="34">
        <v>0</v>
      </c>
      <c r="C13" s="34">
        <v>0</v>
      </c>
      <c r="D13" s="34">
        <v>0</v>
      </c>
      <c r="E13" s="74">
        <v>0</v>
      </c>
      <c r="F13" s="34">
        <v>0</v>
      </c>
      <c r="G13" s="34">
        <v>0</v>
      </c>
      <c r="H13" s="36">
        <v>0</v>
      </c>
      <c r="I13" s="466"/>
      <c r="J13" s="39"/>
      <c r="K13" s="36">
        <v>0</v>
      </c>
      <c r="L13" s="39"/>
      <c r="M13" s="39"/>
      <c r="N13" s="36">
        <v>0</v>
      </c>
      <c r="O13" s="39">
        <v>0</v>
      </c>
      <c r="P13" s="39">
        <v>0</v>
      </c>
      <c r="Q13" s="39"/>
      <c r="R13" s="39"/>
      <c r="S13" s="36">
        <f t="shared" si="0"/>
        <v>0</v>
      </c>
      <c r="T13" s="37" t="s">
        <v>2896</v>
      </c>
      <c r="U13" s="37" t="s">
        <v>2897</v>
      </c>
      <c r="V13" s="37">
        <v>16</v>
      </c>
      <c r="W13" s="10"/>
      <c r="X13" s="10"/>
      <c r="Y13" s="10"/>
      <c r="Z13" s="10">
        <v>16</v>
      </c>
      <c r="AA13" s="34">
        <v>240</v>
      </c>
      <c r="AB13" s="10">
        <v>160</v>
      </c>
      <c r="AC13" s="10">
        <v>180</v>
      </c>
      <c r="AD13" s="10"/>
      <c r="AE13" s="124">
        <v>0</v>
      </c>
      <c r="AF13" s="124">
        <v>0</v>
      </c>
      <c r="AG13" s="124">
        <v>0</v>
      </c>
      <c r="AH13" s="124">
        <v>0</v>
      </c>
      <c r="AI13" s="124" t="s">
        <v>102</v>
      </c>
      <c r="AJ13" s="124" t="s">
        <v>102</v>
      </c>
      <c r="AK13" s="124" t="s">
        <v>102</v>
      </c>
      <c r="AL13" s="124" t="s">
        <v>102</v>
      </c>
      <c r="AM13" s="124" t="s">
        <v>102</v>
      </c>
      <c r="AN13" s="124" t="s">
        <v>102</v>
      </c>
      <c r="AO13" s="124" t="s">
        <v>102</v>
      </c>
      <c r="AP13" s="124" t="s">
        <v>102</v>
      </c>
      <c r="AQ13" s="465"/>
    </row>
    <row r="14" spans="1:43" ht="180" x14ac:dyDescent="0.25">
      <c r="A14" s="34" t="s">
        <v>55</v>
      </c>
      <c r="B14" s="34" t="s">
        <v>354</v>
      </c>
      <c r="C14" s="34" t="s">
        <v>2285</v>
      </c>
      <c r="D14" s="34">
        <v>241310000</v>
      </c>
      <c r="E14" s="74" t="s">
        <v>2839</v>
      </c>
      <c r="F14" s="34" t="s">
        <v>2840</v>
      </c>
      <c r="G14" s="34" t="s">
        <v>2841</v>
      </c>
      <c r="H14" s="36">
        <v>400000000</v>
      </c>
      <c r="I14" s="466">
        <v>0</v>
      </c>
      <c r="J14" s="39">
        <v>391985094</v>
      </c>
      <c r="K14" s="36">
        <v>0</v>
      </c>
      <c r="L14" s="39"/>
      <c r="M14" s="39"/>
      <c r="N14" s="36">
        <v>400000000</v>
      </c>
      <c r="O14" s="39">
        <v>0</v>
      </c>
      <c r="P14" s="39">
        <v>0</v>
      </c>
      <c r="Q14" s="39">
        <v>391905509</v>
      </c>
      <c r="R14" s="255">
        <v>379858036</v>
      </c>
      <c r="S14" s="36">
        <f t="shared" si="0"/>
        <v>771763545</v>
      </c>
      <c r="T14" s="37">
        <v>0</v>
      </c>
      <c r="U14" s="37">
        <v>0</v>
      </c>
      <c r="V14" s="37">
        <v>0</v>
      </c>
      <c r="W14" s="10"/>
      <c r="X14" s="10"/>
      <c r="Y14" s="10"/>
      <c r="Z14" s="10"/>
      <c r="AA14" s="34">
        <v>0</v>
      </c>
      <c r="AB14" s="10"/>
      <c r="AC14" s="10"/>
      <c r="AD14" s="10" t="s">
        <v>2898</v>
      </c>
      <c r="AE14" s="124">
        <v>0</v>
      </c>
      <c r="AF14" s="124">
        <v>0</v>
      </c>
      <c r="AG14" s="124">
        <v>0</v>
      </c>
      <c r="AH14" s="124">
        <v>0</v>
      </c>
      <c r="AI14" s="124">
        <v>0</v>
      </c>
      <c r="AJ14" s="124">
        <v>0</v>
      </c>
      <c r="AK14" s="124">
        <v>0</v>
      </c>
      <c r="AL14" s="124">
        <v>0</v>
      </c>
      <c r="AM14" s="124">
        <v>0</v>
      </c>
      <c r="AN14" s="124">
        <v>0</v>
      </c>
      <c r="AO14" s="124">
        <v>0</v>
      </c>
      <c r="AP14" s="124">
        <v>0</v>
      </c>
      <c r="AQ14" s="465"/>
    </row>
    <row r="15" spans="1:43" ht="330" x14ac:dyDescent="0.25">
      <c r="A15" s="34">
        <v>0</v>
      </c>
      <c r="B15" s="34">
        <v>0</v>
      </c>
      <c r="C15" s="34">
        <v>0</v>
      </c>
      <c r="D15" s="34">
        <v>0</v>
      </c>
      <c r="E15" s="74">
        <v>0</v>
      </c>
      <c r="F15" s="34">
        <v>0</v>
      </c>
      <c r="G15" s="34">
        <v>0</v>
      </c>
      <c r="H15" s="36">
        <v>0</v>
      </c>
      <c r="I15" s="466"/>
      <c r="J15" s="39"/>
      <c r="K15" s="36">
        <v>0</v>
      </c>
      <c r="L15" s="39"/>
      <c r="M15" s="39"/>
      <c r="N15" s="36">
        <v>0</v>
      </c>
      <c r="O15" s="39">
        <v>0</v>
      </c>
      <c r="P15" s="39">
        <v>0</v>
      </c>
      <c r="Q15" s="39"/>
      <c r="R15" s="39"/>
      <c r="S15" s="36">
        <f t="shared" si="0"/>
        <v>0</v>
      </c>
      <c r="T15" s="37" t="s">
        <v>2899</v>
      </c>
      <c r="U15" s="37" t="s">
        <v>941</v>
      </c>
      <c r="V15" s="37">
        <v>8</v>
      </c>
      <c r="W15" s="10">
        <v>6</v>
      </c>
      <c r="X15" s="10"/>
      <c r="Y15" s="10">
        <v>6</v>
      </c>
      <c r="Z15" s="18">
        <v>14</v>
      </c>
      <c r="AA15" s="34">
        <v>60</v>
      </c>
      <c r="AB15" s="10">
        <v>60</v>
      </c>
      <c r="AC15" s="10">
        <v>90</v>
      </c>
      <c r="AD15" s="10" t="s">
        <v>2900</v>
      </c>
      <c r="AE15" s="124">
        <v>0</v>
      </c>
      <c r="AF15" s="124">
        <v>0</v>
      </c>
      <c r="AG15" s="124">
        <v>0</v>
      </c>
      <c r="AH15" s="124">
        <v>0</v>
      </c>
      <c r="AI15" s="124" t="s">
        <v>102</v>
      </c>
      <c r="AJ15" s="124" t="s">
        <v>102</v>
      </c>
      <c r="AK15" s="124">
        <v>0</v>
      </c>
      <c r="AL15" s="124">
        <v>0</v>
      </c>
      <c r="AM15" s="124">
        <v>0</v>
      </c>
      <c r="AN15" s="124">
        <v>0</v>
      </c>
      <c r="AO15" s="124">
        <v>0</v>
      </c>
      <c r="AP15" s="124">
        <v>0</v>
      </c>
      <c r="AQ15" s="465"/>
    </row>
    <row r="16" spans="1:43" ht="48" x14ac:dyDescent="0.25">
      <c r="A16" s="34">
        <v>0</v>
      </c>
      <c r="B16" s="34">
        <v>0</v>
      </c>
      <c r="C16" s="34">
        <v>0</v>
      </c>
      <c r="D16" s="34">
        <v>0</v>
      </c>
      <c r="E16" s="74">
        <v>0</v>
      </c>
      <c r="F16" s="34">
        <v>0</v>
      </c>
      <c r="G16" s="34">
        <v>0</v>
      </c>
      <c r="H16" s="36">
        <v>0</v>
      </c>
      <c r="I16" s="466"/>
      <c r="J16" s="39"/>
      <c r="K16" s="36">
        <v>0</v>
      </c>
      <c r="L16" s="39"/>
      <c r="M16" s="39"/>
      <c r="N16" s="36">
        <v>0</v>
      </c>
      <c r="O16" s="39">
        <v>0</v>
      </c>
      <c r="P16" s="39">
        <v>0</v>
      </c>
      <c r="Q16" s="39"/>
      <c r="R16" s="39"/>
      <c r="S16" s="36">
        <f t="shared" si="0"/>
        <v>0</v>
      </c>
      <c r="T16" s="37" t="s">
        <v>2901</v>
      </c>
      <c r="U16" s="37" t="s">
        <v>941</v>
      </c>
      <c r="V16" s="37">
        <v>5</v>
      </c>
      <c r="W16" s="10">
        <v>0</v>
      </c>
      <c r="X16" s="10"/>
      <c r="Y16" s="10">
        <v>0</v>
      </c>
      <c r="Z16" s="18">
        <v>8</v>
      </c>
      <c r="AA16" s="34">
        <v>60</v>
      </c>
      <c r="AB16" s="10">
        <v>60</v>
      </c>
      <c r="AC16" s="10">
        <v>60</v>
      </c>
      <c r="AD16" s="10"/>
      <c r="AE16" s="124">
        <v>0</v>
      </c>
      <c r="AF16" s="124">
        <v>0</v>
      </c>
      <c r="AG16" s="124">
        <v>0</v>
      </c>
      <c r="AH16" s="124">
        <v>0</v>
      </c>
      <c r="AI16" s="124" t="s">
        <v>102</v>
      </c>
      <c r="AJ16" s="124" t="s">
        <v>102</v>
      </c>
      <c r="AK16" s="124">
        <v>0</v>
      </c>
      <c r="AL16" s="124">
        <v>0</v>
      </c>
      <c r="AM16" s="124">
        <v>0</v>
      </c>
      <c r="AN16" s="124">
        <v>0</v>
      </c>
      <c r="AO16" s="124">
        <v>0</v>
      </c>
      <c r="AP16" s="124">
        <v>0</v>
      </c>
      <c r="AQ16" s="465"/>
    </row>
    <row r="17" spans="1:43" ht="72" x14ac:dyDescent="0.25">
      <c r="A17" s="34" t="s">
        <v>55</v>
      </c>
      <c r="B17" s="34" t="s">
        <v>354</v>
      </c>
      <c r="C17" s="34" t="s">
        <v>2285</v>
      </c>
      <c r="D17" s="34">
        <v>241310000</v>
      </c>
      <c r="E17" s="74" t="s">
        <v>2844</v>
      </c>
      <c r="F17" s="34" t="s">
        <v>2845</v>
      </c>
      <c r="G17" s="34" t="s">
        <v>2846</v>
      </c>
      <c r="H17" s="36">
        <v>2287520000</v>
      </c>
      <c r="I17" s="36">
        <v>4161486287</v>
      </c>
      <c r="J17" s="39">
        <v>5017194205</v>
      </c>
      <c r="K17" s="36">
        <v>0</v>
      </c>
      <c r="L17" s="39"/>
      <c r="M17" s="39"/>
      <c r="N17" s="36">
        <f>H17+K17</f>
        <v>2287520000</v>
      </c>
      <c r="O17" s="36">
        <f>I17+L17</f>
        <v>4161486287</v>
      </c>
      <c r="P17" s="36">
        <f>J17+M17</f>
        <v>5017194205</v>
      </c>
      <c r="Q17" s="36">
        <v>4514562593</v>
      </c>
      <c r="R17" s="36"/>
      <c r="S17" s="36">
        <f t="shared" si="0"/>
        <v>4514562593</v>
      </c>
      <c r="T17" s="37">
        <v>0</v>
      </c>
      <c r="U17" s="37">
        <v>0</v>
      </c>
      <c r="V17" s="37">
        <v>0</v>
      </c>
      <c r="W17" s="10"/>
      <c r="X17" s="10"/>
      <c r="Y17" s="10"/>
      <c r="Z17" s="10"/>
      <c r="AA17" s="34">
        <v>0</v>
      </c>
      <c r="AB17" s="10"/>
      <c r="AC17" s="10"/>
      <c r="AD17" s="10"/>
      <c r="AE17" s="124">
        <v>0</v>
      </c>
      <c r="AF17" s="124">
        <v>0</v>
      </c>
      <c r="AG17" s="124">
        <v>0</v>
      </c>
      <c r="AH17" s="124">
        <v>0</v>
      </c>
      <c r="AI17" s="124">
        <v>0</v>
      </c>
      <c r="AJ17" s="124">
        <v>0</v>
      </c>
      <c r="AK17" s="124">
        <v>0</v>
      </c>
      <c r="AL17" s="124">
        <v>0</v>
      </c>
      <c r="AM17" s="124">
        <v>0</v>
      </c>
      <c r="AN17" s="124">
        <v>0</v>
      </c>
      <c r="AO17" s="124">
        <v>0</v>
      </c>
      <c r="AP17" s="124">
        <v>0</v>
      </c>
      <c r="AQ17" s="465"/>
    </row>
    <row r="18" spans="1:43" ht="60" x14ac:dyDescent="0.25">
      <c r="A18" s="34">
        <v>0</v>
      </c>
      <c r="B18" s="34">
        <v>0</v>
      </c>
      <c r="C18" s="34">
        <v>0</v>
      </c>
      <c r="D18" s="34">
        <v>0</v>
      </c>
      <c r="E18" s="74">
        <v>0</v>
      </c>
      <c r="F18" s="34">
        <v>0</v>
      </c>
      <c r="G18" s="34">
        <v>0</v>
      </c>
      <c r="H18" s="36">
        <v>0</v>
      </c>
      <c r="I18" s="466"/>
      <c r="J18" s="39"/>
      <c r="K18" s="36">
        <v>0</v>
      </c>
      <c r="L18" s="39"/>
      <c r="M18" s="39"/>
      <c r="N18" s="36">
        <f t="shared" ref="N18:P41" si="1">H18+K18</f>
        <v>0</v>
      </c>
      <c r="O18" s="36">
        <f t="shared" si="1"/>
        <v>0</v>
      </c>
      <c r="P18" s="36">
        <f t="shared" si="1"/>
        <v>0</v>
      </c>
      <c r="Q18" s="36"/>
      <c r="R18" s="36"/>
      <c r="S18" s="36">
        <f t="shared" si="0"/>
        <v>0</v>
      </c>
      <c r="T18" s="37" t="s">
        <v>2902</v>
      </c>
      <c r="U18" s="37" t="s">
        <v>941</v>
      </c>
      <c r="V18" s="37">
        <v>14</v>
      </c>
      <c r="W18" s="10"/>
      <c r="X18" s="10"/>
      <c r="Y18" s="10"/>
      <c r="Z18" s="10">
        <v>14</v>
      </c>
      <c r="AA18" s="34">
        <v>240</v>
      </c>
      <c r="AB18" s="10">
        <v>160</v>
      </c>
      <c r="AC18" s="10">
        <v>180</v>
      </c>
      <c r="AD18" s="10" t="s">
        <v>2903</v>
      </c>
      <c r="AE18" s="124">
        <v>0</v>
      </c>
      <c r="AF18" s="124">
        <v>0</v>
      </c>
      <c r="AG18" s="124">
        <v>0</v>
      </c>
      <c r="AH18" s="124">
        <v>0</v>
      </c>
      <c r="AI18" s="124" t="s">
        <v>102</v>
      </c>
      <c r="AJ18" s="124" t="s">
        <v>102</v>
      </c>
      <c r="AK18" s="124" t="s">
        <v>102</v>
      </c>
      <c r="AL18" s="124" t="s">
        <v>102</v>
      </c>
      <c r="AM18" s="124" t="s">
        <v>102</v>
      </c>
      <c r="AN18" s="124" t="s">
        <v>102</v>
      </c>
      <c r="AO18" s="124" t="s">
        <v>102</v>
      </c>
      <c r="AP18" s="124" t="s">
        <v>102</v>
      </c>
      <c r="AQ18" s="465"/>
    </row>
    <row r="19" spans="1:43" ht="150" x14ac:dyDescent="0.25">
      <c r="A19" s="34" t="s">
        <v>55</v>
      </c>
      <c r="B19" s="34" t="s">
        <v>354</v>
      </c>
      <c r="C19" s="34" t="s">
        <v>2285</v>
      </c>
      <c r="D19" s="34">
        <v>241310000</v>
      </c>
      <c r="E19" s="74" t="s">
        <v>2851</v>
      </c>
      <c r="F19" s="34" t="s">
        <v>2852</v>
      </c>
      <c r="G19" s="34" t="s">
        <v>2853</v>
      </c>
      <c r="H19" s="36">
        <v>142860000</v>
      </c>
      <c r="I19" s="466">
        <v>0</v>
      </c>
      <c r="J19" s="39">
        <v>142860000</v>
      </c>
      <c r="K19" s="36">
        <v>0</v>
      </c>
      <c r="L19" s="39"/>
      <c r="M19" s="39"/>
      <c r="N19" s="36">
        <f t="shared" si="1"/>
        <v>142860000</v>
      </c>
      <c r="O19" s="36">
        <f t="shared" si="1"/>
        <v>0</v>
      </c>
      <c r="P19" s="36">
        <f t="shared" si="1"/>
        <v>142860000</v>
      </c>
      <c r="Q19" s="36">
        <v>142860000</v>
      </c>
      <c r="R19" s="36">
        <v>1000035960</v>
      </c>
      <c r="S19" s="36">
        <f t="shared" si="0"/>
        <v>1142895960</v>
      </c>
      <c r="T19" s="37">
        <v>0</v>
      </c>
      <c r="U19" s="37">
        <v>0</v>
      </c>
      <c r="V19" s="37">
        <v>0</v>
      </c>
      <c r="W19" s="10"/>
      <c r="X19" s="10"/>
      <c r="Y19" s="10"/>
      <c r="Z19" s="10"/>
      <c r="AA19" s="34">
        <v>0</v>
      </c>
      <c r="AB19" s="10"/>
      <c r="AC19" s="10"/>
      <c r="AD19" s="10" t="s">
        <v>2904</v>
      </c>
      <c r="AE19" s="124">
        <v>0</v>
      </c>
      <c r="AF19" s="124">
        <v>0</v>
      </c>
      <c r="AG19" s="124">
        <v>0</v>
      </c>
      <c r="AH19" s="124">
        <v>0</v>
      </c>
      <c r="AI19" s="124">
        <v>0</v>
      </c>
      <c r="AJ19" s="124">
        <v>0</v>
      </c>
      <c r="AK19" s="124">
        <v>0</v>
      </c>
      <c r="AL19" s="124">
        <v>0</v>
      </c>
      <c r="AM19" s="124">
        <v>0</v>
      </c>
      <c r="AN19" s="124">
        <v>0</v>
      </c>
      <c r="AO19" s="124">
        <v>0</v>
      </c>
      <c r="AP19" s="124">
        <v>0</v>
      </c>
      <c r="AQ19" s="465"/>
    </row>
    <row r="20" spans="1:43" ht="150" x14ac:dyDescent="0.25">
      <c r="A20" s="34">
        <v>0</v>
      </c>
      <c r="B20" s="34">
        <v>0</v>
      </c>
      <c r="C20" s="34">
        <v>0</v>
      </c>
      <c r="D20" s="34">
        <v>0</v>
      </c>
      <c r="E20" s="74">
        <v>0</v>
      </c>
      <c r="F20" s="34">
        <v>0</v>
      </c>
      <c r="G20" s="34">
        <v>0</v>
      </c>
      <c r="H20" s="36">
        <v>0</v>
      </c>
      <c r="I20" s="466"/>
      <c r="J20" s="39"/>
      <c r="K20" s="36">
        <v>0</v>
      </c>
      <c r="L20" s="39"/>
      <c r="M20" s="39"/>
      <c r="N20" s="36">
        <f t="shared" si="1"/>
        <v>0</v>
      </c>
      <c r="O20" s="36">
        <f t="shared" si="1"/>
        <v>0</v>
      </c>
      <c r="P20" s="36">
        <f t="shared" si="1"/>
        <v>0</v>
      </c>
      <c r="Q20" s="36"/>
      <c r="R20" s="36"/>
      <c r="S20" s="36">
        <f t="shared" si="0"/>
        <v>0</v>
      </c>
      <c r="T20" s="37" t="s">
        <v>2905</v>
      </c>
      <c r="U20" s="37" t="s">
        <v>2906</v>
      </c>
      <c r="V20" s="37">
        <v>80</v>
      </c>
      <c r="W20" s="10">
        <v>68</v>
      </c>
      <c r="X20" s="10"/>
      <c r="Y20" s="10">
        <v>68</v>
      </c>
      <c r="Z20" s="18">
        <v>81</v>
      </c>
      <c r="AA20" s="34">
        <v>180</v>
      </c>
      <c r="AB20" s="10">
        <v>60</v>
      </c>
      <c r="AC20" s="10">
        <v>180</v>
      </c>
      <c r="AD20" s="10" t="s">
        <v>2907</v>
      </c>
      <c r="AE20" s="124">
        <v>0</v>
      </c>
      <c r="AF20" s="124">
        <v>0</v>
      </c>
      <c r="AG20" s="124">
        <v>0</v>
      </c>
      <c r="AH20" s="124">
        <v>0</v>
      </c>
      <c r="AI20" s="124">
        <v>0</v>
      </c>
      <c r="AJ20" s="124" t="s">
        <v>102</v>
      </c>
      <c r="AK20" s="124" t="s">
        <v>102</v>
      </c>
      <c r="AL20" s="124" t="s">
        <v>102</v>
      </c>
      <c r="AM20" s="124" t="s">
        <v>102</v>
      </c>
      <c r="AN20" s="124" t="s">
        <v>102</v>
      </c>
      <c r="AO20" s="124" t="s">
        <v>102</v>
      </c>
      <c r="AP20" s="124" t="s">
        <v>102</v>
      </c>
      <c r="AQ20" s="465"/>
    </row>
    <row r="21" spans="1:43" ht="132" x14ac:dyDescent="0.25">
      <c r="A21" s="34" t="s">
        <v>55</v>
      </c>
      <c r="B21" s="34" t="s">
        <v>354</v>
      </c>
      <c r="C21" s="34" t="s">
        <v>2285</v>
      </c>
      <c r="D21" s="34">
        <v>241310000</v>
      </c>
      <c r="E21" s="74" t="s">
        <v>2856</v>
      </c>
      <c r="F21" s="34">
        <v>32240001</v>
      </c>
      <c r="G21" s="34" t="s">
        <v>2857</v>
      </c>
      <c r="H21" s="36">
        <v>581459000</v>
      </c>
      <c r="I21" s="36">
        <v>1275856046</v>
      </c>
      <c r="J21" s="39">
        <v>20895459</v>
      </c>
      <c r="K21" s="36">
        <v>0</v>
      </c>
      <c r="L21" s="39"/>
      <c r="M21" s="39"/>
      <c r="N21" s="36">
        <f t="shared" si="1"/>
        <v>581459000</v>
      </c>
      <c r="O21" s="36">
        <f t="shared" si="1"/>
        <v>1275856046</v>
      </c>
      <c r="P21" s="36">
        <f t="shared" si="1"/>
        <v>20895459</v>
      </c>
      <c r="Q21" s="36">
        <v>0</v>
      </c>
      <c r="R21" s="36"/>
      <c r="S21" s="36">
        <f t="shared" si="0"/>
        <v>0</v>
      </c>
      <c r="T21" s="37">
        <v>0</v>
      </c>
      <c r="U21" s="37">
        <v>0</v>
      </c>
      <c r="V21" s="37">
        <v>0</v>
      </c>
      <c r="W21" s="10"/>
      <c r="X21" s="10"/>
      <c r="Y21" s="10"/>
      <c r="Z21" s="10"/>
      <c r="AA21" s="34">
        <v>0</v>
      </c>
      <c r="AB21" s="10"/>
      <c r="AC21" s="10"/>
      <c r="AD21" s="10"/>
      <c r="AE21" s="124">
        <v>0</v>
      </c>
      <c r="AF21" s="124">
        <v>0</v>
      </c>
      <c r="AG21" s="124">
        <v>0</v>
      </c>
      <c r="AH21" s="124">
        <v>0</v>
      </c>
      <c r="AI21" s="124">
        <v>0</v>
      </c>
      <c r="AJ21" s="124">
        <v>0</v>
      </c>
      <c r="AK21" s="124">
        <v>0</v>
      </c>
      <c r="AL21" s="124">
        <v>0</v>
      </c>
      <c r="AM21" s="124">
        <v>0</v>
      </c>
      <c r="AN21" s="124">
        <v>0</v>
      </c>
      <c r="AO21" s="124">
        <v>0</v>
      </c>
      <c r="AP21" s="124">
        <v>0</v>
      </c>
      <c r="AQ21" s="465"/>
    </row>
    <row r="22" spans="1:43" ht="54.75" customHeight="1" x14ac:dyDescent="0.25">
      <c r="A22" s="34">
        <v>0</v>
      </c>
      <c r="B22" s="34">
        <v>0</v>
      </c>
      <c r="C22" s="34">
        <v>0</v>
      </c>
      <c r="D22" s="34">
        <v>0</v>
      </c>
      <c r="E22" s="74">
        <v>0</v>
      </c>
      <c r="F22" s="34">
        <v>0</v>
      </c>
      <c r="G22" s="34">
        <v>0</v>
      </c>
      <c r="H22" s="36">
        <v>0</v>
      </c>
      <c r="I22" s="466"/>
      <c r="J22" s="39"/>
      <c r="K22" s="36">
        <v>0</v>
      </c>
      <c r="L22" s="39"/>
      <c r="M22" s="39"/>
      <c r="N22" s="36">
        <f t="shared" si="1"/>
        <v>0</v>
      </c>
      <c r="O22" s="36">
        <f t="shared" si="1"/>
        <v>0</v>
      </c>
      <c r="P22" s="36">
        <f t="shared" si="1"/>
        <v>0</v>
      </c>
      <c r="Q22" s="36"/>
      <c r="R22" s="36"/>
      <c r="S22" s="36">
        <f t="shared" si="0"/>
        <v>0</v>
      </c>
      <c r="T22" s="37" t="s">
        <v>2908</v>
      </c>
      <c r="U22" s="37" t="s">
        <v>2909</v>
      </c>
      <c r="V22" s="37">
        <v>0</v>
      </c>
      <c r="W22" s="10">
        <v>1</v>
      </c>
      <c r="X22" s="10"/>
      <c r="Y22" s="10">
        <v>1</v>
      </c>
      <c r="Z22" s="10">
        <v>1</v>
      </c>
      <c r="AA22" s="34">
        <v>0</v>
      </c>
      <c r="AB22" s="10">
        <v>180</v>
      </c>
      <c r="AC22" s="10">
        <v>180</v>
      </c>
      <c r="AD22" s="10"/>
      <c r="AE22" s="124">
        <v>0</v>
      </c>
      <c r="AF22" s="124">
        <v>0</v>
      </c>
      <c r="AG22" s="124">
        <v>0</v>
      </c>
      <c r="AH22" s="124">
        <v>0</v>
      </c>
      <c r="AI22" s="124">
        <v>0</v>
      </c>
      <c r="AJ22" s="124">
        <v>0</v>
      </c>
      <c r="AK22" s="124">
        <v>0</v>
      </c>
      <c r="AL22" s="124">
        <v>0</v>
      </c>
      <c r="AM22" s="124">
        <v>0</v>
      </c>
      <c r="AN22" s="124">
        <v>0</v>
      </c>
      <c r="AO22" s="124">
        <v>0</v>
      </c>
      <c r="AP22" s="124">
        <v>0</v>
      </c>
      <c r="AQ22" s="465"/>
    </row>
    <row r="23" spans="1:43" ht="144" x14ac:dyDescent="0.25">
      <c r="A23" s="34" t="s">
        <v>55</v>
      </c>
      <c r="B23" s="34" t="s">
        <v>354</v>
      </c>
      <c r="C23" s="34" t="s">
        <v>2285</v>
      </c>
      <c r="D23" s="34">
        <v>241310000</v>
      </c>
      <c r="E23" s="74" t="s">
        <v>2856</v>
      </c>
      <c r="F23" s="34">
        <v>32240002</v>
      </c>
      <c r="G23" s="34" t="s">
        <v>2859</v>
      </c>
      <c r="H23" s="36">
        <v>274870000</v>
      </c>
      <c r="I23" s="36">
        <v>414429151</v>
      </c>
      <c r="J23" s="39">
        <v>51128129</v>
      </c>
      <c r="K23" s="36">
        <v>0</v>
      </c>
      <c r="L23" s="39"/>
      <c r="M23" s="39"/>
      <c r="N23" s="36">
        <f t="shared" si="1"/>
        <v>274870000</v>
      </c>
      <c r="O23" s="36">
        <f t="shared" si="1"/>
        <v>414429151</v>
      </c>
      <c r="P23" s="36">
        <f t="shared" si="1"/>
        <v>51128129</v>
      </c>
      <c r="Q23" s="36">
        <v>0</v>
      </c>
      <c r="R23" s="36"/>
      <c r="S23" s="36">
        <f t="shared" si="0"/>
        <v>0</v>
      </c>
      <c r="T23" s="37">
        <v>0</v>
      </c>
      <c r="U23" s="37">
        <v>0</v>
      </c>
      <c r="V23" s="37">
        <v>0</v>
      </c>
      <c r="W23" s="10"/>
      <c r="X23" s="10"/>
      <c r="Y23" s="10"/>
      <c r="Z23" s="10"/>
      <c r="AA23" s="34">
        <v>0</v>
      </c>
      <c r="AB23" s="10"/>
      <c r="AC23" s="10"/>
      <c r="AD23" s="10"/>
      <c r="AE23" s="124">
        <v>0</v>
      </c>
      <c r="AF23" s="124">
        <v>0</v>
      </c>
      <c r="AG23" s="124">
        <v>0</v>
      </c>
      <c r="AH23" s="124">
        <v>0</v>
      </c>
      <c r="AI23" s="124">
        <v>0</v>
      </c>
      <c r="AJ23" s="124">
        <v>0</v>
      </c>
      <c r="AK23" s="124">
        <v>0</v>
      </c>
      <c r="AL23" s="124">
        <v>0</v>
      </c>
      <c r="AM23" s="124">
        <v>0</v>
      </c>
      <c r="AN23" s="124">
        <v>0</v>
      </c>
      <c r="AO23" s="124">
        <v>0</v>
      </c>
      <c r="AP23" s="124">
        <v>0</v>
      </c>
      <c r="AQ23" s="465"/>
    </row>
    <row r="24" spans="1:43" ht="52.5" customHeight="1" x14ac:dyDescent="0.25">
      <c r="A24" s="34">
        <v>0</v>
      </c>
      <c r="B24" s="34">
        <v>0</v>
      </c>
      <c r="C24" s="34">
        <v>0</v>
      </c>
      <c r="D24" s="34">
        <v>0</v>
      </c>
      <c r="E24" s="74">
        <v>0</v>
      </c>
      <c r="F24" s="34">
        <v>0</v>
      </c>
      <c r="G24" s="34">
        <v>0</v>
      </c>
      <c r="H24" s="36">
        <v>0</v>
      </c>
      <c r="I24" s="466"/>
      <c r="J24" s="39"/>
      <c r="K24" s="36">
        <v>0</v>
      </c>
      <c r="L24" s="39"/>
      <c r="M24" s="39"/>
      <c r="N24" s="36">
        <f t="shared" si="1"/>
        <v>0</v>
      </c>
      <c r="O24" s="36">
        <f t="shared" si="1"/>
        <v>0</v>
      </c>
      <c r="P24" s="36">
        <f t="shared" si="1"/>
        <v>0</v>
      </c>
      <c r="Q24" s="36"/>
      <c r="R24" s="36"/>
      <c r="S24" s="36">
        <f t="shared" si="0"/>
        <v>0</v>
      </c>
      <c r="T24" s="37" t="s">
        <v>2908</v>
      </c>
      <c r="U24" s="37" t="s">
        <v>2909</v>
      </c>
      <c r="V24" s="37">
        <v>0</v>
      </c>
      <c r="W24" s="10">
        <v>1</v>
      </c>
      <c r="X24" s="10"/>
      <c r="Y24" s="10">
        <v>1</v>
      </c>
      <c r="Z24" s="10">
        <v>1</v>
      </c>
      <c r="AA24" s="34">
        <v>0</v>
      </c>
      <c r="AB24" s="10">
        <v>180</v>
      </c>
      <c r="AC24" s="10">
        <v>180</v>
      </c>
      <c r="AD24" s="10"/>
      <c r="AE24" s="124">
        <v>0</v>
      </c>
      <c r="AF24" s="124">
        <v>0</v>
      </c>
      <c r="AG24" s="124">
        <v>0</v>
      </c>
      <c r="AH24" s="124">
        <v>0</v>
      </c>
      <c r="AI24" s="124">
        <v>0</v>
      </c>
      <c r="AJ24" s="124">
        <v>0</v>
      </c>
      <c r="AK24" s="124">
        <v>0</v>
      </c>
      <c r="AL24" s="124">
        <v>0</v>
      </c>
      <c r="AM24" s="124">
        <v>0</v>
      </c>
      <c r="AN24" s="124">
        <v>0</v>
      </c>
      <c r="AO24" s="124">
        <v>0</v>
      </c>
      <c r="AP24" s="124">
        <v>0</v>
      </c>
      <c r="AQ24" s="465"/>
    </row>
    <row r="25" spans="1:43" ht="132" x14ac:dyDescent="0.25">
      <c r="A25" s="34" t="s">
        <v>55</v>
      </c>
      <c r="B25" s="34" t="s">
        <v>354</v>
      </c>
      <c r="C25" s="34" t="s">
        <v>2285</v>
      </c>
      <c r="D25" s="34">
        <v>241310000</v>
      </c>
      <c r="E25" s="74" t="s">
        <v>2856</v>
      </c>
      <c r="F25" s="34">
        <v>32240003</v>
      </c>
      <c r="G25" s="34" t="s">
        <v>2860</v>
      </c>
      <c r="H25" s="36">
        <v>602275000</v>
      </c>
      <c r="I25" s="466">
        <v>0</v>
      </c>
      <c r="J25" s="39">
        <v>1151799946</v>
      </c>
      <c r="K25" s="36">
        <v>0</v>
      </c>
      <c r="L25" s="39"/>
      <c r="M25" s="39"/>
      <c r="N25" s="36">
        <f t="shared" si="1"/>
        <v>602275000</v>
      </c>
      <c r="O25" s="36">
        <f t="shared" si="1"/>
        <v>0</v>
      </c>
      <c r="P25" s="36">
        <f t="shared" si="1"/>
        <v>1151799946</v>
      </c>
      <c r="Q25" s="36">
        <v>52459404</v>
      </c>
      <c r="R25" s="36"/>
      <c r="S25" s="36">
        <f t="shared" si="0"/>
        <v>52459404</v>
      </c>
      <c r="T25" s="37">
        <v>0</v>
      </c>
      <c r="U25" s="37">
        <v>0</v>
      </c>
      <c r="V25" s="37">
        <v>0</v>
      </c>
      <c r="W25" s="10"/>
      <c r="X25" s="10"/>
      <c r="Y25" s="10"/>
      <c r="Z25" s="10"/>
      <c r="AA25" s="34">
        <v>0</v>
      </c>
      <c r="AB25" s="10"/>
      <c r="AC25" s="10"/>
      <c r="AD25" s="10"/>
      <c r="AE25" s="124">
        <v>0</v>
      </c>
      <c r="AF25" s="124">
        <v>0</v>
      </c>
      <c r="AG25" s="124">
        <v>0</v>
      </c>
      <c r="AH25" s="124">
        <v>0</v>
      </c>
      <c r="AI25" s="124">
        <v>0</v>
      </c>
      <c r="AJ25" s="124">
        <v>0</v>
      </c>
      <c r="AK25" s="124">
        <v>0</v>
      </c>
      <c r="AL25" s="124">
        <v>0</v>
      </c>
      <c r="AM25" s="124">
        <v>0</v>
      </c>
      <c r="AN25" s="124">
        <v>0</v>
      </c>
      <c r="AO25" s="124">
        <v>0</v>
      </c>
      <c r="AP25" s="124">
        <v>0</v>
      </c>
      <c r="AQ25" s="465"/>
    </row>
    <row r="26" spans="1:43" ht="135" x14ac:dyDescent="0.25">
      <c r="A26" s="34">
        <v>0</v>
      </c>
      <c r="B26" s="34">
        <v>0</v>
      </c>
      <c r="C26" s="34">
        <v>0</v>
      </c>
      <c r="D26" s="34">
        <v>0</v>
      </c>
      <c r="E26" s="74">
        <v>0</v>
      </c>
      <c r="F26" s="34">
        <v>0</v>
      </c>
      <c r="G26" s="34">
        <v>0</v>
      </c>
      <c r="H26" s="36">
        <v>0</v>
      </c>
      <c r="I26" s="466"/>
      <c r="J26" s="39"/>
      <c r="K26" s="36">
        <v>0</v>
      </c>
      <c r="L26" s="39"/>
      <c r="M26" s="39"/>
      <c r="N26" s="36">
        <f t="shared" si="1"/>
        <v>0</v>
      </c>
      <c r="O26" s="36">
        <f t="shared" si="1"/>
        <v>0</v>
      </c>
      <c r="P26" s="36">
        <f t="shared" si="1"/>
        <v>0</v>
      </c>
      <c r="Q26" s="36"/>
      <c r="R26" s="36"/>
      <c r="S26" s="36">
        <f t="shared" si="0"/>
        <v>0</v>
      </c>
      <c r="T26" s="37" t="s">
        <v>2910</v>
      </c>
      <c r="U26" s="37" t="s">
        <v>2911</v>
      </c>
      <c r="V26" s="160">
        <v>602275145</v>
      </c>
      <c r="W26" s="10"/>
      <c r="X26" s="10"/>
      <c r="Y26" s="160">
        <v>52459404</v>
      </c>
      <c r="Z26" s="160">
        <v>52459404</v>
      </c>
      <c r="AA26" s="34">
        <v>300</v>
      </c>
      <c r="AB26" s="10">
        <v>180</v>
      </c>
      <c r="AC26" s="10">
        <v>180</v>
      </c>
      <c r="AD26" s="10" t="s">
        <v>2912</v>
      </c>
      <c r="AE26" s="124">
        <v>0</v>
      </c>
      <c r="AF26" s="124">
        <v>0</v>
      </c>
      <c r="AG26" s="124" t="s">
        <v>102</v>
      </c>
      <c r="AH26" s="124" t="s">
        <v>102</v>
      </c>
      <c r="AI26" s="124" t="s">
        <v>102</v>
      </c>
      <c r="AJ26" s="124" t="s">
        <v>102</v>
      </c>
      <c r="AK26" s="124" t="s">
        <v>102</v>
      </c>
      <c r="AL26" s="124" t="s">
        <v>102</v>
      </c>
      <c r="AM26" s="124" t="s">
        <v>102</v>
      </c>
      <c r="AN26" s="124" t="s">
        <v>102</v>
      </c>
      <c r="AO26" s="124" t="s">
        <v>102</v>
      </c>
      <c r="AP26" s="124" t="s">
        <v>102</v>
      </c>
      <c r="AQ26" s="465"/>
    </row>
    <row r="27" spans="1:43" ht="144" x14ac:dyDescent="0.25">
      <c r="A27" s="34" t="s">
        <v>55</v>
      </c>
      <c r="B27" s="34" t="s">
        <v>354</v>
      </c>
      <c r="C27" s="34" t="s">
        <v>2285</v>
      </c>
      <c r="D27" s="34">
        <v>241310000</v>
      </c>
      <c r="E27" s="74" t="s">
        <v>2856</v>
      </c>
      <c r="F27" s="34">
        <v>32240004</v>
      </c>
      <c r="G27" s="34" t="s">
        <v>2861</v>
      </c>
      <c r="H27" s="36">
        <v>300000000</v>
      </c>
      <c r="I27" s="36">
        <v>706027903</v>
      </c>
      <c r="J27" s="39">
        <v>0</v>
      </c>
      <c r="K27" s="36">
        <v>0</v>
      </c>
      <c r="L27" s="39"/>
      <c r="M27" s="39"/>
      <c r="N27" s="36">
        <f t="shared" si="1"/>
        <v>300000000</v>
      </c>
      <c r="O27" s="36">
        <f t="shared" si="1"/>
        <v>706027903</v>
      </c>
      <c r="P27" s="36">
        <f t="shared" si="1"/>
        <v>0</v>
      </c>
      <c r="Q27" s="36">
        <v>0</v>
      </c>
      <c r="R27" s="36"/>
      <c r="S27" s="36">
        <f t="shared" si="0"/>
        <v>0</v>
      </c>
      <c r="T27" s="37">
        <v>0</v>
      </c>
      <c r="U27" s="37">
        <v>0</v>
      </c>
      <c r="V27" s="37">
        <v>0</v>
      </c>
      <c r="W27" s="10"/>
      <c r="X27" s="10"/>
      <c r="Y27" s="10"/>
      <c r="Z27" s="10"/>
      <c r="AA27" s="34">
        <v>0</v>
      </c>
      <c r="AB27" s="10"/>
      <c r="AC27" s="10"/>
      <c r="AD27" s="10"/>
      <c r="AE27" s="124">
        <v>0</v>
      </c>
      <c r="AF27" s="124">
        <v>0</v>
      </c>
      <c r="AG27" s="124">
        <v>0</v>
      </c>
      <c r="AH27" s="124">
        <v>0</v>
      </c>
      <c r="AI27" s="124">
        <v>0</v>
      </c>
      <c r="AJ27" s="124">
        <v>0</v>
      </c>
      <c r="AK27" s="124">
        <v>0</v>
      </c>
      <c r="AL27" s="124">
        <v>0</v>
      </c>
      <c r="AM27" s="124">
        <v>0</v>
      </c>
      <c r="AN27" s="124">
        <v>0</v>
      </c>
      <c r="AO27" s="124">
        <v>0</v>
      </c>
      <c r="AP27" s="124">
        <v>0</v>
      </c>
      <c r="AQ27" s="465"/>
    </row>
    <row r="28" spans="1:43" ht="57" customHeight="1" x14ac:dyDescent="0.25">
      <c r="A28" s="34">
        <v>0</v>
      </c>
      <c r="B28" s="34">
        <v>0</v>
      </c>
      <c r="C28" s="34">
        <v>0</v>
      </c>
      <c r="D28" s="34">
        <v>0</v>
      </c>
      <c r="E28" s="74">
        <v>0</v>
      </c>
      <c r="F28" s="34">
        <v>0</v>
      </c>
      <c r="G28" s="34">
        <v>0</v>
      </c>
      <c r="H28" s="36">
        <v>0</v>
      </c>
      <c r="I28" s="466"/>
      <c r="J28" s="39"/>
      <c r="K28" s="36">
        <v>0</v>
      </c>
      <c r="L28" s="39"/>
      <c r="M28" s="39"/>
      <c r="N28" s="36">
        <f t="shared" si="1"/>
        <v>0</v>
      </c>
      <c r="O28" s="36">
        <f t="shared" si="1"/>
        <v>0</v>
      </c>
      <c r="P28" s="36">
        <f t="shared" si="1"/>
        <v>0</v>
      </c>
      <c r="Q28" s="36"/>
      <c r="R28" s="36"/>
      <c r="S28" s="36">
        <f t="shared" si="0"/>
        <v>0</v>
      </c>
      <c r="T28" s="37" t="s">
        <v>2908</v>
      </c>
      <c r="U28" s="37" t="s">
        <v>2909</v>
      </c>
      <c r="V28" s="37">
        <v>0</v>
      </c>
      <c r="W28" s="10">
        <v>1</v>
      </c>
      <c r="X28" s="10"/>
      <c r="Y28" s="10">
        <v>1</v>
      </c>
      <c r="Z28" s="10">
        <v>1</v>
      </c>
      <c r="AA28" s="34">
        <v>0</v>
      </c>
      <c r="AB28" s="10">
        <v>180</v>
      </c>
      <c r="AC28" s="10">
        <v>180</v>
      </c>
      <c r="AD28" s="10"/>
      <c r="AE28" s="124">
        <v>0</v>
      </c>
      <c r="AF28" s="124">
        <v>0</v>
      </c>
      <c r="AG28" s="124">
        <v>0</v>
      </c>
      <c r="AH28" s="124">
        <v>0</v>
      </c>
      <c r="AI28" s="124">
        <v>0</v>
      </c>
      <c r="AJ28" s="124">
        <v>0</v>
      </c>
      <c r="AK28" s="124">
        <v>0</v>
      </c>
      <c r="AL28" s="124">
        <v>0</v>
      </c>
      <c r="AM28" s="124">
        <v>0</v>
      </c>
      <c r="AN28" s="124">
        <v>0</v>
      </c>
      <c r="AO28" s="124">
        <v>0</v>
      </c>
      <c r="AP28" s="124">
        <v>0</v>
      </c>
      <c r="AQ28" s="465"/>
    </row>
    <row r="29" spans="1:43" ht="375" x14ac:dyDescent="0.25">
      <c r="A29" s="34">
        <v>0</v>
      </c>
      <c r="B29" s="34">
        <v>0</v>
      </c>
      <c r="C29" s="34">
        <v>0</v>
      </c>
      <c r="D29" s="34">
        <v>0</v>
      </c>
      <c r="E29" s="50" t="s">
        <v>2856</v>
      </c>
      <c r="F29" s="10" t="s">
        <v>2862</v>
      </c>
      <c r="G29" s="10" t="s">
        <v>2863</v>
      </c>
      <c r="H29" s="36">
        <v>0</v>
      </c>
      <c r="I29" s="36"/>
      <c r="J29" s="39">
        <v>8502926293</v>
      </c>
      <c r="K29" s="36">
        <v>0</v>
      </c>
      <c r="L29" s="39"/>
      <c r="M29" s="39"/>
      <c r="N29" s="36">
        <f t="shared" si="1"/>
        <v>0</v>
      </c>
      <c r="O29" s="36">
        <f t="shared" si="1"/>
        <v>0</v>
      </c>
      <c r="P29" s="36">
        <f t="shared" si="1"/>
        <v>8502926293</v>
      </c>
      <c r="Q29" s="36">
        <v>4130202577</v>
      </c>
      <c r="R29" s="36"/>
      <c r="S29" s="36">
        <f t="shared" si="0"/>
        <v>4130202577</v>
      </c>
      <c r="T29" s="37">
        <v>0</v>
      </c>
      <c r="U29" s="37">
        <v>0</v>
      </c>
      <c r="V29" s="37">
        <v>0</v>
      </c>
      <c r="W29" s="10"/>
      <c r="X29" s="10"/>
      <c r="Y29" s="10"/>
      <c r="Z29" s="10"/>
      <c r="AA29" s="34">
        <v>0</v>
      </c>
      <c r="AB29" s="10"/>
      <c r="AC29" s="10"/>
      <c r="AD29" s="10"/>
      <c r="AE29" s="124">
        <v>0</v>
      </c>
      <c r="AF29" s="124">
        <v>0</v>
      </c>
      <c r="AG29" s="124">
        <v>0</v>
      </c>
      <c r="AH29" s="124">
        <v>0</v>
      </c>
      <c r="AI29" s="124">
        <v>0</v>
      </c>
      <c r="AJ29" s="124">
        <v>0</v>
      </c>
      <c r="AK29" s="124">
        <v>0</v>
      </c>
      <c r="AL29" s="124">
        <v>0</v>
      </c>
      <c r="AM29" s="124">
        <v>0</v>
      </c>
      <c r="AN29" s="124">
        <v>0</v>
      </c>
      <c r="AO29" s="124">
        <v>0</v>
      </c>
      <c r="AP29" s="124">
        <v>0</v>
      </c>
      <c r="AQ29" s="465"/>
    </row>
    <row r="30" spans="1:43" ht="195" x14ac:dyDescent="0.25">
      <c r="A30" s="34">
        <v>0</v>
      </c>
      <c r="B30" s="34">
        <v>0</v>
      </c>
      <c r="C30" s="34">
        <v>0</v>
      </c>
      <c r="D30" s="34">
        <v>0</v>
      </c>
      <c r="E30" s="74">
        <v>0</v>
      </c>
      <c r="F30" s="34">
        <v>0</v>
      </c>
      <c r="G30" s="34">
        <v>0</v>
      </c>
      <c r="H30" s="36">
        <v>0</v>
      </c>
      <c r="I30" s="466"/>
      <c r="J30" s="39"/>
      <c r="K30" s="36">
        <v>0</v>
      </c>
      <c r="L30" s="39"/>
      <c r="M30" s="39"/>
      <c r="N30" s="36">
        <f t="shared" si="1"/>
        <v>0</v>
      </c>
      <c r="O30" s="36">
        <f t="shared" si="1"/>
        <v>0</v>
      </c>
      <c r="P30" s="36">
        <f t="shared" si="1"/>
        <v>0</v>
      </c>
      <c r="Q30" s="36"/>
      <c r="R30" s="36"/>
      <c r="S30" s="36">
        <f t="shared" si="0"/>
        <v>0</v>
      </c>
      <c r="T30" s="37" t="s">
        <v>2910</v>
      </c>
      <c r="U30" s="37" t="s">
        <v>2911</v>
      </c>
      <c r="V30" s="37">
        <v>0</v>
      </c>
      <c r="W30" s="10">
        <v>0</v>
      </c>
      <c r="X30" s="10"/>
      <c r="Y30" s="10"/>
      <c r="Z30" s="10">
        <v>4130202577</v>
      </c>
      <c r="AA30" s="34">
        <v>300</v>
      </c>
      <c r="AB30" s="10">
        <v>90</v>
      </c>
      <c r="AC30" s="10">
        <v>180</v>
      </c>
      <c r="AD30" s="10" t="s">
        <v>2913</v>
      </c>
      <c r="AE30" s="124">
        <v>0</v>
      </c>
      <c r="AF30" s="124">
        <v>0</v>
      </c>
      <c r="AG30" s="124" t="s">
        <v>102</v>
      </c>
      <c r="AH30" s="124" t="s">
        <v>102</v>
      </c>
      <c r="AI30" s="124" t="s">
        <v>102</v>
      </c>
      <c r="AJ30" s="124" t="s">
        <v>102</v>
      </c>
      <c r="AK30" s="124" t="s">
        <v>102</v>
      </c>
      <c r="AL30" s="124" t="s">
        <v>102</v>
      </c>
      <c r="AM30" s="124" t="s">
        <v>102</v>
      </c>
      <c r="AN30" s="124" t="s">
        <v>102</v>
      </c>
      <c r="AO30" s="124" t="s">
        <v>102</v>
      </c>
      <c r="AP30" s="124" t="s">
        <v>102</v>
      </c>
      <c r="AQ30" s="465"/>
    </row>
    <row r="31" spans="1:43" ht="72" x14ac:dyDescent="0.25">
      <c r="A31" s="34" t="s">
        <v>55</v>
      </c>
      <c r="B31" s="34" t="s">
        <v>354</v>
      </c>
      <c r="C31" s="34" t="s">
        <v>2285</v>
      </c>
      <c r="D31" s="34">
        <v>241320000</v>
      </c>
      <c r="E31" s="34" t="s">
        <v>2865</v>
      </c>
      <c r="F31" s="34" t="s">
        <v>2866</v>
      </c>
      <c r="G31" s="34" t="s">
        <v>2867</v>
      </c>
      <c r="H31" s="36">
        <v>140000000</v>
      </c>
      <c r="I31" s="466">
        <v>0</v>
      </c>
      <c r="J31" s="39">
        <v>65970000</v>
      </c>
      <c r="K31" s="36">
        <v>0</v>
      </c>
      <c r="L31" s="39"/>
      <c r="M31" s="39"/>
      <c r="N31" s="36">
        <f t="shared" si="1"/>
        <v>140000000</v>
      </c>
      <c r="O31" s="36">
        <f t="shared" si="1"/>
        <v>0</v>
      </c>
      <c r="P31" s="36">
        <f t="shared" si="1"/>
        <v>65970000</v>
      </c>
      <c r="Q31" s="36">
        <v>65970000</v>
      </c>
      <c r="R31" s="36"/>
      <c r="S31" s="36">
        <f t="shared" si="0"/>
        <v>65970000</v>
      </c>
      <c r="T31" s="37">
        <v>0</v>
      </c>
      <c r="U31" s="37">
        <v>0</v>
      </c>
      <c r="V31" s="37">
        <v>0</v>
      </c>
      <c r="W31" s="10"/>
      <c r="X31" s="10"/>
      <c r="Y31" s="10"/>
      <c r="Z31" s="10"/>
      <c r="AA31" s="34">
        <v>0</v>
      </c>
      <c r="AB31" s="10"/>
      <c r="AC31" s="10"/>
      <c r="AD31" s="10"/>
      <c r="AE31" s="124">
        <v>0</v>
      </c>
      <c r="AF31" s="124">
        <v>0</v>
      </c>
      <c r="AG31" s="124">
        <v>0</v>
      </c>
      <c r="AH31" s="124">
        <v>0</v>
      </c>
      <c r="AI31" s="124">
        <v>0</v>
      </c>
      <c r="AJ31" s="124">
        <v>0</v>
      </c>
      <c r="AK31" s="124">
        <v>0</v>
      </c>
      <c r="AL31" s="124">
        <v>0</v>
      </c>
      <c r="AM31" s="124">
        <v>0</v>
      </c>
      <c r="AN31" s="124">
        <v>0</v>
      </c>
      <c r="AO31" s="124">
        <v>0</v>
      </c>
      <c r="AP31" s="124">
        <v>0</v>
      </c>
      <c r="AQ31" s="245"/>
    </row>
    <row r="32" spans="1:43" ht="60.75" customHeight="1" x14ac:dyDescent="0.25">
      <c r="A32" s="34">
        <v>0</v>
      </c>
      <c r="B32" s="34">
        <v>0</v>
      </c>
      <c r="C32" s="34">
        <v>0</v>
      </c>
      <c r="D32" s="34">
        <v>0</v>
      </c>
      <c r="E32" s="34">
        <v>0</v>
      </c>
      <c r="F32" s="34">
        <v>0</v>
      </c>
      <c r="G32" s="34">
        <v>0</v>
      </c>
      <c r="H32" s="36">
        <v>0</v>
      </c>
      <c r="I32" s="466"/>
      <c r="J32" s="39"/>
      <c r="K32" s="36">
        <v>0</v>
      </c>
      <c r="L32" s="39"/>
      <c r="M32" s="39"/>
      <c r="N32" s="36">
        <f t="shared" si="1"/>
        <v>0</v>
      </c>
      <c r="O32" s="36">
        <f t="shared" si="1"/>
        <v>0</v>
      </c>
      <c r="P32" s="36">
        <f t="shared" si="1"/>
        <v>0</v>
      </c>
      <c r="Q32" s="36"/>
      <c r="R32" s="36"/>
      <c r="S32" s="36">
        <f t="shared" si="0"/>
        <v>0</v>
      </c>
      <c r="T32" s="37" t="s">
        <v>2914</v>
      </c>
      <c r="U32" s="37" t="s">
        <v>941</v>
      </c>
      <c r="V32" s="37">
        <v>15</v>
      </c>
      <c r="W32" s="10"/>
      <c r="X32" s="10"/>
      <c r="Y32" s="10"/>
      <c r="Z32" s="10">
        <v>0</v>
      </c>
      <c r="AA32" s="34">
        <v>90</v>
      </c>
      <c r="AB32" s="10">
        <v>40</v>
      </c>
      <c r="AC32" s="10">
        <v>40</v>
      </c>
      <c r="AD32" s="10" t="s">
        <v>2869</v>
      </c>
      <c r="AE32" s="124">
        <v>0</v>
      </c>
      <c r="AF32" s="124">
        <v>0</v>
      </c>
      <c r="AG32" s="124">
        <v>0</v>
      </c>
      <c r="AH32" s="124">
        <v>0</v>
      </c>
      <c r="AI32" s="124">
        <v>0</v>
      </c>
      <c r="AJ32" s="124">
        <v>0</v>
      </c>
      <c r="AK32" s="124" t="s">
        <v>102</v>
      </c>
      <c r="AL32" s="124" t="s">
        <v>102</v>
      </c>
      <c r="AM32" s="124" t="s">
        <v>102</v>
      </c>
      <c r="AN32" s="124">
        <v>0</v>
      </c>
      <c r="AO32" s="124">
        <v>0</v>
      </c>
      <c r="AP32" s="124">
        <v>0</v>
      </c>
      <c r="AQ32" s="245"/>
    </row>
    <row r="33" spans="1:43" ht="84" x14ac:dyDescent="0.25">
      <c r="A33" s="34" t="s">
        <v>55</v>
      </c>
      <c r="B33" s="34" t="s">
        <v>354</v>
      </c>
      <c r="C33" s="34" t="s">
        <v>2285</v>
      </c>
      <c r="D33" s="34">
        <v>241320000</v>
      </c>
      <c r="E33" s="34" t="s">
        <v>2870</v>
      </c>
      <c r="F33" s="34" t="s">
        <v>2871</v>
      </c>
      <c r="G33" s="34" t="s">
        <v>2872</v>
      </c>
      <c r="H33" s="36">
        <v>810309000</v>
      </c>
      <c r="I33" s="466">
        <v>0</v>
      </c>
      <c r="J33" s="39">
        <v>827305090</v>
      </c>
      <c r="K33" s="36">
        <v>0</v>
      </c>
      <c r="L33" s="39"/>
      <c r="M33" s="39"/>
      <c r="N33" s="36">
        <f t="shared" si="1"/>
        <v>810309000</v>
      </c>
      <c r="O33" s="36">
        <f t="shared" si="1"/>
        <v>0</v>
      </c>
      <c r="P33" s="36">
        <f t="shared" si="1"/>
        <v>827305090</v>
      </c>
      <c r="Q33" s="36">
        <v>827305090</v>
      </c>
      <c r="R33" s="36">
        <v>375872064</v>
      </c>
      <c r="S33" s="36">
        <f t="shared" si="0"/>
        <v>1203177154</v>
      </c>
      <c r="T33" s="37">
        <v>0</v>
      </c>
      <c r="U33" s="37">
        <v>0</v>
      </c>
      <c r="V33" s="37">
        <v>0</v>
      </c>
      <c r="W33" s="10"/>
      <c r="X33" s="10"/>
      <c r="Y33" s="10"/>
      <c r="Z33" s="10"/>
      <c r="AA33" s="34">
        <v>0</v>
      </c>
      <c r="AB33" s="10"/>
      <c r="AC33" s="10"/>
      <c r="AD33" s="10" t="s">
        <v>2915</v>
      </c>
      <c r="AE33" s="124">
        <v>0</v>
      </c>
      <c r="AF33" s="124">
        <v>0</v>
      </c>
      <c r="AG33" s="124">
        <v>0</v>
      </c>
      <c r="AH33" s="124">
        <v>0</v>
      </c>
      <c r="AI33" s="124">
        <v>0</v>
      </c>
      <c r="AJ33" s="124">
        <v>0</v>
      </c>
      <c r="AK33" s="124">
        <v>0</v>
      </c>
      <c r="AL33" s="124">
        <v>0</v>
      </c>
      <c r="AM33" s="124">
        <v>0</v>
      </c>
      <c r="AN33" s="124">
        <v>0</v>
      </c>
      <c r="AO33" s="124">
        <v>0</v>
      </c>
      <c r="AP33" s="124">
        <v>0</v>
      </c>
      <c r="AQ33" s="245"/>
    </row>
    <row r="34" spans="1:43" ht="150" x14ac:dyDescent="0.25">
      <c r="A34" s="34">
        <v>0</v>
      </c>
      <c r="B34" s="34">
        <v>0</v>
      </c>
      <c r="C34" s="34">
        <v>0</v>
      </c>
      <c r="D34" s="34">
        <v>0</v>
      </c>
      <c r="E34" s="34">
        <v>0</v>
      </c>
      <c r="F34" s="34">
        <v>0</v>
      </c>
      <c r="G34" s="34">
        <v>0</v>
      </c>
      <c r="H34" s="36">
        <v>0</v>
      </c>
      <c r="I34" s="466"/>
      <c r="J34" s="39"/>
      <c r="K34" s="36">
        <v>0</v>
      </c>
      <c r="L34" s="39"/>
      <c r="M34" s="39"/>
      <c r="N34" s="36">
        <f t="shared" si="1"/>
        <v>0</v>
      </c>
      <c r="O34" s="36">
        <f t="shared" si="1"/>
        <v>0</v>
      </c>
      <c r="P34" s="36">
        <f t="shared" si="1"/>
        <v>0</v>
      </c>
      <c r="Q34" s="36"/>
      <c r="R34" s="36"/>
      <c r="S34" s="36">
        <f t="shared" si="0"/>
        <v>0</v>
      </c>
      <c r="T34" s="37" t="s">
        <v>2916</v>
      </c>
      <c r="U34" s="37" t="s">
        <v>941</v>
      </c>
      <c r="V34" s="37">
        <v>1</v>
      </c>
      <c r="W34" s="10">
        <v>1</v>
      </c>
      <c r="X34" s="10"/>
      <c r="Y34" s="10"/>
      <c r="Z34" s="10">
        <v>3</v>
      </c>
      <c r="AA34" s="34">
        <v>60</v>
      </c>
      <c r="AB34" s="10">
        <v>210</v>
      </c>
      <c r="AC34" s="10">
        <v>180</v>
      </c>
      <c r="AD34" s="10" t="s">
        <v>2917</v>
      </c>
      <c r="AE34" s="124">
        <v>0</v>
      </c>
      <c r="AF34" s="124">
        <v>0</v>
      </c>
      <c r="AG34" s="124" t="s">
        <v>102</v>
      </c>
      <c r="AH34" s="124" t="s">
        <v>102</v>
      </c>
      <c r="AI34" s="124">
        <v>0</v>
      </c>
      <c r="AJ34" s="124">
        <v>0</v>
      </c>
      <c r="AK34" s="124">
        <v>0</v>
      </c>
      <c r="AL34" s="124">
        <v>0</v>
      </c>
      <c r="AM34" s="124">
        <v>0</v>
      </c>
      <c r="AN34" s="124">
        <v>0</v>
      </c>
      <c r="AO34" s="124">
        <v>0</v>
      </c>
      <c r="AP34" s="124">
        <v>0</v>
      </c>
      <c r="AQ34" s="245"/>
    </row>
    <row r="35" spans="1:43" ht="84" x14ac:dyDescent="0.25">
      <c r="A35" s="34">
        <v>0</v>
      </c>
      <c r="B35" s="34">
        <v>0</v>
      </c>
      <c r="C35" s="34">
        <v>0</v>
      </c>
      <c r="D35" s="34">
        <v>0</v>
      </c>
      <c r="E35" s="34">
        <v>0</v>
      </c>
      <c r="F35" s="34">
        <v>0</v>
      </c>
      <c r="G35" s="34">
        <v>0</v>
      </c>
      <c r="H35" s="36">
        <v>0</v>
      </c>
      <c r="I35" s="466"/>
      <c r="J35" s="39"/>
      <c r="K35" s="36">
        <v>0</v>
      </c>
      <c r="L35" s="39"/>
      <c r="M35" s="39"/>
      <c r="N35" s="36">
        <f t="shared" si="1"/>
        <v>0</v>
      </c>
      <c r="O35" s="36">
        <f t="shared" si="1"/>
        <v>0</v>
      </c>
      <c r="P35" s="36">
        <f t="shared" si="1"/>
        <v>0</v>
      </c>
      <c r="Q35" s="36"/>
      <c r="R35" s="36"/>
      <c r="S35" s="36">
        <f t="shared" si="0"/>
        <v>0</v>
      </c>
      <c r="T35" s="37" t="s">
        <v>2918</v>
      </c>
      <c r="U35" s="37" t="s">
        <v>941</v>
      </c>
      <c r="V35" s="37">
        <v>2</v>
      </c>
      <c r="W35" s="10"/>
      <c r="X35" s="10"/>
      <c r="Y35" s="10"/>
      <c r="Z35" s="10">
        <v>1</v>
      </c>
      <c r="AA35" s="34">
        <v>150</v>
      </c>
      <c r="AB35" s="10">
        <v>150</v>
      </c>
      <c r="AC35" s="10">
        <v>150</v>
      </c>
      <c r="AD35" s="10" t="s">
        <v>2919</v>
      </c>
      <c r="AE35" s="124">
        <v>0</v>
      </c>
      <c r="AF35" s="124">
        <v>0</v>
      </c>
      <c r="AG35" s="124">
        <v>0</v>
      </c>
      <c r="AH35" s="124" t="s">
        <v>102</v>
      </c>
      <c r="AI35" s="124" t="s">
        <v>102</v>
      </c>
      <c r="AJ35" s="124" t="s">
        <v>102</v>
      </c>
      <c r="AK35" s="124" t="s">
        <v>102</v>
      </c>
      <c r="AL35" s="124" t="s">
        <v>102</v>
      </c>
      <c r="AM35" s="124">
        <v>0</v>
      </c>
      <c r="AN35" s="124">
        <v>0</v>
      </c>
      <c r="AO35" s="124">
        <v>0</v>
      </c>
      <c r="AP35" s="124">
        <v>0</v>
      </c>
      <c r="AQ35" s="245"/>
    </row>
    <row r="36" spans="1:43" ht="96" x14ac:dyDescent="0.25">
      <c r="A36" s="34" t="s">
        <v>55</v>
      </c>
      <c r="B36" s="34" t="s">
        <v>354</v>
      </c>
      <c r="C36" s="34" t="s">
        <v>2285</v>
      </c>
      <c r="D36" s="34">
        <v>241330000</v>
      </c>
      <c r="E36" s="34" t="s">
        <v>2875</v>
      </c>
      <c r="F36" s="34" t="s">
        <v>2876</v>
      </c>
      <c r="G36" s="34" t="s">
        <v>2877</v>
      </c>
      <c r="H36" s="36">
        <v>200000000</v>
      </c>
      <c r="I36" s="466">
        <v>0</v>
      </c>
      <c r="J36" s="39">
        <v>0</v>
      </c>
      <c r="K36" s="36">
        <v>0</v>
      </c>
      <c r="L36" s="39"/>
      <c r="M36" s="39"/>
      <c r="N36" s="36">
        <f t="shared" si="1"/>
        <v>200000000</v>
      </c>
      <c r="O36" s="36">
        <f t="shared" si="1"/>
        <v>0</v>
      </c>
      <c r="P36" s="36">
        <f t="shared" si="1"/>
        <v>0</v>
      </c>
      <c r="Q36" s="36">
        <v>0</v>
      </c>
      <c r="R36" s="36"/>
      <c r="S36" s="36">
        <f t="shared" si="0"/>
        <v>0</v>
      </c>
      <c r="T36" s="37">
        <v>0</v>
      </c>
      <c r="U36" s="37">
        <v>0</v>
      </c>
      <c r="V36" s="37">
        <v>0</v>
      </c>
      <c r="W36" s="10"/>
      <c r="X36" s="10"/>
      <c r="Y36" s="10"/>
      <c r="Z36" s="10"/>
      <c r="AA36" s="34">
        <v>0</v>
      </c>
      <c r="AB36" s="10"/>
      <c r="AC36" s="10"/>
      <c r="AD36" s="10"/>
      <c r="AE36" s="124">
        <v>0</v>
      </c>
      <c r="AF36" s="124">
        <v>0</v>
      </c>
      <c r="AG36" s="124">
        <v>0</v>
      </c>
      <c r="AH36" s="124">
        <v>0</v>
      </c>
      <c r="AI36" s="124">
        <v>0</v>
      </c>
      <c r="AJ36" s="124">
        <v>0</v>
      </c>
      <c r="AK36" s="124">
        <v>0</v>
      </c>
      <c r="AL36" s="124">
        <v>0</v>
      </c>
      <c r="AM36" s="124">
        <v>0</v>
      </c>
      <c r="AN36" s="124">
        <v>0</v>
      </c>
      <c r="AO36" s="124">
        <v>0</v>
      </c>
      <c r="AP36" s="124">
        <v>0</v>
      </c>
      <c r="AQ36" s="245"/>
    </row>
    <row r="37" spans="1:43" ht="85.5" customHeight="1" x14ac:dyDescent="0.25">
      <c r="A37" s="34">
        <v>0</v>
      </c>
      <c r="B37" s="34">
        <v>0</v>
      </c>
      <c r="C37" s="34">
        <v>0</v>
      </c>
      <c r="D37" s="34">
        <v>0</v>
      </c>
      <c r="E37" s="34">
        <v>0</v>
      </c>
      <c r="F37" s="34">
        <v>0</v>
      </c>
      <c r="G37" s="34">
        <v>0</v>
      </c>
      <c r="H37" s="36">
        <v>0</v>
      </c>
      <c r="I37" s="466"/>
      <c r="J37" s="39"/>
      <c r="K37" s="36">
        <v>0</v>
      </c>
      <c r="L37" s="39"/>
      <c r="M37" s="39"/>
      <c r="N37" s="36">
        <f t="shared" si="1"/>
        <v>0</v>
      </c>
      <c r="O37" s="36">
        <f t="shared" si="1"/>
        <v>0</v>
      </c>
      <c r="P37" s="36">
        <f t="shared" si="1"/>
        <v>0</v>
      </c>
      <c r="Q37" s="36"/>
      <c r="R37" s="36"/>
      <c r="S37" s="36">
        <f t="shared" si="0"/>
        <v>0</v>
      </c>
      <c r="T37" s="37" t="s">
        <v>2920</v>
      </c>
      <c r="U37" s="37" t="s">
        <v>941</v>
      </c>
      <c r="V37" s="37">
        <v>4</v>
      </c>
      <c r="W37" s="10">
        <v>5</v>
      </c>
      <c r="X37" s="10"/>
      <c r="Y37" s="10"/>
      <c r="Z37" s="10">
        <v>0</v>
      </c>
      <c r="AA37" s="34">
        <v>90</v>
      </c>
      <c r="AB37" s="10">
        <v>45</v>
      </c>
      <c r="AC37" s="10">
        <v>150</v>
      </c>
      <c r="AD37" s="10" t="s">
        <v>2921</v>
      </c>
      <c r="AE37" s="124">
        <v>0</v>
      </c>
      <c r="AF37" s="124">
        <v>0</v>
      </c>
      <c r="AG37" s="124">
        <v>0</v>
      </c>
      <c r="AH37" s="124" t="s">
        <v>102</v>
      </c>
      <c r="AI37" s="124" t="s">
        <v>102</v>
      </c>
      <c r="AJ37" s="124" t="s">
        <v>102</v>
      </c>
      <c r="AK37" s="124">
        <v>0</v>
      </c>
      <c r="AL37" s="124">
        <v>0</v>
      </c>
      <c r="AM37" s="124">
        <v>0</v>
      </c>
      <c r="AN37" s="124">
        <v>0</v>
      </c>
      <c r="AO37" s="124">
        <v>0</v>
      </c>
      <c r="AP37" s="124">
        <v>0</v>
      </c>
      <c r="AQ37" s="245"/>
    </row>
    <row r="38" spans="1:43" ht="120" x14ac:dyDescent="0.25">
      <c r="A38" s="34" t="s">
        <v>55</v>
      </c>
      <c r="B38" s="34" t="s">
        <v>354</v>
      </c>
      <c r="C38" s="34" t="s">
        <v>2285</v>
      </c>
      <c r="D38" s="34">
        <v>241330000</v>
      </c>
      <c r="E38" s="74" t="s">
        <v>2878</v>
      </c>
      <c r="F38" s="34" t="s">
        <v>2879</v>
      </c>
      <c r="G38" s="34" t="s">
        <v>2880</v>
      </c>
      <c r="H38" s="36">
        <v>2888518000</v>
      </c>
      <c r="I38" s="36">
        <v>6456260093</v>
      </c>
      <c r="J38" s="39">
        <v>6204270093</v>
      </c>
      <c r="K38" s="36">
        <v>0</v>
      </c>
      <c r="L38" s="39"/>
      <c r="M38" s="39"/>
      <c r="N38" s="36">
        <f t="shared" si="1"/>
        <v>2888518000</v>
      </c>
      <c r="O38" s="36">
        <f t="shared" si="1"/>
        <v>6456260093</v>
      </c>
      <c r="P38" s="36">
        <f t="shared" si="1"/>
        <v>6204270093</v>
      </c>
      <c r="Q38" s="36">
        <v>5628860332</v>
      </c>
      <c r="R38" s="36">
        <v>30489000000</v>
      </c>
      <c r="S38" s="36">
        <f t="shared" si="0"/>
        <v>36117860332</v>
      </c>
      <c r="T38" s="37">
        <v>0</v>
      </c>
      <c r="U38" s="37">
        <v>0</v>
      </c>
      <c r="V38" s="37">
        <v>0</v>
      </c>
      <c r="W38" s="10"/>
      <c r="X38" s="10"/>
      <c r="Y38" s="10"/>
      <c r="Z38" s="10"/>
      <c r="AA38" s="34">
        <v>0</v>
      </c>
      <c r="AB38" s="10"/>
      <c r="AC38" s="10"/>
      <c r="AD38" s="10" t="s">
        <v>2922</v>
      </c>
      <c r="AE38" s="124">
        <v>0</v>
      </c>
      <c r="AF38" s="124">
        <v>0</v>
      </c>
      <c r="AG38" s="124">
        <v>0</v>
      </c>
      <c r="AH38" s="124">
        <v>0</v>
      </c>
      <c r="AI38" s="124">
        <v>0</v>
      </c>
      <c r="AJ38" s="124">
        <v>0</v>
      </c>
      <c r="AK38" s="124">
        <v>0</v>
      </c>
      <c r="AL38" s="124">
        <v>0</v>
      </c>
      <c r="AM38" s="124">
        <v>0</v>
      </c>
      <c r="AN38" s="124">
        <v>0</v>
      </c>
      <c r="AO38" s="124">
        <v>0</v>
      </c>
      <c r="AP38" s="124">
        <v>0</v>
      </c>
      <c r="AQ38" s="465"/>
    </row>
    <row r="39" spans="1:43" ht="150" x14ac:dyDescent="0.25">
      <c r="A39" s="34">
        <v>0</v>
      </c>
      <c r="B39" s="34">
        <v>0</v>
      </c>
      <c r="C39" s="34">
        <v>0</v>
      </c>
      <c r="D39" s="34">
        <v>0</v>
      </c>
      <c r="E39" s="74">
        <v>0</v>
      </c>
      <c r="F39" s="34">
        <v>0</v>
      </c>
      <c r="G39" s="34">
        <v>0</v>
      </c>
      <c r="H39" s="36">
        <v>0</v>
      </c>
      <c r="I39" s="466"/>
      <c r="J39" s="39"/>
      <c r="K39" s="36">
        <v>0</v>
      </c>
      <c r="L39" s="39"/>
      <c r="M39" s="39"/>
      <c r="N39" s="36">
        <f t="shared" si="1"/>
        <v>0</v>
      </c>
      <c r="O39" s="36">
        <f t="shared" si="1"/>
        <v>0</v>
      </c>
      <c r="P39" s="36">
        <f t="shared" si="1"/>
        <v>0</v>
      </c>
      <c r="Q39" s="36"/>
      <c r="R39" s="36"/>
      <c r="S39" s="36">
        <f t="shared" si="0"/>
        <v>0</v>
      </c>
      <c r="T39" s="37" t="s">
        <v>2923</v>
      </c>
      <c r="U39" s="37" t="s">
        <v>2924</v>
      </c>
      <c r="V39" s="160">
        <v>6419</v>
      </c>
      <c r="W39" s="10">
        <v>8785</v>
      </c>
      <c r="X39" s="10"/>
      <c r="Y39" s="10">
        <v>8785</v>
      </c>
      <c r="Z39" s="10">
        <v>10177</v>
      </c>
      <c r="AA39" s="34">
        <v>360</v>
      </c>
      <c r="AB39" s="10">
        <v>180</v>
      </c>
      <c r="AC39" s="10">
        <v>360</v>
      </c>
      <c r="AD39" s="10" t="s">
        <v>2925</v>
      </c>
      <c r="AE39" s="124" t="s">
        <v>102</v>
      </c>
      <c r="AF39" s="124" t="s">
        <v>102</v>
      </c>
      <c r="AG39" s="124" t="s">
        <v>102</v>
      </c>
      <c r="AH39" s="124" t="s">
        <v>102</v>
      </c>
      <c r="AI39" s="124" t="s">
        <v>102</v>
      </c>
      <c r="AJ39" s="124" t="s">
        <v>102</v>
      </c>
      <c r="AK39" s="124" t="s">
        <v>102</v>
      </c>
      <c r="AL39" s="124" t="s">
        <v>102</v>
      </c>
      <c r="AM39" s="124" t="s">
        <v>102</v>
      </c>
      <c r="AN39" s="124" t="s">
        <v>102</v>
      </c>
      <c r="AO39" s="124" t="s">
        <v>102</v>
      </c>
      <c r="AP39" s="124" t="s">
        <v>102</v>
      </c>
      <c r="AQ39" s="465"/>
    </row>
    <row r="40" spans="1:43" ht="120" x14ac:dyDescent="0.25">
      <c r="A40" s="34" t="s">
        <v>55</v>
      </c>
      <c r="B40" s="34" t="s">
        <v>354</v>
      </c>
      <c r="C40" s="34" t="s">
        <v>2285</v>
      </c>
      <c r="D40" s="34">
        <v>241330000</v>
      </c>
      <c r="E40" s="74" t="s">
        <v>2883</v>
      </c>
      <c r="F40" s="34" t="s">
        <v>2884</v>
      </c>
      <c r="G40" s="34" t="s">
        <v>2885</v>
      </c>
      <c r="H40" s="36">
        <v>436946000</v>
      </c>
      <c r="I40" s="466">
        <v>0</v>
      </c>
      <c r="J40" s="39">
        <v>436946000</v>
      </c>
      <c r="K40" s="36">
        <v>0</v>
      </c>
      <c r="L40" s="39"/>
      <c r="M40" s="39"/>
      <c r="N40" s="36">
        <f t="shared" si="1"/>
        <v>436946000</v>
      </c>
      <c r="O40" s="36">
        <f t="shared" si="1"/>
        <v>0</v>
      </c>
      <c r="P40" s="36">
        <f t="shared" si="1"/>
        <v>436946000</v>
      </c>
      <c r="Q40" s="36">
        <v>436946000</v>
      </c>
      <c r="R40" s="36">
        <v>17541848356</v>
      </c>
      <c r="S40" s="36">
        <f t="shared" si="0"/>
        <v>17978794356</v>
      </c>
      <c r="T40" s="37">
        <v>0</v>
      </c>
      <c r="U40" s="37">
        <v>0</v>
      </c>
      <c r="V40" s="37">
        <v>0</v>
      </c>
      <c r="W40" s="10"/>
      <c r="X40" s="10"/>
      <c r="Y40" s="10"/>
      <c r="Z40" s="10"/>
      <c r="AA40" s="34">
        <v>0</v>
      </c>
      <c r="AB40" s="10"/>
      <c r="AC40" s="10"/>
      <c r="AD40" s="10" t="s">
        <v>2926</v>
      </c>
      <c r="AE40" s="124">
        <v>0</v>
      </c>
      <c r="AF40" s="124">
        <v>0</v>
      </c>
      <c r="AG40" s="124">
        <v>0</v>
      </c>
      <c r="AH40" s="124">
        <v>0</v>
      </c>
      <c r="AI40" s="124">
        <v>0</v>
      </c>
      <c r="AJ40" s="124">
        <v>0</v>
      </c>
      <c r="AK40" s="124">
        <v>0</v>
      </c>
      <c r="AL40" s="124">
        <v>0</v>
      </c>
      <c r="AM40" s="124">
        <v>0</v>
      </c>
      <c r="AN40" s="124">
        <v>0</v>
      </c>
      <c r="AO40" s="124">
        <v>0</v>
      </c>
      <c r="AP40" s="124">
        <v>0</v>
      </c>
      <c r="AQ40" s="465"/>
    </row>
    <row r="41" spans="1:43" ht="120" x14ac:dyDescent="0.25">
      <c r="A41" s="34">
        <v>0</v>
      </c>
      <c r="B41" s="34">
        <v>0</v>
      </c>
      <c r="C41" s="34">
        <v>0</v>
      </c>
      <c r="D41" s="34">
        <v>0</v>
      </c>
      <c r="E41" s="34">
        <v>0</v>
      </c>
      <c r="F41" s="34">
        <v>0</v>
      </c>
      <c r="G41" s="34">
        <v>0</v>
      </c>
      <c r="H41" s="36">
        <v>0</v>
      </c>
      <c r="I41" s="466"/>
      <c r="J41" s="39"/>
      <c r="K41" s="36">
        <v>0</v>
      </c>
      <c r="L41" s="39"/>
      <c r="M41" s="39"/>
      <c r="N41" s="36">
        <f t="shared" si="1"/>
        <v>0</v>
      </c>
      <c r="O41" s="36">
        <f t="shared" si="1"/>
        <v>0</v>
      </c>
      <c r="P41" s="36">
        <f t="shared" si="1"/>
        <v>0</v>
      </c>
      <c r="Q41" s="36"/>
      <c r="R41" s="36"/>
      <c r="S41" s="36">
        <f t="shared" si="0"/>
        <v>0</v>
      </c>
      <c r="T41" s="37" t="s">
        <v>2927</v>
      </c>
      <c r="U41" s="37" t="s">
        <v>2924</v>
      </c>
      <c r="V41" s="160">
        <v>12707</v>
      </c>
      <c r="W41" s="10">
        <v>6709</v>
      </c>
      <c r="X41" s="10"/>
      <c r="Y41" s="10">
        <v>6709</v>
      </c>
      <c r="Z41" s="18">
        <v>10177</v>
      </c>
      <c r="AA41" s="34">
        <v>360</v>
      </c>
      <c r="AB41" s="10">
        <v>180</v>
      </c>
      <c r="AC41" s="10">
        <v>360</v>
      </c>
      <c r="AD41" s="10" t="s">
        <v>2928</v>
      </c>
      <c r="AE41" s="124" t="s">
        <v>102</v>
      </c>
      <c r="AF41" s="124" t="s">
        <v>102</v>
      </c>
      <c r="AG41" s="124" t="s">
        <v>102</v>
      </c>
      <c r="AH41" s="124" t="s">
        <v>102</v>
      </c>
      <c r="AI41" s="124" t="s">
        <v>102</v>
      </c>
      <c r="AJ41" s="124" t="s">
        <v>102</v>
      </c>
      <c r="AK41" s="124" t="s">
        <v>102</v>
      </c>
      <c r="AL41" s="124" t="s">
        <v>102</v>
      </c>
      <c r="AM41" s="124" t="s">
        <v>102</v>
      </c>
      <c r="AN41" s="124" t="s">
        <v>102</v>
      </c>
      <c r="AO41" s="124" t="s">
        <v>102</v>
      </c>
      <c r="AP41" s="124" t="s">
        <v>102</v>
      </c>
    </row>
    <row r="42" spans="1:43" x14ac:dyDescent="0.25">
      <c r="A42" s="34">
        <v>0</v>
      </c>
      <c r="B42" s="34">
        <v>0</v>
      </c>
      <c r="C42" s="34">
        <v>0</v>
      </c>
      <c r="D42" s="34">
        <v>0</v>
      </c>
      <c r="E42" s="34">
        <v>0</v>
      </c>
      <c r="F42" s="34">
        <v>0</v>
      </c>
      <c r="G42" s="34">
        <v>0</v>
      </c>
      <c r="H42" s="36">
        <v>0</v>
      </c>
      <c r="I42" s="466"/>
      <c r="J42" s="39"/>
      <c r="K42" s="36">
        <v>0</v>
      </c>
      <c r="L42" s="39"/>
      <c r="M42" s="39"/>
      <c r="N42" s="36">
        <v>0</v>
      </c>
      <c r="O42" s="39">
        <v>0</v>
      </c>
      <c r="P42" s="39">
        <v>0</v>
      </c>
      <c r="Q42" s="39"/>
      <c r="R42" s="39"/>
      <c r="S42" s="39">
        <v>0</v>
      </c>
      <c r="T42" s="37">
        <v>0</v>
      </c>
      <c r="U42" s="37">
        <v>0</v>
      </c>
      <c r="V42" s="37">
        <v>0</v>
      </c>
      <c r="W42" s="10"/>
      <c r="X42" s="10"/>
      <c r="Y42" s="10"/>
      <c r="Z42" s="10"/>
      <c r="AA42" s="34">
        <v>0</v>
      </c>
      <c r="AB42" s="10"/>
      <c r="AC42" s="10"/>
      <c r="AD42" s="10"/>
      <c r="AE42" s="124">
        <v>0</v>
      </c>
      <c r="AF42" s="124">
        <v>0</v>
      </c>
      <c r="AG42" s="124">
        <v>0</v>
      </c>
      <c r="AH42" s="124">
        <v>0</v>
      </c>
      <c r="AI42" s="124">
        <v>0</v>
      </c>
      <c r="AJ42" s="124">
        <v>0</v>
      </c>
      <c r="AK42" s="124">
        <v>0</v>
      </c>
      <c r="AL42" s="124">
        <v>0</v>
      </c>
      <c r="AM42" s="124">
        <v>0</v>
      </c>
      <c r="AN42" s="124">
        <v>0</v>
      </c>
      <c r="AO42" s="124">
        <v>0</v>
      </c>
      <c r="AP42" s="124">
        <v>0</v>
      </c>
    </row>
  </sheetData>
  <sheetProtection algorithmName="SHA-512" hashValue="++RnoGg5h4X4h+kvP+TQElDgCa6L0uFXKSooaKZE/HUAliGQ7zo4d4fsUCwDeYa4Ufs3vHnj83jQJIw1VH5kRQ==" saltValue="lZYt1Urf1Lg17kKqTCWKJQ==" spinCount="100000" sheet="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5"/>
  <sheetViews>
    <sheetView topLeftCell="A4" zoomScale="80" zoomScaleNormal="80" workbookViewId="0">
      <pane ySplit="5" topLeftCell="A9" activePane="bottomLeft" state="frozen"/>
      <selection activeCell="A4" sqref="A4"/>
      <selection pane="bottomLeft" activeCell="H9" sqref="H9"/>
    </sheetView>
  </sheetViews>
  <sheetFormatPr baseColWidth="10" defaultRowHeight="15" x14ac:dyDescent="0.25"/>
  <cols>
    <col min="1" max="1" width="12.7109375" style="1" customWidth="1"/>
    <col min="2" max="2" width="16.28515625" style="1" customWidth="1"/>
    <col min="3" max="3" width="13.42578125" style="1" customWidth="1"/>
    <col min="4" max="4" width="11.42578125" style="1"/>
    <col min="5" max="5" width="17" style="1" customWidth="1"/>
    <col min="6" max="6" width="16.7109375" style="1" customWidth="1"/>
    <col min="7" max="7" width="16" style="1" customWidth="1"/>
    <col min="8" max="8" width="37.42578125" style="1" customWidth="1"/>
    <col min="9" max="9" width="17.42578125" style="1" customWidth="1"/>
    <col min="10" max="10" width="16.7109375" style="1" customWidth="1"/>
    <col min="11" max="11" width="22.28515625" style="1" customWidth="1"/>
    <col min="12" max="12" width="11.42578125" style="1"/>
    <col min="13" max="13" width="14.42578125" style="1" customWidth="1"/>
    <col min="14" max="14" width="16.28515625" style="1" customWidth="1"/>
    <col min="15" max="15" width="11.42578125" style="1"/>
    <col min="16" max="16" width="12.42578125" style="1" customWidth="1"/>
    <col min="17" max="17" width="21.140625" style="1" customWidth="1"/>
    <col min="18" max="256" width="11.42578125" style="1"/>
    <col min="257" max="257" width="12.7109375" style="1" customWidth="1"/>
    <col min="258" max="258" width="16.28515625" style="1" customWidth="1"/>
    <col min="259" max="259" width="13.42578125" style="1" customWidth="1"/>
    <col min="260" max="260" width="11.42578125" style="1"/>
    <col min="261" max="261" width="17" style="1" customWidth="1"/>
    <col min="262" max="262" width="16.7109375" style="1" customWidth="1"/>
    <col min="263" max="263" width="16" style="1" customWidth="1"/>
    <col min="264" max="264" width="37.42578125" style="1" customWidth="1"/>
    <col min="265" max="265" width="17.42578125" style="1" customWidth="1"/>
    <col min="266" max="266" width="16.7109375" style="1" customWidth="1"/>
    <col min="267" max="267" width="22.28515625" style="1" customWidth="1"/>
    <col min="268" max="268" width="11.42578125" style="1"/>
    <col min="269" max="269" width="14.42578125" style="1" customWidth="1"/>
    <col min="270" max="270" width="16.28515625" style="1" customWidth="1"/>
    <col min="271" max="271" width="11.42578125" style="1"/>
    <col min="272" max="272" width="12.42578125" style="1" customWidth="1"/>
    <col min="273" max="273" width="21.140625" style="1" customWidth="1"/>
    <col min="274" max="512" width="11.42578125" style="1"/>
    <col min="513" max="513" width="12.7109375" style="1" customWidth="1"/>
    <col min="514" max="514" width="16.28515625" style="1" customWidth="1"/>
    <col min="515" max="515" width="13.42578125" style="1" customWidth="1"/>
    <col min="516" max="516" width="11.42578125" style="1"/>
    <col min="517" max="517" width="17" style="1" customWidth="1"/>
    <col min="518" max="518" width="16.7109375" style="1" customWidth="1"/>
    <col min="519" max="519" width="16" style="1" customWidth="1"/>
    <col min="520" max="520" width="37.42578125" style="1" customWidth="1"/>
    <col min="521" max="521" width="17.42578125" style="1" customWidth="1"/>
    <col min="522" max="522" width="16.7109375" style="1" customWidth="1"/>
    <col min="523" max="523" width="22.28515625" style="1" customWidth="1"/>
    <col min="524" max="524" width="11.42578125" style="1"/>
    <col min="525" max="525" width="14.42578125" style="1" customWidth="1"/>
    <col min="526" max="526" width="16.28515625" style="1" customWidth="1"/>
    <col min="527" max="527" width="11.42578125" style="1"/>
    <col min="528" max="528" width="12.42578125" style="1" customWidth="1"/>
    <col min="529" max="529" width="21.140625" style="1" customWidth="1"/>
    <col min="530" max="768" width="11.42578125" style="1"/>
    <col min="769" max="769" width="12.7109375" style="1" customWidth="1"/>
    <col min="770" max="770" width="16.28515625" style="1" customWidth="1"/>
    <col min="771" max="771" width="13.42578125" style="1" customWidth="1"/>
    <col min="772" max="772" width="11.42578125" style="1"/>
    <col min="773" max="773" width="17" style="1" customWidth="1"/>
    <col min="774" max="774" width="16.7109375" style="1" customWidth="1"/>
    <col min="775" max="775" width="16" style="1" customWidth="1"/>
    <col min="776" max="776" width="37.42578125" style="1" customWidth="1"/>
    <col min="777" max="777" width="17.42578125" style="1" customWidth="1"/>
    <col min="778" max="778" width="16.7109375" style="1" customWidth="1"/>
    <col min="779" max="779" width="22.28515625" style="1" customWidth="1"/>
    <col min="780" max="780" width="11.42578125" style="1"/>
    <col min="781" max="781" width="14.42578125" style="1" customWidth="1"/>
    <col min="782" max="782" width="16.28515625" style="1" customWidth="1"/>
    <col min="783" max="783" width="11.42578125" style="1"/>
    <col min="784" max="784" width="12.42578125" style="1" customWidth="1"/>
    <col min="785" max="785" width="21.140625" style="1" customWidth="1"/>
    <col min="786" max="1024" width="11.42578125" style="1"/>
    <col min="1025" max="1025" width="12.7109375" style="1" customWidth="1"/>
    <col min="1026" max="1026" width="16.28515625" style="1" customWidth="1"/>
    <col min="1027" max="1027" width="13.42578125" style="1" customWidth="1"/>
    <col min="1028" max="1028" width="11.42578125" style="1"/>
    <col min="1029" max="1029" width="17" style="1" customWidth="1"/>
    <col min="1030" max="1030" width="16.7109375" style="1" customWidth="1"/>
    <col min="1031" max="1031" width="16" style="1" customWidth="1"/>
    <col min="1032" max="1032" width="37.42578125" style="1" customWidth="1"/>
    <col min="1033" max="1033" width="17.42578125" style="1" customWidth="1"/>
    <col min="1034" max="1034" width="16.7109375" style="1" customWidth="1"/>
    <col min="1035" max="1035" width="22.28515625" style="1" customWidth="1"/>
    <col min="1036" max="1036" width="11.42578125" style="1"/>
    <col min="1037" max="1037" width="14.42578125" style="1" customWidth="1"/>
    <col min="1038" max="1038" width="16.28515625" style="1" customWidth="1"/>
    <col min="1039" max="1039" width="11.42578125" style="1"/>
    <col min="1040" max="1040" width="12.42578125" style="1" customWidth="1"/>
    <col min="1041" max="1041" width="21.140625" style="1" customWidth="1"/>
    <col min="1042" max="1280" width="11.42578125" style="1"/>
    <col min="1281" max="1281" width="12.7109375" style="1" customWidth="1"/>
    <col min="1282" max="1282" width="16.28515625" style="1" customWidth="1"/>
    <col min="1283" max="1283" width="13.42578125" style="1" customWidth="1"/>
    <col min="1284" max="1284" width="11.42578125" style="1"/>
    <col min="1285" max="1285" width="17" style="1" customWidth="1"/>
    <col min="1286" max="1286" width="16.7109375" style="1" customWidth="1"/>
    <col min="1287" max="1287" width="16" style="1" customWidth="1"/>
    <col min="1288" max="1288" width="37.42578125" style="1" customWidth="1"/>
    <col min="1289" max="1289" width="17.42578125" style="1" customWidth="1"/>
    <col min="1290" max="1290" width="16.7109375" style="1" customWidth="1"/>
    <col min="1291" max="1291" width="22.28515625" style="1" customWidth="1"/>
    <col min="1292" max="1292" width="11.42578125" style="1"/>
    <col min="1293" max="1293" width="14.42578125" style="1" customWidth="1"/>
    <col min="1294" max="1294" width="16.28515625" style="1" customWidth="1"/>
    <col min="1295" max="1295" width="11.42578125" style="1"/>
    <col min="1296" max="1296" width="12.42578125" style="1" customWidth="1"/>
    <col min="1297" max="1297" width="21.140625" style="1" customWidth="1"/>
    <col min="1298" max="1536" width="11.42578125" style="1"/>
    <col min="1537" max="1537" width="12.7109375" style="1" customWidth="1"/>
    <col min="1538" max="1538" width="16.28515625" style="1" customWidth="1"/>
    <col min="1539" max="1539" width="13.42578125" style="1" customWidth="1"/>
    <col min="1540" max="1540" width="11.42578125" style="1"/>
    <col min="1541" max="1541" width="17" style="1" customWidth="1"/>
    <col min="1542" max="1542" width="16.7109375" style="1" customWidth="1"/>
    <col min="1543" max="1543" width="16" style="1" customWidth="1"/>
    <col min="1544" max="1544" width="37.42578125" style="1" customWidth="1"/>
    <col min="1545" max="1545" width="17.42578125" style="1" customWidth="1"/>
    <col min="1546" max="1546" width="16.7109375" style="1" customWidth="1"/>
    <col min="1547" max="1547" width="22.28515625" style="1" customWidth="1"/>
    <col min="1548" max="1548" width="11.42578125" style="1"/>
    <col min="1549" max="1549" width="14.42578125" style="1" customWidth="1"/>
    <col min="1550" max="1550" width="16.28515625" style="1" customWidth="1"/>
    <col min="1551" max="1551" width="11.42578125" style="1"/>
    <col min="1552" max="1552" width="12.42578125" style="1" customWidth="1"/>
    <col min="1553" max="1553" width="21.140625" style="1" customWidth="1"/>
    <col min="1554" max="1792" width="11.42578125" style="1"/>
    <col min="1793" max="1793" width="12.7109375" style="1" customWidth="1"/>
    <col min="1794" max="1794" width="16.28515625" style="1" customWidth="1"/>
    <col min="1795" max="1795" width="13.42578125" style="1" customWidth="1"/>
    <col min="1796" max="1796" width="11.42578125" style="1"/>
    <col min="1797" max="1797" width="17" style="1" customWidth="1"/>
    <col min="1798" max="1798" width="16.7109375" style="1" customWidth="1"/>
    <col min="1799" max="1799" width="16" style="1" customWidth="1"/>
    <col min="1800" max="1800" width="37.42578125" style="1" customWidth="1"/>
    <col min="1801" max="1801" width="17.42578125" style="1" customWidth="1"/>
    <col min="1802" max="1802" width="16.7109375" style="1" customWidth="1"/>
    <col min="1803" max="1803" width="22.28515625" style="1" customWidth="1"/>
    <col min="1804" max="1804" width="11.42578125" style="1"/>
    <col min="1805" max="1805" width="14.42578125" style="1" customWidth="1"/>
    <col min="1806" max="1806" width="16.28515625" style="1" customWidth="1"/>
    <col min="1807" max="1807" width="11.42578125" style="1"/>
    <col min="1808" max="1808" width="12.42578125" style="1" customWidth="1"/>
    <col min="1809" max="1809" width="21.140625" style="1" customWidth="1"/>
    <col min="1810" max="2048" width="11.42578125" style="1"/>
    <col min="2049" max="2049" width="12.7109375" style="1" customWidth="1"/>
    <col min="2050" max="2050" width="16.28515625" style="1" customWidth="1"/>
    <col min="2051" max="2051" width="13.42578125" style="1" customWidth="1"/>
    <col min="2052" max="2052" width="11.42578125" style="1"/>
    <col min="2053" max="2053" width="17" style="1" customWidth="1"/>
    <col min="2054" max="2054" width="16.7109375" style="1" customWidth="1"/>
    <col min="2055" max="2055" width="16" style="1" customWidth="1"/>
    <col min="2056" max="2056" width="37.42578125" style="1" customWidth="1"/>
    <col min="2057" max="2057" width="17.42578125" style="1" customWidth="1"/>
    <col min="2058" max="2058" width="16.7109375" style="1" customWidth="1"/>
    <col min="2059" max="2059" width="22.28515625" style="1" customWidth="1"/>
    <col min="2060" max="2060" width="11.42578125" style="1"/>
    <col min="2061" max="2061" width="14.42578125" style="1" customWidth="1"/>
    <col min="2062" max="2062" width="16.28515625" style="1" customWidth="1"/>
    <col min="2063" max="2063" width="11.42578125" style="1"/>
    <col min="2064" max="2064" width="12.42578125" style="1" customWidth="1"/>
    <col min="2065" max="2065" width="21.140625" style="1" customWidth="1"/>
    <col min="2066" max="2304" width="11.42578125" style="1"/>
    <col min="2305" max="2305" width="12.7109375" style="1" customWidth="1"/>
    <col min="2306" max="2306" width="16.28515625" style="1" customWidth="1"/>
    <col min="2307" max="2307" width="13.42578125" style="1" customWidth="1"/>
    <col min="2308" max="2308" width="11.42578125" style="1"/>
    <col min="2309" max="2309" width="17" style="1" customWidth="1"/>
    <col min="2310" max="2310" width="16.7109375" style="1" customWidth="1"/>
    <col min="2311" max="2311" width="16" style="1" customWidth="1"/>
    <col min="2312" max="2312" width="37.42578125" style="1" customWidth="1"/>
    <col min="2313" max="2313" width="17.42578125" style="1" customWidth="1"/>
    <col min="2314" max="2314" width="16.7109375" style="1" customWidth="1"/>
    <col min="2315" max="2315" width="22.28515625" style="1" customWidth="1"/>
    <col min="2316" max="2316" width="11.42578125" style="1"/>
    <col min="2317" max="2317" width="14.42578125" style="1" customWidth="1"/>
    <col min="2318" max="2318" width="16.28515625" style="1" customWidth="1"/>
    <col min="2319" max="2319" width="11.42578125" style="1"/>
    <col min="2320" max="2320" width="12.42578125" style="1" customWidth="1"/>
    <col min="2321" max="2321" width="21.140625" style="1" customWidth="1"/>
    <col min="2322" max="2560" width="11.42578125" style="1"/>
    <col min="2561" max="2561" width="12.7109375" style="1" customWidth="1"/>
    <col min="2562" max="2562" width="16.28515625" style="1" customWidth="1"/>
    <col min="2563" max="2563" width="13.42578125" style="1" customWidth="1"/>
    <col min="2564" max="2564" width="11.42578125" style="1"/>
    <col min="2565" max="2565" width="17" style="1" customWidth="1"/>
    <col min="2566" max="2566" width="16.7109375" style="1" customWidth="1"/>
    <col min="2567" max="2567" width="16" style="1" customWidth="1"/>
    <col min="2568" max="2568" width="37.42578125" style="1" customWidth="1"/>
    <col min="2569" max="2569" width="17.42578125" style="1" customWidth="1"/>
    <col min="2570" max="2570" width="16.7109375" style="1" customWidth="1"/>
    <col min="2571" max="2571" width="22.28515625" style="1" customWidth="1"/>
    <col min="2572" max="2572" width="11.42578125" style="1"/>
    <col min="2573" max="2573" width="14.42578125" style="1" customWidth="1"/>
    <col min="2574" max="2574" width="16.28515625" style="1" customWidth="1"/>
    <col min="2575" max="2575" width="11.42578125" style="1"/>
    <col min="2576" max="2576" width="12.42578125" style="1" customWidth="1"/>
    <col min="2577" max="2577" width="21.140625" style="1" customWidth="1"/>
    <col min="2578" max="2816" width="11.42578125" style="1"/>
    <col min="2817" max="2817" width="12.7109375" style="1" customWidth="1"/>
    <col min="2818" max="2818" width="16.28515625" style="1" customWidth="1"/>
    <col min="2819" max="2819" width="13.42578125" style="1" customWidth="1"/>
    <col min="2820" max="2820" width="11.42578125" style="1"/>
    <col min="2821" max="2821" width="17" style="1" customWidth="1"/>
    <col min="2822" max="2822" width="16.7109375" style="1" customWidth="1"/>
    <col min="2823" max="2823" width="16" style="1" customWidth="1"/>
    <col min="2824" max="2824" width="37.42578125" style="1" customWidth="1"/>
    <col min="2825" max="2825" width="17.42578125" style="1" customWidth="1"/>
    <col min="2826" max="2826" width="16.7109375" style="1" customWidth="1"/>
    <col min="2827" max="2827" width="22.28515625" style="1" customWidth="1"/>
    <col min="2828" max="2828" width="11.42578125" style="1"/>
    <col min="2829" max="2829" width="14.42578125" style="1" customWidth="1"/>
    <col min="2830" max="2830" width="16.28515625" style="1" customWidth="1"/>
    <col min="2831" max="2831" width="11.42578125" style="1"/>
    <col min="2832" max="2832" width="12.42578125" style="1" customWidth="1"/>
    <col min="2833" max="2833" width="21.140625" style="1" customWidth="1"/>
    <col min="2834" max="3072" width="11.42578125" style="1"/>
    <col min="3073" max="3073" width="12.7109375" style="1" customWidth="1"/>
    <col min="3074" max="3074" width="16.28515625" style="1" customWidth="1"/>
    <col min="3075" max="3075" width="13.42578125" style="1" customWidth="1"/>
    <col min="3076" max="3076" width="11.42578125" style="1"/>
    <col min="3077" max="3077" width="17" style="1" customWidth="1"/>
    <col min="3078" max="3078" width="16.7109375" style="1" customWidth="1"/>
    <col min="3079" max="3079" width="16" style="1" customWidth="1"/>
    <col min="3080" max="3080" width="37.42578125" style="1" customWidth="1"/>
    <col min="3081" max="3081" width="17.42578125" style="1" customWidth="1"/>
    <col min="3082" max="3082" width="16.7109375" style="1" customWidth="1"/>
    <col min="3083" max="3083" width="22.28515625" style="1" customWidth="1"/>
    <col min="3084" max="3084" width="11.42578125" style="1"/>
    <col min="3085" max="3085" width="14.42578125" style="1" customWidth="1"/>
    <col min="3086" max="3086" width="16.28515625" style="1" customWidth="1"/>
    <col min="3087" max="3087" width="11.42578125" style="1"/>
    <col min="3088" max="3088" width="12.42578125" style="1" customWidth="1"/>
    <col min="3089" max="3089" width="21.140625" style="1" customWidth="1"/>
    <col min="3090" max="3328" width="11.42578125" style="1"/>
    <col min="3329" max="3329" width="12.7109375" style="1" customWidth="1"/>
    <col min="3330" max="3330" width="16.28515625" style="1" customWidth="1"/>
    <col min="3331" max="3331" width="13.42578125" style="1" customWidth="1"/>
    <col min="3332" max="3332" width="11.42578125" style="1"/>
    <col min="3333" max="3333" width="17" style="1" customWidth="1"/>
    <col min="3334" max="3334" width="16.7109375" style="1" customWidth="1"/>
    <col min="3335" max="3335" width="16" style="1" customWidth="1"/>
    <col min="3336" max="3336" width="37.42578125" style="1" customWidth="1"/>
    <col min="3337" max="3337" width="17.42578125" style="1" customWidth="1"/>
    <col min="3338" max="3338" width="16.7109375" style="1" customWidth="1"/>
    <col min="3339" max="3339" width="22.28515625" style="1" customWidth="1"/>
    <col min="3340" max="3340" width="11.42578125" style="1"/>
    <col min="3341" max="3341" width="14.42578125" style="1" customWidth="1"/>
    <col min="3342" max="3342" width="16.28515625" style="1" customWidth="1"/>
    <col min="3343" max="3343" width="11.42578125" style="1"/>
    <col min="3344" max="3344" width="12.42578125" style="1" customWidth="1"/>
    <col min="3345" max="3345" width="21.140625" style="1" customWidth="1"/>
    <col min="3346" max="3584" width="11.42578125" style="1"/>
    <col min="3585" max="3585" width="12.7109375" style="1" customWidth="1"/>
    <col min="3586" max="3586" width="16.28515625" style="1" customWidth="1"/>
    <col min="3587" max="3587" width="13.42578125" style="1" customWidth="1"/>
    <col min="3588" max="3588" width="11.42578125" style="1"/>
    <col min="3589" max="3589" width="17" style="1" customWidth="1"/>
    <col min="3590" max="3590" width="16.7109375" style="1" customWidth="1"/>
    <col min="3591" max="3591" width="16" style="1" customWidth="1"/>
    <col min="3592" max="3592" width="37.42578125" style="1" customWidth="1"/>
    <col min="3593" max="3593" width="17.42578125" style="1" customWidth="1"/>
    <col min="3594" max="3594" width="16.7109375" style="1" customWidth="1"/>
    <col min="3595" max="3595" width="22.28515625" style="1" customWidth="1"/>
    <col min="3596" max="3596" width="11.42578125" style="1"/>
    <col min="3597" max="3597" width="14.42578125" style="1" customWidth="1"/>
    <col min="3598" max="3598" width="16.28515625" style="1" customWidth="1"/>
    <col min="3599" max="3599" width="11.42578125" style="1"/>
    <col min="3600" max="3600" width="12.42578125" style="1" customWidth="1"/>
    <col min="3601" max="3601" width="21.140625" style="1" customWidth="1"/>
    <col min="3602" max="3840" width="11.42578125" style="1"/>
    <col min="3841" max="3841" width="12.7109375" style="1" customWidth="1"/>
    <col min="3842" max="3842" width="16.28515625" style="1" customWidth="1"/>
    <col min="3843" max="3843" width="13.42578125" style="1" customWidth="1"/>
    <col min="3844" max="3844" width="11.42578125" style="1"/>
    <col min="3845" max="3845" width="17" style="1" customWidth="1"/>
    <col min="3846" max="3846" width="16.7109375" style="1" customWidth="1"/>
    <col min="3847" max="3847" width="16" style="1" customWidth="1"/>
    <col min="3848" max="3848" width="37.42578125" style="1" customWidth="1"/>
    <col min="3849" max="3849" width="17.42578125" style="1" customWidth="1"/>
    <col min="3850" max="3850" width="16.7109375" style="1" customWidth="1"/>
    <col min="3851" max="3851" width="22.28515625" style="1" customWidth="1"/>
    <col min="3852" max="3852" width="11.42578125" style="1"/>
    <col min="3853" max="3853" width="14.42578125" style="1" customWidth="1"/>
    <col min="3854" max="3854" width="16.28515625" style="1" customWidth="1"/>
    <col min="3855" max="3855" width="11.42578125" style="1"/>
    <col min="3856" max="3856" width="12.42578125" style="1" customWidth="1"/>
    <col min="3857" max="3857" width="21.140625" style="1" customWidth="1"/>
    <col min="3858" max="4096" width="11.42578125" style="1"/>
    <col min="4097" max="4097" width="12.7109375" style="1" customWidth="1"/>
    <col min="4098" max="4098" width="16.28515625" style="1" customWidth="1"/>
    <col min="4099" max="4099" width="13.42578125" style="1" customWidth="1"/>
    <col min="4100" max="4100" width="11.42578125" style="1"/>
    <col min="4101" max="4101" width="17" style="1" customWidth="1"/>
    <col min="4102" max="4102" width="16.7109375" style="1" customWidth="1"/>
    <col min="4103" max="4103" width="16" style="1" customWidth="1"/>
    <col min="4104" max="4104" width="37.42578125" style="1" customWidth="1"/>
    <col min="4105" max="4105" width="17.42578125" style="1" customWidth="1"/>
    <col min="4106" max="4106" width="16.7109375" style="1" customWidth="1"/>
    <col min="4107" max="4107" width="22.28515625" style="1" customWidth="1"/>
    <col min="4108" max="4108" width="11.42578125" style="1"/>
    <col min="4109" max="4109" width="14.42578125" style="1" customWidth="1"/>
    <col min="4110" max="4110" width="16.28515625" style="1" customWidth="1"/>
    <col min="4111" max="4111" width="11.42578125" style="1"/>
    <col min="4112" max="4112" width="12.42578125" style="1" customWidth="1"/>
    <col min="4113" max="4113" width="21.140625" style="1" customWidth="1"/>
    <col min="4114" max="4352" width="11.42578125" style="1"/>
    <col min="4353" max="4353" width="12.7109375" style="1" customWidth="1"/>
    <col min="4354" max="4354" width="16.28515625" style="1" customWidth="1"/>
    <col min="4355" max="4355" width="13.42578125" style="1" customWidth="1"/>
    <col min="4356" max="4356" width="11.42578125" style="1"/>
    <col min="4357" max="4357" width="17" style="1" customWidth="1"/>
    <col min="4358" max="4358" width="16.7109375" style="1" customWidth="1"/>
    <col min="4359" max="4359" width="16" style="1" customWidth="1"/>
    <col min="4360" max="4360" width="37.42578125" style="1" customWidth="1"/>
    <col min="4361" max="4361" width="17.42578125" style="1" customWidth="1"/>
    <col min="4362" max="4362" width="16.7109375" style="1" customWidth="1"/>
    <col min="4363" max="4363" width="22.28515625" style="1" customWidth="1"/>
    <col min="4364" max="4364" width="11.42578125" style="1"/>
    <col min="4365" max="4365" width="14.42578125" style="1" customWidth="1"/>
    <col min="4366" max="4366" width="16.28515625" style="1" customWidth="1"/>
    <col min="4367" max="4367" width="11.42578125" style="1"/>
    <col min="4368" max="4368" width="12.42578125" style="1" customWidth="1"/>
    <col min="4369" max="4369" width="21.140625" style="1" customWidth="1"/>
    <col min="4370" max="4608" width="11.42578125" style="1"/>
    <col min="4609" max="4609" width="12.7109375" style="1" customWidth="1"/>
    <col min="4610" max="4610" width="16.28515625" style="1" customWidth="1"/>
    <col min="4611" max="4611" width="13.42578125" style="1" customWidth="1"/>
    <col min="4612" max="4612" width="11.42578125" style="1"/>
    <col min="4613" max="4613" width="17" style="1" customWidth="1"/>
    <col min="4614" max="4614" width="16.7109375" style="1" customWidth="1"/>
    <col min="4615" max="4615" width="16" style="1" customWidth="1"/>
    <col min="4616" max="4616" width="37.42578125" style="1" customWidth="1"/>
    <col min="4617" max="4617" width="17.42578125" style="1" customWidth="1"/>
    <col min="4618" max="4618" width="16.7109375" style="1" customWidth="1"/>
    <col min="4619" max="4619" width="22.28515625" style="1" customWidth="1"/>
    <col min="4620" max="4620" width="11.42578125" style="1"/>
    <col min="4621" max="4621" width="14.42578125" style="1" customWidth="1"/>
    <col min="4622" max="4622" width="16.28515625" style="1" customWidth="1"/>
    <col min="4623" max="4623" width="11.42578125" style="1"/>
    <col min="4624" max="4624" width="12.42578125" style="1" customWidth="1"/>
    <col min="4625" max="4625" width="21.140625" style="1" customWidth="1"/>
    <col min="4626" max="4864" width="11.42578125" style="1"/>
    <col min="4865" max="4865" width="12.7109375" style="1" customWidth="1"/>
    <col min="4866" max="4866" width="16.28515625" style="1" customWidth="1"/>
    <col min="4867" max="4867" width="13.42578125" style="1" customWidth="1"/>
    <col min="4868" max="4868" width="11.42578125" style="1"/>
    <col min="4869" max="4869" width="17" style="1" customWidth="1"/>
    <col min="4870" max="4870" width="16.7109375" style="1" customWidth="1"/>
    <col min="4871" max="4871" width="16" style="1" customWidth="1"/>
    <col min="4872" max="4872" width="37.42578125" style="1" customWidth="1"/>
    <col min="4873" max="4873" width="17.42578125" style="1" customWidth="1"/>
    <col min="4874" max="4874" width="16.7109375" style="1" customWidth="1"/>
    <col min="4875" max="4875" width="22.28515625" style="1" customWidth="1"/>
    <col min="4876" max="4876" width="11.42578125" style="1"/>
    <col min="4877" max="4877" width="14.42578125" style="1" customWidth="1"/>
    <col min="4878" max="4878" width="16.28515625" style="1" customWidth="1"/>
    <col min="4879" max="4879" width="11.42578125" style="1"/>
    <col min="4880" max="4880" width="12.42578125" style="1" customWidth="1"/>
    <col min="4881" max="4881" width="21.140625" style="1" customWidth="1"/>
    <col min="4882" max="5120" width="11.42578125" style="1"/>
    <col min="5121" max="5121" width="12.7109375" style="1" customWidth="1"/>
    <col min="5122" max="5122" width="16.28515625" style="1" customWidth="1"/>
    <col min="5123" max="5123" width="13.42578125" style="1" customWidth="1"/>
    <col min="5124" max="5124" width="11.42578125" style="1"/>
    <col min="5125" max="5125" width="17" style="1" customWidth="1"/>
    <col min="5126" max="5126" width="16.7109375" style="1" customWidth="1"/>
    <col min="5127" max="5127" width="16" style="1" customWidth="1"/>
    <col min="5128" max="5128" width="37.42578125" style="1" customWidth="1"/>
    <col min="5129" max="5129" width="17.42578125" style="1" customWidth="1"/>
    <col min="5130" max="5130" width="16.7109375" style="1" customWidth="1"/>
    <col min="5131" max="5131" width="22.28515625" style="1" customWidth="1"/>
    <col min="5132" max="5132" width="11.42578125" style="1"/>
    <col min="5133" max="5133" width="14.42578125" style="1" customWidth="1"/>
    <col min="5134" max="5134" width="16.28515625" style="1" customWidth="1"/>
    <col min="5135" max="5135" width="11.42578125" style="1"/>
    <col min="5136" max="5136" width="12.42578125" style="1" customWidth="1"/>
    <col min="5137" max="5137" width="21.140625" style="1" customWidth="1"/>
    <col min="5138" max="5376" width="11.42578125" style="1"/>
    <col min="5377" max="5377" width="12.7109375" style="1" customWidth="1"/>
    <col min="5378" max="5378" width="16.28515625" style="1" customWidth="1"/>
    <col min="5379" max="5379" width="13.42578125" style="1" customWidth="1"/>
    <col min="5380" max="5380" width="11.42578125" style="1"/>
    <col min="5381" max="5381" width="17" style="1" customWidth="1"/>
    <col min="5382" max="5382" width="16.7109375" style="1" customWidth="1"/>
    <col min="5383" max="5383" width="16" style="1" customWidth="1"/>
    <col min="5384" max="5384" width="37.42578125" style="1" customWidth="1"/>
    <col min="5385" max="5385" width="17.42578125" style="1" customWidth="1"/>
    <col min="5386" max="5386" width="16.7109375" style="1" customWidth="1"/>
    <col min="5387" max="5387" width="22.28515625" style="1" customWidth="1"/>
    <col min="5388" max="5388" width="11.42578125" style="1"/>
    <col min="5389" max="5389" width="14.42578125" style="1" customWidth="1"/>
    <col min="5390" max="5390" width="16.28515625" style="1" customWidth="1"/>
    <col min="5391" max="5391" width="11.42578125" style="1"/>
    <col min="5392" max="5392" width="12.42578125" style="1" customWidth="1"/>
    <col min="5393" max="5393" width="21.140625" style="1" customWidth="1"/>
    <col min="5394" max="5632" width="11.42578125" style="1"/>
    <col min="5633" max="5633" width="12.7109375" style="1" customWidth="1"/>
    <col min="5634" max="5634" width="16.28515625" style="1" customWidth="1"/>
    <col min="5635" max="5635" width="13.42578125" style="1" customWidth="1"/>
    <col min="5636" max="5636" width="11.42578125" style="1"/>
    <col min="5637" max="5637" width="17" style="1" customWidth="1"/>
    <col min="5638" max="5638" width="16.7109375" style="1" customWidth="1"/>
    <col min="5639" max="5639" width="16" style="1" customWidth="1"/>
    <col min="5640" max="5640" width="37.42578125" style="1" customWidth="1"/>
    <col min="5641" max="5641" width="17.42578125" style="1" customWidth="1"/>
    <col min="5642" max="5642" width="16.7109375" style="1" customWidth="1"/>
    <col min="5643" max="5643" width="22.28515625" style="1" customWidth="1"/>
    <col min="5644" max="5644" width="11.42578125" style="1"/>
    <col min="5645" max="5645" width="14.42578125" style="1" customWidth="1"/>
    <col min="5646" max="5646" width="16.28515625" style="1" customWidth="1"/>
    <col min="5647" max="5647" width="11.42578125" style="1"/>
    <col min="5648" max="5648" width="12.42578125" style="1" customWidth="1"/>
    <col min="5649" max="5649" width="21.140625" style="1" customWidth="1"/>
    <col min="5650" max="5888" width="11.42578125" style="1"/>
    <col min="5889" max="5889" width="12.7109375" style="1" customWidth="1"/>
    <col min="5890" max="5890" width="16.28515625" style="1" customWidth="1"/>
    <col min="5891" max="5891" width="13.42578125" style="1" customWidth="1"/>
    <col min="5892" max="5892" width="11.42578125" style="1"/>
    <col min="5893" max="5893" width="17" style="1" customWidth="1"/>
    <col min="5894" max="5894" width="16.7109375" style="1" customWidth="1"/>
    <col min="5895" max="5895" width="16" style="1" customWidth="1"/>
    <col min="5896" max="5896" width="37.42578125" style="1" customWidth="1"/>
    <col min="5897" max="5897" width="17.42578125" style="1" customWidth="1"/>
    <col min="5898" max="5898" width="16.7109375" style="1" customWidth="1"/>
    <col min="5899" max="5899" width="22.28515625" style="1" customWidth="1"/>
    <col min="5900" max="5900" width="11.42578125" style="1"/>
    <col min="5901" max="5901" width="14.42578125" style="1" customWidth="1"/>
    <col min="5902" max="5902" width="16.28515625" style="1" customWidth="1"/>
    <col min="5903" max="5903" width="11.42578125" style="1"/>
    <col min="5904" max="5904" width="12.42578125" style="1" customWidth="1"/>
    <col min="5905" max="5905" width="21.140625" style="1" customWidth="1"/>
    <col min="5906" max="6144" width="11.42578125" style="1"/>
    <col min="6145" max="6145" width="12.7109375" style="1" customWidth="1"/>
    <col min="6146" max="6146" width="16.28515625" style="1" customWidth="1"/>
    <col min="6147" max="6147" width="13.42578125" style="1" customWidth="1"/>
    <col min="6148" max="6148" width="11.42578125" style="1"/>
    <col min="6149" max="6149" width="17" style="1" customWidth="1"/>
    <col min="6150" max="6150" width="16.7109375" style="1" customWidth="1"/>
    <col min="6151" max="6151" width="16" style="1" customWidth="1"/>
    <col min="6152" max="6152" width="37.42578125" style="1" customWidth="1"/>
    <col min="6153" max="6153" width="17.42578125" style="1" customWidth="1"/>
    <col min="6154" max="6154" width="16.7109375" style="1" customWidth="1"/>
    <col min="6155" max="6155" width="22.28515625" style="1" customWidth="1"/>
    <col min="6156" max="6156" width="11.42578125" style="1"/>
    <col min="6157" max="6157" width="14.42578125" style="1" customWidth="1"/>
    <col min="6158" max="6158" width="16.28515625" style="1" customWidth="1"/>
    <col min="6159" max="6159" width="11.42578125" style="1"/>
    <col min="6160" max="6160" width="12.42578125" style="1" customWidth="1"/>
    <col min="6161" max="6161" width="21.140625" style="1" customWidth="1"/>
    <col min="6162" max="6400" width="11.42578125" style="1"/>
    <col min="6401" max="6401" width="12.7109375" style="1" customWidth="1"/>
    <col min="6402" max="6402" width="16.28515625" style="1" customWidth="1"/>
    <col min="6403" max="6403" width="13.42578125" style="1" customWidth="1"/>
    <col min="6404" max="6404" width="11.42578125" style="1"/>
    <col min="6405" max="6405" width="17" style="1" customWidth="1"/>
    <col min="6406" max="6406" width="16.7109375" style="1" customWidth="1"/>
    <col min="6407" max="6407" width="16" style="1" customWidth="1"/>
    <col min="6408" max="6408" width="37.42578125" style="1" customWidth="1"/>
    <col min="6409" max="6409" width="17.42578125" style="1" customWidth="1"/>
    <col min="6410" max="6410" width="16.7109375" style="1" customWidth="1"/>
    <col min="6411" max="6411" width="22.28515625" style="1" customWidth="1"/>
    <col min="6412" max="6412" width="11.42578125" style="1"/>
    <col min="6413" max="6413" width="14.42578125" style="1" customWidth="1"/>
    <col min="6414" max="6414" width="16.28515625" style="1" customWidth="1"/>
    <col min="6415" max="6415" width="11.42578125" style="1"/>
    <col min="6416" max="6416" width="12.42578125" style="1" customWidth="1"/>
    <col min="6417" max="6417" width="21.140625" style="1" customWidth="1"/>
    <col min="6418" max="6656" width="11.42578125" style="1"/>
    <col min="6657" max="6657" width="12.7109375" style="1" customWidth="1"/>
    <col min="6658" max="6658" width="16.28515625" style="1" customWidth="1"/>
    <col min="6659" max="6659" width="13.42578125" style="1" customWidth="1"/>
    <col min="6660" max="6660" width="11.42578125" style="1"/>
    <col min="6661" max="6661" width="17" style="1" customWidth="1"/>
    <col min="6662" max="6662" width="16.7109375" style="1" customWidth="1"/>
    <col min="6663" max="6663" width="16" style="1" customWidth="1"/>
    <col min="6664" max="6664" width="37.42578125" style="1" customWidth="1"/>
    <col min="6665" max="6665" width="17.42578125" style="1" customWidth="1"/>
    <col min="6666" max="6666" width="16.7109375" style="1" customWidth="1"/>
    <col min="6667" max="6667" width="22.28515625" style="1" customWidth="1"/>
    <col min="6668" max="6668" width="11.42578125" style="1"/>
    <col min="6669" max="6669" width="14.42578125" style="1" customWidth="1"/>
    <col min="6670" max="6670" width="16.28515625" style="1" customWidth="1"/>
    <col min="6671" max="6671" width="11.42578125" style="1"/>
    <col min="6672" max="6672" width="12.42578125" style="1" customWidth="1"/>
    <col min="6673" max="6673" width="21.140625" style="1" customWidth="1"/>
    <col min="6674" max="6912" width="11.42578125" style="1"/>
    <col min="6913" max="6913" width="12.7109375" style="1" customWidth="1"/>
    <col min="6914" max="6914" width="16.28515625" style="1" customWidth="1"/>
    <col min="6915" max="6915" width="13.42578125" style="1" customWidth="1"/>
    <col min="6916" max="6916" width="11.42578125" style="1"/>
    <col min="6917" max="6917" width="17" style="1" customWidth="1"/>
    <col min="6918" max="6918" width="16.7109375" style="1" customWidth="1"/>
    <col min="6919" max="6919" width="16" style="1" customWidth="1"/>
    <col min="6920" max="6920" width="37.42578125" style="1" customWidth="1"/>
    <col min="6921" max="6921" width="17.42578125" style="1" customWidth="1"/>
    <col min="6922" max="6922" width="16.7109375" style="1" customWidth="1"/>
    <col min="6923" max="6923" width="22.28515625" style="1" customWidth="1"/>
    <col min="6924" max="6924" width="11.42578125" style="1"/>
    <col min="6925" max="6925" width="14.42578125" style="1" customWidth="1"/>
    <col min="6926" max="6926" width="16.28515625" style="1" customWidth="1"/>
    <col min="6927" max="6927" width="11.42578125" style="1"/>
    <col min="6928" max="6928" width="12.42578125" style="1" customWidth="1"/>
    <col min="6929" max="6929" width="21.140625" style="1" customWidth="1"/>
    <col min="6930" max="7168" width="11.42578125" style="1"/>
    <col min="7169" max="7169" width="12.7109375" style="1" customWidth="1"/>
    <col min="7170" max="7170" width="16.28515625" style="1" customWidth="1"/>
    <col min="7171" max="7171" width="13.42578125" style="1" customWidth="1"/>
    <col min="7172" max="7172" width="11.42578125" style="1"/>
    <col min="7173" max="7173" width="17" style="1" customWidth="1"/>
    <col min="7174" max="7174" width="16.7109375" style="1" customWidth="1"/>
    <col min="7175" max="7175" width="16" style="1" customWidth="1"/>
    <col min="7176" max="7176" width="37.42578125" style="1" customWidth="1"/>
    <col min="7177" max="7177" width="17.42578125" style="1" customWidth="1"/>
    <col min="7178" max="7178" width="16.7109375" style="1" customWidth="1"/>
    <col min="7179" max="7179" width="22.28515625" style="1" customWidth="1"/>
    <col min="7180" max="7180" width="11.42578125" style="1"/>
    <col min="7181" max="7181" width="14.42578125" style="1" customWidth="1"/>
    <col min="7182" max="7182" width="16.28515625" style="1" customWidth="1"/>
    <col min="7183" max="7183" width="11.42578125" style="1"/>
    <col min="7184" max="7184" width="12.42578125" style="1" customWidth="1"/>
    <col min="7185" max="7185" width="21.140625" style="1" customWidth="1"/>
    <col min="7186" max="7424" width="11.42578125" style="1"/>
    <col min="7425" max="7425" width="12.7109375" style="1" customWidth="1"/>
    <col min="7426" max="7426" width="16.28515625" style="1" customWidth="1"/>
    <col min="7427" max="7427" width="13.42578125" style="1" customWidth="1"/>
    <col min="7428" max="7428" width="11.42578125" style="1"/>
    <col min="7429" max="7429" width="17" style="1" customWidth="1"/>
    <col min="7430" max="7430" width="16.7109375" style="1" customWidth="1"/>
    <col min="7431" max="7431" width="16" style="1" customWidth="1"/>
    <col min="7432" max="7432" width="37.42578125" style="1" customWidth="1"/>
    <col min="7433" max="7433" width="17.42578125" style="1" customWidth="1"/>
    <col min="7434" max="7434" width="16.7109375" style="1" customWidth="1"/>
    <col min="7435" max="7435" width="22.28515625" style="1" customWidth="1"/>
    <col min="7436" max="7436" width="11.42578125" style="1"/>
    <col min="7437" max="7437" width="14.42578125" style="1" customWidth="1"/>
    <col min="7438" max="7438" width="16.28515625" style="1" customWidth="1"/>
    <col min="7439" max="7439" width="11.42578125" style="1"/>
    <col min="7440" max="7440" width="12.42578125" style="1" customWidth="1"/>
    <col min="7441" max="7441" width="21.140625" style="1" customWidth="1"/>
    <col min="7442" max="7680" width="11.42578125" style="1"/>
    <col min="7681" max="7681" width="12.7109375" style="1" customWidth="1"/>
    <col min="7682" max="7682" width="16.28515625" style="1" customWidth="1"/>
    <col min="7683" max="7683" width="13.42578125" style="1" customWidth="1"/>
    <col min="7684" max="7684" width="11.42578125" style="1"/>
    <col min="7685" max="7685" width="17" style="1" customWidth="1"/>
    <col min="7686" max="7686" width="16.7109375" style="1" customWidth="1"/>
    <col min="7687" max="7687" width="16" style="1" customWidth="1"/>
    <col min="7688" max="7688" width="37.42578125" style="1" customWidth="1"/>
    <col min="7689" max="7689" width="17.42578125" style="1" customWidth="1"/>
    <col min="7690" max="7690" width="16.7109375" style="1" customWidth="1"/>
    <col min="7691" max="7691" width="22.28515625" style="1" customWidth="1"/>
    <col min="7692" max="7692" width="11.42578125" style="1"/>
    <col min="7693" max="7693" width="14.42578125" style="1" customWidth="1"/>
    <col min="7694" max="7694" width="16.28515625" style="1" customWidth="1"/>
    <col min="7695" max="7695" width="11.42578125" style="1"/>
    <col min="7696" max="7696" width="12.42578125" style="1" customWidth="1"/>
    <col min="7697" max="7697" width="21.140625" style="1" customWidth="1"/>
    <col min="7698" max="7936" width="11.42578125" style="1"/>
    <col min="7937" max="7937" width="12.7109375" style="1" customWidth="1"/>
    <col min="7938" max="7938" width="16.28515625" style="1" customWidth="1"/>
    <col min="7939" max="7939" width="13.42578125" style="1" customWidth="1"/>
    <col min="7940" max="7940" width="11.42578125" style="1"/>
    <col min="7941" max="7941" width="17" style="1" customWidth="1"/>
    <col min="7942" max="7942" width="16.7109375" style="1" customWidth="1"/>
    <col min="7943" max="7943" width="16" style="1" customWidth="1"/>
    <col min="7944" max="7944" width="37.42578125" style="1" customWidth="1"/>
    <col min="7945" max="7945" width="17.42578125" style="1" customWidth="1"/>
    <col min="7946" max="7946" width="16.7109375" style="1" customWidth="1"/>
    <col min="7947" max="7947" width="22.28515625" style="1" customWidth="1"/>
    <col min="7948" max="7948" width="11.42578125" style="1"/>
    <col min="7949" max="7949" width="14.42578125" style="1" customWidth="1"/>
    <col min="7950" max="7950" width="16.28515625" style="1" customWidth="1"/>
    <col min="7951" max="7951" width="11.42578125" style="1"/>
    <col min="7952" max="7952" width="12.42578125" style="1" customWidth="1"/>
    <col min="7953" max="7953" width="21.140625" style="1" customWidth="1"/>
    <col min="7954" max="8192" width="11.42578125" style="1"/>
    <col min="8193" max="8193" width="12.7109375" style="1" customWidth="1"/>
    <col min="8194" max="8194" width="16.28515625" style="1" customWidth="1"/>
    <col min="8195" max="8195" width="13.42578125" style="1" customWidth="1"/>
    <col min="8196" max="8196" width="11.42578125" style="1"/>
    <col min="8197" max="8197" width="17" style="1" customWidth="1"/>
    <col min="8198" max="8198" width="16.7109375" style="1" customWidth="1"/>
    <col min="8199" max="8199" width="16" style="1" customWidth="1"/>
    <col min="8200" max="8200" width="37.42578125" style="1" customWidth="1"/>
    <col min="8201" max="8201" width="17.42578125" style="1" customWidth="1"/>
    <col min="8202" max="8202" width="16.7109375" style="1" customWidth="1"/>
    <col min="8203" max="8203" width="22.28515625" style="1" customWidth="1"/>
    <col min="8204" max="8204" width="11.42578125" style="1"/>
    <col min="8205" max="8205" width="14.42578125" style="1" customWidth="1"/>
    <col min="8206" max="8206" width="16.28515625" style="1" customWidth="1"/>
    <col min="8207" max="8207" width="11.42578125" style="1"/>
    <col min="8208" max="8208" width="12.42578125" style="1" customWidth="1"/>
    <col min="8209" max="8209" width="21.140625" style="1" customWidth="1"/>
    <col min="8210" max="8448" width="11.42578125" style="1"/>
    <col min="8449" max="8449" width="12.7109375" style="1" customWidth="1"/>
    <col min="8450" max="8450" width="16.28515625" style="1" customWidth="1"/>
    <col min="8451" max="8451" width="13.42578125" style="1" customWidth="1"/>
    <col min="8452" max="8452" width="11.42578125" style="1"/>
    <col min="8453" max="8453" width="17" style="1" customWidth="1"/>
    <col min="8454" max="8454" width="16.7109375" style="1" customWidth="1"/>
    <col min="8455" max="8455" width="16" style="1" customWidth="1"/>
    <col min="8456" max="8456" width="37.42578125" style="1" customWidth="1"/>
    <col min="8457" max="8457" width="17.42578125" style="1" customWidth="1"/>
    <col min="8458" max="8458" width="16.7109375" style="1" customWidth="1"/>
    <col min="8459" max="8459" width="22.28515625" style="1" customWidth="1"/>
    <col min="8460" max="8460" width="11.42578125" style="1"/>
    <col min="8461" max="8461" width="14.42578125" style="1" customWidth="1"/>
    <col min="8462" max="8462" width="16.28515625" style="1" customWidth="1"/>
    <col min="8463" max="8463" width="11.42578125" style="1"/>
    <col min="8464" max="8464" width="12.42578125" style="1" customWidth="1"/>
    <col min="8465" max="8465" width="21.140625" style="1" customWidth="1"/>
    <col min="8466" max="8704" width="11.42578125" style="1"/>
    <col min="8705" max="8705" width="12.7109375" style="1" customWidth="1"/>
    <col min="8706" max="8706" width="16.28515625" style="1" customWidth="1"/>
    <col min="8707" max="8707" width="13.42578125" style="1" customWidth="1"/>
    <col min="8708" max="8708" width="11.42578125" style="1"/>
    <col min="8709" max="8709" width="17" style="1" customWidth="1"/>
    <col min="8710" max="8710" width="16.7109375" style="1" customWidth="1"/>
    <col min="8711" max="8711" width="16" style="1" customWidth="1"/>
    <col min="8712" max="8712" width="37.42578125" style="1" customWidth="1"/>
    <col min="8713" max="8713" width="17.42578125" style="1" customWidth="1"/>
    <col min="8714" max="8714" width="16.7109375" style="1" customWidth="1"/>
    <col min="8715" max="8715" width="22.28515625" style="1" customWidth="1"/>
    <col min="8716" max="8716" width="11.42578125" style="1"/>
    <col min="8717" max="8717" width="14.42578125" style="1" customWidth="1"/>
    <col min="8718" max="8718" width="16.28515625" style="1" customWidth="1"/>
    <col min="8719" max="8719" width="11.42578125" style="1"/>
    <col min="8720" max="8720" width="12.42578125" style="1" customWidth="1"/>
    <col min="8721" max="8721" width="21.140625" style="1" customWidth="1"/>
    <col min="8722" max="8960" width="11.42578125" style="1"/>
    <col min="8961" max="8961" width="12.7109375" style="1" customWidth="1"/>
    <col min="8962" max="8962" width="16.28515625" style="1" customWidth="1"/>
    <col min="8963" max="8963" width="13.42578125" style="1" customWidth="1"/>
    <col min="8964" max="8964" width="11.42578125" style="1"/>
    <col min="8965" max="8965" width="17" style="1" customWidth="1"/>
    <col min="8966" max="8966" width="16.7109375" style="1" customWidth="1"/>
    <col min="8967" max="8967" width="16" style="1" customWidth="1"/>
    <col min="8968" max="8968" width="37.42578125" style="1" customWidth="1"/>
    <col min="8969" max="8969" width="17.42578125" style="1" customWidth="1"/>
    <col min="8970" max="8970" width="16.7109375" style="1" customWidth="1"/>
    <col min="8971" max="8971" width="22.28515625" style="1" customWidth="1"/>
    <col min="8972" max="8972" width="11.42578125" style="1"/>
    <col min="8973" max="8973" width="14.42578125" style="1" customWidth="1"/>
    <col min="8974" max="8974" width="16.28515625" style="1" customWidth="1"/>
    <col min="8975" max="8975" width="11.42578125" style="1"/>
    <col min="8976" max="8976" width="12.42578125" style="1" customWidth="1"/>
    <col min="8977" max="8977" width="21.140625" style="1" customWidth="1"/>
    <col min="8978" max="9216" width="11.42578125" style="1"/>
    <col min="9217" max="9217" width="12.7109375" style="1" customWidth="1"/>
    <col min="9218" max="9218" width="16.28515625" style="1" customWidth="1"/>
    <col min="9219" max="9219" width="13.42578125" style="1" customWidth="1"/>
    <col min="9220" max="9220" width="11.42578125" style="1"/>
    <col min="9221" max="9221" width="17" style="1" customWidth="1"/>
    <col min="9222" max="9222" width="16.7109375" style="1" customWidth="1"/>
    <col min="9223" max="9223" width="16" style="1" customWidth="1"/>
    <col min="9224" max="9224" width="37.42578125" style="1" customWidth="1"/>
    <col min="9225" max="9225" width="17.42578125" style="1" customWidth="1"/>
    <col min="9226" max="9226" width="16.7109375" style="1" customWidth="1"/>
    <col min="9227" max="9227" width="22.28515625" style="1" customWidth="1"/>
    <col min="9228" max="9228" width="11.42578125" style="1"/>
    <col min="9229" max="9229" width="14.42578125" style="1" customWidth="1"/>
    <col min="9230" max="9230" width="16.28515625" style="1" customWidth="1"/>
    <col min="9231" max="9231" width="11.42578125" style="1"/>
    <col min="9232" max="9232" width="12.42578125" style="1" customWidth="1"/>
    <col min="9233" max="9233" width="21.140625" style="1" customWidth="1"/>
    <col min="9234" max="9472" width="11.42578125" style="1"/>
    <col min="9473" max="9473" width="12.7109375" style="1" customWidth="1"/>
    <col min="9474" max="9474" width="16.28515625" style="1" customWidth="1"/>
    <col min="9475" max="9475" width="13.42578125" style="1" customWidth="1"/>
    <col min="9476" max="9476" width="11.42578125" style="1"/>
    <col min="9477" max="9477" width="17" style="1" customWidth="1"/>
    <col min="9478" max="9478" width="16.7109375" style="1" customWidth="1"/>
    <col min="9479" max="9479" width="16" style="1" customWidth="1"/>
    <col min="9480" max="9480" width="37.42578125" style="1" customWidth="1"/>
    <col min="9481" max="9481" width="17.42578125" style="1" customWidth="1"/>
    <col min="9482" max="9482" width="16.7109375" style="1" customWidth="1"/>
    <col min="9483" max="9483" width="22.28515625" style="1" customWidth="1"/>
    <col min="9484" max="9484" width="11.42578125" style="1"/>
    <col min="9485" max="9485" width="14.42578125" style="1" customWidth="1"/>
    <col min="9486" max="9486" width="16.28515625" style="1" customWidth="1"/>
    <col min="9487" max="9487" width="11.42578125" style="1"/>
    <col min="9488" max="9488" width="12.42578125" style="1" customWidth="1"/>
    <col min="9489" max="9489" width="21.140625" style="1" customWidth="1"/>
    <col min="9490" max="9728" width="11.42578125" style="1"/>
    <col min="9729" max="9729" width="12.7109375" style="1" customWidth="1"/>
    <col min="9730" max="9730" width="16.28515625" style="1" customWidth="1"/>
    <col min="9731" max="9731" width="13.42578125" style="1" customWidth="1"/>
    <col min="9732" max="9732" width="11.42578125" style="1"/>
    <col min="9733" max="9733" width="17" style="1" customWidth="1"/>
    <col min="9734" max="9734" width="16.7109375" style="1" customWidth="1"/>
    <col min="9735" max="9735" width="16" style="1" customWidth="1"/>
    <col min="9736" max="9736" width="37.42578125" style="1" customWidth="1"/>
    <col min="9737" max="9737" width="17.42578125" style="1" customWidth="1"/>
    <col min="9738" max="9738" width="16.7109375" style="1" customWidth="1"/>
    <col min="9739" max="9739" width="22.28515625" style="1" customWidth="1"/>
    <col min="9740" max="9740" width="11.42578125" style="1"/>
    <col min="9741" max="9741" width="14.42578125" style="1" customWidth="1"/>
    <col min="9742" max="9742" width="16.28515625" style="1" customWidth="1"/>
    <col min="9743" max="9743" width="11.42578125" style="1"/>
    <col min="9744" max="9744" width="12.42578125" style="1" customWidth="1"/>
    <col min="9745" max="9745" width="21.140625" style="1" customWidth="1"/>
    <col min="9746" max="9984" width="11.42578125" style="1"/>
    <col min="9985" max="9985" width="12.7109375" style="1" customWidth="1"/>
    <col min="9986" max="9986" width="16.28515625" style="1" customWidth="1"/>
    <col min="9987" max="9987" width="13.42578125" style="1" customWidth="1"/>
    <col min="9988" max="9988" width="11.42578125" style="1"/>
    <col min="9989" max="9989" width="17" style="1" customWidth="1"/>
    <col min="9990" max="9990" width="16.7109375" style="1" customWidth="1"/>
    <col min="9991" max="9991" width="16" style="1" customWidth="1"/>
    <col min="9992" max="9992" width="37.42578125" style="1" customWidth="1"/>
    <col min="9993" max="9993" width="17.42578125" style="1" customWidth="1"/>
    <col min="9994" max="9994" width="16.7109375" style="1" customWidth="1"/>
    <col min="9995" max="9995" width="22.28515625" style="1" customWidth="1"/>
    <col min="9996" max="9996" width="11.42578125" style="1"/>
    <col min="9997" max="9997" width="14.42578125" style="1" customWidth="1"/>
    <col min="9998" max="9998" width="16.28515625" style="1" customWidth="1"/>
    <col min="9999" max="9999" width="11.42578125" style="1"/>
    <col min="10000" max="10000" width="12.42578125" style="1" customWidth="1"/>
    <col min="10001" max="10001" width="21.140625" style="1" customWidth="1"/>
    <col min="10002" max="10240" width="11.42578125" style="1"/>
    <col min="10241" max="10241" width="12.7109375" style="1" customWidth="1"/>
    <col min="10242" max="10242" width="16.28515625" style="1" customWidth="1"/>
    <col min="10243" max="10243" width="13.42578125" style="1" customWidth="1"/>
    <col min="10244" max="10244" width="11.42578125" style="1"/>
    <col min="10245" max="10245" width="17" style="1" customWidth="1"/>
    <col min="10246" max="10246" width="16.7109375" style="1" customWidth="1"/>
    <col min="10247" max="10247" width="16" style="1" customWidth="1"/>
    <col min="10248" max="10248" width="37.42578125" style="1" customWidth="1"/>
    <col min="10249" max="10249" width="17.42578125" style="1" customWidth="1"/>
    <col min="10250" max="10250" width="16.7109375" style="1" customWidth="1"/>
    <col min="10251" max="10251" width="22.28515625" style="1" customWidth="1"/>
    <col min="10252" max="10252" width="11.42578125" style="1"/>
    <col min="10253" max="10253" width="14.42578125" style="1" customWidth="1"/>
    <col min="10254" max="10254" width="16.28515625" style="1" customWidth="1"/>
    <col min="10255" max="10255" width="11.42578125" style="1"/>
    <col min="10256" max="10256" width="12.42578125" style="1" customWidth="1"/>
    <col min="10257" max="10257" width="21.140625" style="1" customWidth="1"/>
    <col min="10258" max="10496" width="11.42578125" style="1"/>
    <col min="10497" max="10497" width="12.7109375" style="1" customWidth="1"/>
    <col min="10498" max="10498" width="16.28515625" style="1" customWidth="1"/>
    <col min="10499" max="10499" width="13.42578125" style="1" customWidth="1"/>
    <col min="10500" max="10500" width="11.42578125" style="1"/>
    <col min="10501" max="10501" width="17" style="1" customWidth="1"/>
    <col min="10502" max="10502" width="16.7109375" style="1" customWidth="1"/>
    <col min="10503" max="10503" width="16" style="1" customWidth="1"/>
    <col min="10504" max="10504" width="37.42578125" style="1" customWidth="1"/>
    <col min="10505" max="10505" width="17.42578125" style="1" customWidth="1"/>
    <col min="10506" max="10506" width="16.7109375" style="1" customWidth="1"/>
    <col min="10507" max="10507" width="22.28515625" style="1" customWidth="1"/>
    <col min="10508" max="10508" width="11.42578125" style="1"/>
    <col min="10509" max="10509" width="14.42578125" style="1" customWidth="1"/>
    <col min="10510" max="10510" width="16.28515625" style="1" customWidth="1"/>
    <col min="10511" max="10511" width="11.42578125" style="1"/>
    <col min="10512" max="10512" width="12.42578125" style="1" customWidth="1"/>
    <col min="10513" max="10513" width="21.140625" style="1" customWidth="1"/>
    <col min="10514" max="10752" width="11.42578125" style="1"/>
    <col min="10753" max="10753" width="12.7109375" style="1" customWidth="1"/>
    <col min="10754" max="10754" width="16.28515625" style="1" customWidth="1"/>
    <col min="10755" max="10755" width="13.42578125" style="1" customWidth="1"/>
    <col min="10756" max="10756" width="11.42578125" style="1"/>
    <col min="10757" max="10757" width="17" style="1" customWidth="1"/>
    <col min="10758" max="10758" width="16.7109375" style="1" customWidth="1"/>
    <col min="10759" max="10759" width="16" style="1" customWidth="1"/>
    <col min="10760" max="10760" width="37.42578125" style="1" customWidth="1"/>
    <col min="10761" max="10761" width="17.42578125" style="1" customWidth="1"/>
    <col min="10762" max="10762" width="16.7109375" style="1" customWidth="1"/>
    <col min="10763" max="10763" width="22.28515625" style="1" customWidth="1"/>
    <col min="10764" max="10764" width="11.42578125" style="1"/>
    <col min="10765" max="10765" width="14.42578125" style="1" customWidth="1"/>
    <col min="10766" max="10766" width="16.28515625" style="1" customWidth="1"/>
    <col min="10767" max="10767" width="11.42578125" style="1"/>
    <col min="10768" max="10768" width="12.42578125" style="1" customWidth="1"/>
    <col min="10769" max="10769" width="21.140625" style="1" customWidth="1"/>
    <col min="10770" max="11008" width="11.42578125" style="1"/>
    <col min="11009" max="11009" width="12.7109375" style="1" customWidth="1"/>
    <col min="11010" max="11010" width="16.28515625" style="1" customWidth="1"/>
    <col min="11011" max="11011" width="13.42578125" style="1" customWidth="1"/>
    <col min="11012" max="11012" width="11.42578125" style="1"/>
    <col min="11013" max="11013" width="17" style="1" customWidth="1"/>
    <col min="11014" max="11014" width="16.7109375" style="1" customWidth="1"/>
    <col min="11015" max="11015" width="16" style="1" customWidth="1"/>
    <col min="11016" max="11016" width="37.42578125" style="1" customWidth="1"/>
    <col min="11017" max="11017" width="17.42578125" style="1" customWidth="1"/>
    <col min="11018" max="11018" width="16.7109375" style="1" customWidth="1"/>
    <col min="11019" max="11019" width="22.28515625" style="1" customWidth="1"/>
    <col min="11020" max="11020" width="11.42578125" style="1"/>
    <col min="11021" max="11021" width="14.42578125" style="1" customWidth="1"/>
    <col min="11022" max="11022" width="16.28515625" style="1" customWidth="1"/>
    <col min="11023" max="11023" width="11.42578125" style="1"/>
    <col min="11024" max="11024" width="12.42578125" style="1" customWidth="1"/>
    <col min="11025" max="11025" width="21.140625" style="1" customWidth="1"/>
    <col min="11026" max="11264" width="11.42578125" style="1"/>
    <col min="11265" max="11265" width="12.7109375" style="1" customWidth="1"/>
    <col min="11266" max="11266" width="16.28515625" style="1" customWidth="1"/>
    <col min="11267" max="11267" width="13.42578125" style="1" customWidth="1"/>
    <col min="11268" max="11268" width="11.42578125" style="1"/>
    <col min="11269" max="11269" width="17" style="1" customWidth="1"/>
    <col min="11270" max="11270" width="16.7109375" style="1" customWidth="1"/>
    <col min="11271" max="11271" width="16" style="1" customWidth="1"/>
    <col min="11272" max="11272" width="37.42578125" style="1" customWidth="1"/>
    <col min="11273" max="11273" width="17.42578125" style="1" customWidth="1"/>
    <col min="11274" max="11274" width="16.7109375" style="1" customWidth="1"/>
    <col min="11275" max="11275" width="22.28515625" style="1" customWidth="1"/>
    <col min="11276" max="11276" width="11.42578125" style="1"/>
    <col min="11277" max="11277" width="14.42578125" style="1" customWidth="1"/>
    <col min="11278" max="11278" width="16.28515625" style="1" customWidth="1"/>
    <col min="11279" max="11279" width="11.42578125" style="1"/>
    <col min="11280" max="11280" width="12.42578125" style="1" customWidth="1"/>
    <col min="11281" max="11281" width="21.140625" style="1" customWidth="1"/>
    <col min="11282" max="11520" width="11.42578125" style="1"/>
    <col min="11521" max="11521" width="12.7109375" style="1" customWidth="1"/>
    <col min="11522" max="11522" width="16.28515625" style="1" customWidth="1"/>
    <col min="11523" max="11523" width="13.42578125" style="1" customWidth="1"/>
    <col min="11524" max="11524" width="11.42578125" style="1"/>
    <col min="11525" max="11525" width="17" style="1" customWidth="1"/>
    <col min="11526" max="11526" width="16.7109375" style="1" customWidth="1"/>
    <col min="11527" max="11527" width="16" style="1" customWidth="1"/>
    <col min="11528" max="11528" width="37.42578125" style="1" customWidth="1"/>
    <col min="11529" max="11529" width="17.42578125" style="1" customWidth="1"/>
    <col min="11530" max="11530" width="16.7109375" style="1" customWidth="1"/>
    <col min="11531" max="11531" width="22.28515625" style="1" customWidth="1"/>
    <col min="11532" max="11532" width="11.42578125" style="1"/>
    <col min="11533" max="11533" width="14.42578125" style="1" customWidth="1"/>
    <col min="11534" max="11534" width="16.28515625" style="1" customWidth="1"/>
    <col min="11535" max="11535" width="11.42578125" style="1"/>
    <col min="11536" max="11536" width="12.42578125" style="1" customWidth="1"/>
    <col min="11537" max="11537" width="21.140625" style="1" customWidth="1"/>
    <col min="11538" max="11776" width="11.42578125" style="1"/>
    <col min="11777" max="11777" width="12.7109375" style="1" customWidth="1"/>
    <col min="11778" max="11778" width="16.28515625" style="1" customWidth="1"/>
    <col min="11779" max="11779" width="13.42578125" style="1" customWidth="1"/>
    <col min="11780" max="11780" width="11.42578125" style="1"/>
    <col min="11781" max="11781" width="17" style="1" customWidth="1"/>
    <col min="11782" max="11782" width="16.7109375" style="1" customWidth="1"/>
    <col min="11783" max="11783" width="16" style="1" customWidth="1"/>
    <col min="11784" max="11784" width="37.42578125" style="1" customWidth="1"/>
    <col min="11785" max="11785" width="17.42578125" style="1" customWidth="1"/>
    <col min="11786" max="11786" width="16.7109375" style="1" customWidth="1"/>
    <col min="11787" max="11787" width="22.28515625" style="1" customWidth="1"/>
    <col min="11788" max="11788" width="11.42578125" style="1"/>
    <col min="11789" max="11789" width="14.42578125" style="1" customWidth="1"/>
    <col min="11790" max="11790" width="16.28515625" style="1" customWidth="1"/>
    <col min="11791" max="11791" width="11.42578125" style="1"/>
    <col min="11792" max="11792" width="12.42578125" style="1" customWidth="1"/>
    <col min="11793" max="11793" width="21.140625" style="1" customWidth="1"/>
    <col min="11794" max="12032" width="11.42578125" style="1"/>
    <col min="12033" max="12033" width="12.7109375" style="1" customWidth="1"/>
    <col min="12034" max="12034" width="16.28515625" style="1" customWidth="1"/>
    <col min="12035" max="12035" width="13.42578125" style="1" customWidth="1"/>
    <col min="12036" max="12036" width="11.42578125" style="1"/>
    <col min="12037" max="12037" width="17" style="1" customWidth="1"/>
    <col min="12038" max="12038" width="16.7109375" style="1" customWidth="1"/>
    <col min="12039" max="12039" width="16" style="1" customWidth="1"/>
    <col min="12040" max="12040" width="37.42578125" style="1" customWidth="1"/>
    <col min="12041" max="12041" width="17.42578125" style="1" customWidth="1"/>
    <col min="12042" max="12042" width="16.7109375" style="1" customWidth="1"/>
    <col min="12043" max="12043" width="22.28515625" style="1" customWidth="1"/>
    <col min="12044" max="12044" width="11.42578125" style="1"/>
    <col min="12045" max="12045" width="14.42578125" style="1" customWidth="1"/>
    <col min="12046" max="12046" width="16.28515625" style="1" customWidth="1"/>
    <col min="12047" max="12047" width="11.42578125" style="1"/>
    <col min="12048" max="12048" width="12.42578125" style="1" customWidth="1"/>
    <col min="12049" max="12049" width="21.140625" style="1" customWidth="1"/>
    <col min="12050" max="12288" width="11.42578125" style="1"/>
    <col min="12289" max="12289" width="12.7109375" style="1" customWidth="1"/>
    <col min="12290" max="12290" width="16.28515625" style="1" customWidth="1"/>
    <col min="12291" max="12291" width="13.42578125" style="1" customWidth="1"/>
    <col min="12292" max="12292" width="11.42578125" style="1"/>
    <col min="12293" max="12293" width="17" style="1" customWidth="1"/>
    <col min="12294" max="12294" width="16.7109375" style="1" customWidth="1"/>
    <col min="12295" max="12295" width="16" style="1" customWidth="1"/>
    <col min="12296" max="12296" width="37.42578125" style="1" customWidth="1"/>
    <col min="12297" max="12297" width="17.42578125" style="1" customWidth="1"/>
    <col min="12298" max="12298" width="16.7109375" style="1" customWidth="1"/>
    <col min="12299" max="12299" width="22.28515625" style="1" customWidth="1"/>
    <col min="12300" max="12300" width="11.42578125" style="1"/>
    <col min="12301" max="12301" width="14.42578125" style="1" customWidth="1"/>
    <col min="12302" max="12302" width="16.28515625" style="1" customWidth="1"/>
    <col min="12303" max="12303" width="11.42578125" style="1"/>
    <col min="12304" max="12304" width="12.42578125" style="1" customWidth="1"/>
    <col min="12305" max="12305" width="21.140625" style="1" customWidth="1"/>
    <col min="12306" max="12544" width="11.42578125" style="1"/>
    <col min="12545" max="12545" width="12.7109375" style="1" customWidth="1"/>
    <col min="12546" max="12546" width="16.28515625" style="1" customWidth="1"/>
    <col min="12547" max="12547" width="13.42578125" style="1" customWidth="1"/>
    <col min="12548" max="12548" width="11.42578125" style="1"/>
    <col min="12549" max="12549" width="17" style="1" customWidth="1"/>
    <col min="12550" max="12550" width="16.7109375" style="1" customWidth="1"/>
    <col min="12551" max="12551" width="16" style="1" customWidth="1"/>
    <col min="12552" max="12552" width="37.42578125" style="1" customWidth="1"/>
    <col min="12553" max="12553" width="17.42578125" style="1" customWidth="1"/>
    <col min="12554" max="12554" width="16.7109375" style="1" customWidth="1"/>
    <col min="12555" max="12555" width="22.28515625" style="1" customWidth="1"/>
    <col min="12556" max="12556" width="11.42578125" style="1"/>
    <col min="12557" max="12557" width="14.42578125" style="1" customWidth="1"/>
    <col min="12558" max="12558" width="16.28515625" style="1" customWidth="1"/>
    <col min="12559" max="12559" width="11.42578125" style="1"/>
    <col min="12560" max="12560" width="12.42578125" style="1" customWidth="1"/>
    <col min="12561" max="12561" width="21.140625" style="1" customWidth="1"/>
    <col min="12562" max="12800" width="11.42578125" style="1"/>
    <col min="12801" max="12801" width="12.7109375" style="1" customWidth="1"/>
    <col min="12802" max="12802" width="16.28515625" style="1" customWidth="1"/>
    <col min="12803" max="12803" width="13.42578125" style="1" customWidth="1"/>
    <col min="12804" max="12804" width="11.42578125" style="1"/>
    <col min="12805" max="12805" width="17" style="1" customWidth="1"/>
    <col min="12806" max="12806" width="16.7109375" style="1" customWidth="1"/>
    <col min="12807" max="12807" width="16" style="1" customWidth="1"/>
    <col min="12808" max="12808" width="37.42578125" style="1" customWidth="1"/>
    <col min="12809" max="12809" width="17.42578125" style="1" customWidth="1"/>
    <col min="12810" max="12810" width="16.7109375" style="1" customWidth="1"/>
    <col min="12811" max="12811" width="22.28515625" style="1" customWidth="1"/>
    <col min="12812" max="12812" width="11.42578125" style="1"/>
    <col min="12813" max="12813" width="14.42578125" style="1" customWidth="1"/>
    <col min="12814" max="12814" width="16.28515625" style="1" customWidth="1"/>
    <col min="12815" max="12815" width="11.42578125" style="1"/>
    <col min="12816" max="12816" width="12.42578125" style="1" customWidth="1"/>
    <col min="12817" max="12817" width="21.140625" style="1" customWidth="1"/>
    <col min="12818" max="13056" width="11.42578125" style="1"/>
    <col min="13057" max="13057" width="12.7109375" style="1" customWidth="1"/>
    <col min="13058" max="13058" width="16.28515625" style="1" customWidth="1"/>
    <col min="13059" max="13059" width="13.42578125" style="1" customWidth="1"/>
    <col min="13060" max="13060" width="11.42578125" style="1"/>
    <col min="13061" max="13061" width="17" style="1" customWidth="1"/>
    <col min="13062" max="13062" width="16.7109375" style="1" customWidth="1"/>
    <col min="13063" max="13063" width="16" style="1" customWidth="1"/>
    <col min="13064" max="13064" width="37.42578125" style="1" customWidth="1"/>
    <col min="13065" max="13065" width="17.42578125" style="1" customWidth="1"/>
    <col min="13066" max="13066" width="16.7109375" style="1" customWidth="1"/>
    <col min="13067" max="13067" width="22.28515625" style="1" customWidth="1"/>
    <col min="13068" max="13068" width="11.42578125" style="1"/>
    <col min="13069" max="13069" width="14.42578125" style="1" customWidth="1"/>
    <col min="13070" max="13070" width="16.28515625" style="1" customWidth="1"/>
    <col min="13071" max="13071" width="11.42578125" style="1"/>
    <col min="13072" max="13072" width="12.42578125" style="1" customWidth="1"/>
    <col min="13073" max="13073" width="21.140625" style="1" customWidth="1"/>
    <col min="13074" max="13312" width="11.42578125" style="1"/>
    <col min="13313" max="13313" width="12.7109375" style="1" customWidth="1"/>
    <col min="13314" max="13314" width="16.28515625" style="1" customWidth="1"/>
    <col min="13315" max="13315" width="13.42578125" style="1" customWidth="1"/>
    <col min="13316" max="13316" width="11.42578125" style="1"/>
    <col min="13317" max="13317" width="17" style="1" customWidth="1"/>
    <col min="13318" max="13318" width="16.7109375" style="1" customWidth="1"/>
    <col min="13319" max="13319" width="16" style="1" customWidth="1"/>
    <col min="13320" max="13320" width="37.42578125" style="1" customWidth="1"/>
    <col min="13321" max="13321" width="17.42578125" style="1" customWidth="1"/>
    <col min="13322" max="13322" width="16.7109375" style="1" customWidth="1"/>
    <col min="13323" max="13323" width="22.28515625" style="1" customWidth="1"/>
    <col min="13324" max="13324" width="11.42578125" style="1"/>
    <col min="13325" max="13325" width="14.42578125" style="1" customWidth="1"/>
    <col min="13326" max="13326" width="16.28515625" style="1" customWidth="1"/>
    <col min="13327" max="13327" width="11.42578125" style="1"/>
    <col min="13328" max="13328" width="12.42578125" style="1" customWidth="1"/>
    <col min="13329" max="13329" width="21.140625" style="1" customWidth="1"/>
    <col min="13330" max="13568" width="11.42578125" style="1"/>
    <col min="13569" max="13569" width="12.7109375" style="1" customWidth="1"/>
    <col min="13570" max="13570" width="16.28515625" style="1" customWidth="1"/>
    <col min="13571" max="13571" width="13.42578125" style="1" customWidth="1"/>
    <col min="13572" max="13572" width="11.42578125" style="1"/>
    <col min="13573" max="13573" width="17" style="1" customWidth="1"/>
    <col min="13574" max="13574" width="16.7109375" style="1" customWidth="1"/>
    <col min="13575" max="13575" width="16" style="1" customWidth="1"/>
    <col min="13576" max="13576" width="37.42578125" style="1" customWidth="1"/>
    <col min="13577" max="13577" width="17.42578125" style="1" customWidth="1"/>
    <col min="13578" max="13578" width="16.7109375" style="1" customWidth="1"/>
    <col min="13579" max="13579" width="22.28515625" style="1" customWidth="1"/>
    <col min="13580" max="13580" width="11.42578125" style="1"/>
    <col min="13581" max="13581" width="14.42578125" style="1" customWidth="1"/>
    <col min="13582" max="13582" width="16.28515625" style="1" customWidth="1"/>
    <col min="13583" max="13583" width="11.42578125" style="1"/>
    <col min="13584" max="13584" width="12.42578125" style="1" customWidth="1"/>
    <col min="13585" max="13585" width="21.140625" style="1" customWidth="1"/>
    <col min="13586" max="13824" width="11.42578125" style="1"/>
    <col min="13825" max="13825" width="12.7109375" style="1" customWidth="1"/>
    <col min="13826" max="13826" width="16.28515625" style="1" customWidth="1"/>
    <col min="13827" max="13827" width="13.42578125" style="1" customWidth="1"/>
    <col min="13828" max="13828" width="11.42578125" style="1"/>
    <col min="13829" max="13829" width="17" style="1" customWidth="1"/>
    <col min="13830" max="13830" width="16.7109375" style="1" customWidth="1"/>
    <col min="13831" max="13831" width="16" style="1" customWidth="1"/>
    <col min="13832" max="13832" width="37.42578125" style="1" customWidth="1"/>
    <col min="13833" max="13833" width="17.42578125" style="1" customWidth="1"/>
    <col min="13834" max="13834" width="16.7109375" style="1" customWidth="1"/>
    <col min="13835" max="13835" width="22.28515625" style="1" customWidth="1"/>
    <col min="13836" max="13836" width="11.42578125" style="1"/>
    <col min="13837" max="13837" width="14.42578125" style="1" customWidth="1"/>
    <col min="13838" max="13838" width="16.28515625" style="1" customWidth="1"/>
    <col min="13839" max="13839" width="11.42578125" style="1"/>
    <col min="13840" max="13840" width="12.42578125" style="1" customWidth="1"/>
    <col min="13841" max="13841" width="21.140625" style="1" customWidth="1"/>
    <col min="13842" max="14080" width="11.42578125" style="1"/>
    <col min="14081" max="14081" width="12.7109375" style="1" customWidth="1"/>
    <col min="14082" max="14082" width="16.28515625" style="1" customWidth="1"/>
    <col min="14083" max="14083" width="13.42578125" style="1" customWidth="1"/>
    <col min="14084" max="14084" width="11.42578125" style="1"/>
    <col min="14085" max="14085" width="17" style="1" customWidth="1"/>
    <col min="14086" max="14086" width="16.7109375" style="1" customWidth="1"/>
    <col min="14087" max="14087" width="16" style="1" customWidth="1"/>
    <col min="14088" max="14088" width="37.42578125" style="1" customWidth="1"/>
    <col min="14089" max="14089" width="17.42578125" style="1" customWidth="1"/>
    <col min="14090" max="14090" width="16.7109375" style="1" customWidth="1"/>
    <col min="14091" max="14091" width="22.28515625" style="1" customWidth="1"/>
    <col min="14092" max="14092" width="11.42578125" style="1"/>
    <col min="14093" max="14093" width="14.42578125" style="1" customWidth="1"/>
    <col min="14094" max="14094" width="16.28515625" style="1" customWidth="1"/>
    <col min="14095" max="14095" width="11.42578125" style="1"/>
    <col min="14096" max="14096" width="12.42578125" style="1" customWidth="1"/>
    <col min="14097" max="14097" width="21.140625" style="1" customWidth="1"/>
    <col min="14098" max="14336" width="11.42578125" style="1"/>
    <col min="14337" max="14337" width="12.7109375" style="1" customWidth="1"/>
    <col min="14338" max="14338" width="16.28515625" style="1" customWidth="1"/>
    <col min="14339" max="14339" width="13.42578125" style="1" customWidth="1"/>
    <col min="14340" max="14340" width="11.42578125" style="1"/>
    <col min="14341" max="14341" width="17" style="1" customWidth="1"/>
    <col min="14342" max="14342" width="16.7109375" style="1" customWidth="1"/>
    <col min="14343" max="14343" width="16" style="1" customWidth="1"/>
    <col min="14344" max="14344" width="37.42578125" style="1" customWidth="1"/>
    <col min="14345" max="14345" width="17.42578125" style="1" customWidth="1"/>
    <col min="14346" max="14346" width="16.7109375" style="1" customWidth="1"/>
    <col min="14347" max="14347" width="22.28515625" style="1" customWidth="1"/>
    <col min="14348" max="14348" width="11.42578125" style="1"/>
    <col min="14349" max="14349" width="14.42578125" style="1" customWidth="1"/>
    <col min="14350" max="14350" width="16.28515625" style="1" customWidth="1"/>
    <col min="14351" max="14351" width="11.42578125" style="1"/>
    <col min="14352" max="14352" width="12.42578125" style="1" customWidth="1"/>
    <col min="14353" max="14353" width="21.140625" style="1" customWidth="1"/>
    <col min="14354" max="14592" width="11.42578125" style="1"/>
    <col min="14593" max="14593" width="12.7109375" style="1" customWidth="1"/>
    <col min="14594" max="14594" width="16.28515625" style="1" customWidth="1"/>
    <col min="14595" max="14595" width="13.42578125" style="1" customWidth="1"/>
    <col min="14596" max="14596" width="11.42578125" style="1"/>
    <col min="14597" max="14597" width="17" style="1" customWidth="1"/>
    <col min="14598" max="14598" width="16.7109375" style="1" customWidth="1"/>
    <col min="14599" max="14599" width="16" style="1" customWidth="1"/>
    <col min="14600" max="14600" width="37.42578125" style="1" customWidth="1"/>
    <col min="14601" max="14601" width="17.42578125" style="1" customWidth="1"/>
    <col min="14602" max="14602" width="16.7109375" style="1" customWidth="1"/>
    <col min="14603" max="14603" width="22.28515625" style="1" customWidth="1"/>
    <col min="14604" max="14604" width="11.42578125" style="1"/>
    <col min="14605" max="14605" width="14.42578125" style="1" customWidth="1"/>
    <col min="14606" max="14606" width="16.28515625" style="1" customWidth="1"/>
    <col min="14607" max="14607" width="11.42578125" style="1"/>
    <col min="14608" max="14608" width="12.42578125" style="1" customWidth="1"/>
    <col min="14609" max="14609" width="21.140625" style="1" customWidth="1"/>
    <col min="14610" max="14848" width="11.42578125" style="1"/>
    <col min="14849" max="14849" width="12.7109375" style="1" customWidth="1"/>
    <col min="14850" max="14850" width="16.28515625" style="1" customWidth="1"/>
    <col min="14851" max="14851" width="13.42578125" style="1" customWidth="1"/>
    <col min="14852" max="14852" width="11.42578125" style="1"/>
    <col min="14853" max="14853" width="17" style="1" customWidth="1"/>
    <col min="14854" max="14854" width="16.7109375" style="1" customWidth="1"/>
    <col min="14855" max="14855" width="16" style="1" customWidth="1"/>
    <col min="14856" max="14856" width="37.42578125" style="1" customWidth="1"/>
    <col min="14857" max="14857" width="17.42578125" style="1" customWidth="1"/>
    <col min="14858" max="14858" width="16.7109375" style="1" customWidth="1"/>
    <col min="14859" max="14859" width="22.28515625" style="1" customWidth="1"/>
    <col min="14860" max="14860" width="11.42578125" style="1"/>
    <col min="14861" max="14861" width="14.42578125" style="1" customWidth="1"/>
    <col min="14862" max="14862" width="16.28515625" style="1" customWidth="1"/>
    <col min="14863" max="14863" width="11.42578125" style="1"/>
    <col min="14864" max="14864" width="12.42578125" style="1" customWidth="1"/>
    <col min="14865" max="14865" width="21.140625" style="1" customWidth="1"/>
    <col min="14866" max="15104" width="11.42578125" style="1"/>
    <col min="15105" max="15105" width="12.7109375" style="1" customWidth="1"/>
    <col min="15106" max="15106" width="16.28515625" style="1" customWidth="1"/>
    <col min="15107" max="15107" width="13.42578125" style="1" customWidth="1"/>
    <col min="15108" max="15108" width="11.42578125" style="1"/>
    <col min="15109" max="15109" width="17" style="1" customWidth="1"/>
    <col min="15110" max="15110" width="16.7109375" style="1" customWidth="1"/>
    <col min="15111" max="15111" width="16" style="1" customWidth="1"/>
    <col min="15112" max="15112" width="37.42578125" style="1" customWidth="1"/>
    <col min="15113" max="15113" width="17.42578125" style="1" customWidth="1"/>
    <col min="15114" max="15114" width="16.7109375" style="1" customWidth="1"/>
    <col min="15115" max="15115" width="22.28515625" style="1" customWidth="1"/>
    <col min="15116" max="15116" width="11.42578125" style="1"/>
    <col min="15117" max="15117" width="14.42578125" style="1" customWidth="1"/>
    <col min="15118" max="15118" width="16.28515625" style="1" customWidth="1"/>
    <col min="15119" max="15119" width="11.42578125" style="1"/>
    <col min="15120" max="15120" width="12.42578125" style="1" customWidth="1"/>
    <col min="15121" max="15121" width="21.140625" style="1" customWidth="1"/>
    <col min="15122" max="15360" width="11.42578125" style="1"/>
    <col min="15361" max="15361" width="12.7109375" style="1" customWidth="1"/>
    <col min="15362" max="15362" width="16.28515625" style="1" customWidth="1"/>
    <col min="15363" max="15363" width="13.42578125" style="1" customWidth="1"/>
    <col min="15364" max="15364" width="11.42578125" style="1"/>
    <col min="15365" max="15365" width="17" style="1" customWidth="1"/>
    <col min="15366" max="15366" width="16.7109375" style="1" customWidth="1"/>
    <col min="15367" max="15367" width="16" style="1" customWidth="1"/>
    <col min="15368" max="15368" width="37.42578125" style="1" customWidth="1"/>
    <col min="15369" max="15369" width="17.42578125" style="1" customWidth="1"/>
    <col min="15370" max="15370" width="16.7109375" style="1" customWidth="1"/>
    <col min="15371" max="15371" width="22.28515625" style="1" customWidth="1"/>
    <col min="15372" max="15372" width="11.42578125" style="1"/>
    <col min="15373" max="15373" width="14.42578125" style="1" customWidth="1"/>
    <col min="15374" max="15374" width="16.28515625" style="1" customWidth="1"/>
    <col min="15375" max="15375" width="11.42578125" style="1"/>
    <col min="15376" max="15376" width="12.42578125" style="1" customWidth="1"/>
    <col min="15377" max="15377" width="21.140625" style="1" customWidth="1"/>
    <col min="15378" max="15616" width="11.42578125" style="1"/>
    <col min="15617" max="15617" width="12.7109375" style="1" customWidth="1"/>
    <col min="15618" max="15618" width="16.28515625" style="1" customWidth="1"/>
    <col min="15619" max="15619" width="13.42578125" style="1" customWidth="1"/>
    <col min="15620" max="15620" width="11.42578125" style="1"/>
    <col min="15621" max="15621" width="17" style="1" customWidth="1"/>
    <col min="15622" max="15622" width="16.7109375" style="1" customWidth="1"/>
    <col min="15623" max="15623" width="16" style="1" customWidth="1"/>
    <col min="15624" max="15624" width="37.42578125" style="1" customWidth="1"/>
    <col min="15625" max="15625" width="17.42578125" style="1" customWidth="1"/>
    <col min="15626" max="15626" width="16.7109375" style="1" customWidth="1"/>
    <col min="15627" max="15627" width="22.28515625" style="1" customWidth="1"/>
    <col min="15628" max="15628" width="11.42578125" style="1"/>
    <col min="15629" max="15629" width="14.42578125" style="1" customWidth="1"/>
    <col min="15630" max="15630" width="16.28515625" style="1" customWidth="1"/>
    <col min="15631" max="15631" width="11.42578125" style="1"/>
    <col min="15632" max="15632" width="12.42578125" style="1" customWidth="1"/>
    <col min="15633" max="15633" width="21.140625" style="1" customWidth="1"/>
    <col min="15634" max="15872" width="11.42578125" style="1"/>
    <col min="15873" max="15873" width="12.7109375" style="1" customWidth="1"/>
    <col min="15874" max="15874" width="16.28515625" style="1" customWidth="1"/>
    <col min="15875" max="15875" width="13.42578125" style="1" customWidth="1"/>
    <col min="15876" max="15876" width="11.42578125" style="1"/>
    <col min="15877" max="15877" width="17" style="1" customWidth="1"/>
    <col min="15878" max="15878" width="16.7109375" style="1" customWidth="1"/>
    <col min="15879" max="15879" width="16" style="1" customWidth="1"/>
    <col min="15880" max="15880" width="37.42578125" style="1" customWidth="1"/>
    <col min="15881" max="15881" width="17.42578125" style="1" customWidth="1"/>
    <col min="15882" max="15882" width="16.7109375" style="1" customWidth="1"/>
    <col min="15883" max="15883" width="22.28515625" style="1" customWidth="1"/>
    <col min="15884" max="15884" width="11.42578125" style="1"/>
    <col min="15885" max="15885" width="14.42578125" style="1" customWidth="1"/>
    <col min="15886" max="15886" width="16.28515625" style="1" customWidth="1"/>
    <col min="15887" max="15887" width="11.42578125" style="1"/>
    <col min="15888" max="15888" width="12.42578125" style="1" customWidth="1"/>
    <col min="15889" max="15889" width="21.140625" style="1" customWidth="1"/>
    <col min="15890" max="16128" width="11.42578125" style="1"/>
    <col min="16129" max="16129" width="12.7109375" style="1" customWidth="1"/>
    <col min="16130" max="16130" width="16.28515625" style="1" customWidth="1"/>
    <col min="16131" max="16131" width="13.42578125" style="1" customWidth="1"/>
    <col min="16132" max="16132" width="11.42578125" style="1"/>
    <col min="16133" max="16133" width="17" style="1" customWidth="1"/>
    <col min="16134" max="16134" width="16.7109375" style="1" customWidth="1"/>
    <col min="16135" max="16135" width="16" style="1" customWidth="1"/>
    <col min="16136" max="16136" width="37.42578125" style="1" customWidth="1"/>
    <col min="16137" max="16137" width="17.42578125" style="1" customWidth="1"/>
    <col min="16138" max="16138" width="16.7109375" style="1" customWidth="1"/>
    <col min="16139" max="16139" width="22.28515625" style="1" customWidth="1"/>
    <col min="16140" max="16140" width="11.42578125" style="1"/>
    <col min="16141" max="16141" width="14.42578125" style="1" customWidth="1"/>
    <col min="16142" max="16142" width="16.28515625" style="1" customWidth="1"/>
    <col min="16143" max="16143" width="11.42578125" style="1"/>
    <col min="16144" max="16144" width="12.42578125" style="1" customWidth="1"/>
    <col min="16145" max="16145" width="21.140625" style="1" customWidth="1"/>
    <col min="16146" max="16384" width="11.42578125" style="1"/>
  </cols>
  <sheetData>
    <row r="1" spans="1:21" x14ac:dyDescent="0.25">
      <c r="A1" s="605" t="s">
        <v>0</v>
      </c>
      <c r="B1" s="605"/>
      <c r="C1" s="605"/>
      <c r="D1" s="605"/>
      <c r="E1" s="605"/>
      <c r="F1" s="605"/>
      <c r="G1" s="605"/>
      <c r="H1" s="605"/>
      <c r="I1" s="605"/>
      <c r="J1" s="605"/>
      <c r="K1" s="605"/>
      <c r="L1" s="605"/>
      <c r="M1" s="605"/>
      <c r="N1" s="605"/>
      <c r="O1" s="605"/>
    </row>
    <row r="2" spans="1:21" x14ac:dyDescent="0.25">
      <c r="A2" s="605" t="s">
        <v>1</v>
      </c>
      <c r="B2" s="605"/>
      <c r="C2" s="605"/>
      <c r="D2" s="605"/>
      <c r="E2" s="605"/>
      <c r="F2" s="605"/>
      <c r="G2" s="605"/>
      <c r="H2" s="605"/>
      <c r="I2" s="605"/>
      <c r="J2" s="605"/>
      <c r="K2" s="605"/>
      <c r="L2" s="605"/>
      <c r="M2" s="605"/>
      <c r="N2" s="605"/>
      <c r="O2" s="605"/>
    </row>
    <row r="3" spans="1:21" x14ac:dyDescent="0.25">
      <c r="A3" s="605" t="s">
        <v>2</v>
      </c>
      <c r="B3" s="605"/>
      <c r="C3" s="605"/>
      <c r="D3" s="605"/>
      <c r="E3" s="605"/>
      <c r="F3" s="605"/>
      <c r="G3" s="605"/>
      <c r="H3" s="605" t="s">
        <v>3</v>
      </c>
      <c r="I3" s="605"/>
      <c r="J3" s="605"/>
      <c r="K3" s="605"/>
      <c r="L3" s="605"/>
      <c r="M3" s="605"/>
      <c r="N3" s="605"/>
      <c r="O3" s="605"/>
    </row>
    <row r="4" spans="1:21" x14ac:dyDescent="0.25">
      <c r="A4" s="605">
        <v>2013</v>
      </c>
      <c r="B4" s="605"/>
      <c r="C4" s="605"/>
      <c r="D4" s="605"/>
      <c r="E4" s="605"/>
      <c r="F4" s="605"/>
      <c r="G4" s="605"/>
      <c r="H4" s="605"/>
      <c r="I4" s="605"/>
      <c r="J4" s="605"/>
      <c r="K4" s="605"/>
      <c r="L4" s="605"/>
      <c r="M4" s="605"/>
      <c r="N4" s="605"/>
      <c r="O4" s="605"/>
    </row>
    <row r="5" spans="1:21" x14ac:dyDescent="0.25">
      <c r="A5" s="2"/>
      <c r="B5" s="2"/>
      <c r="C5" s="2"/>
      <c r="D5" s="2"/>
      <c r="E5" s="2"/>
      <c r="F5" s="2"/>
      <c r="G5" s="2"/>
      <c r="H5" s="2"/>
      <c r="I5" s="2"/>
      <c r="J5" s="155">
        <f>'[10]FORMATO FINANCIERO'!J9-'[10]FORMATO FINANCIERO'!H9</f>
        <v>15322368666</v>
      </c>
      <c r="K5" s="2"/>
      <c r="L5" s="4"/>
      <c r="M5" s="5"/>
      <c r="N5" s="5"/>
      <c r="O5" s="5"/>
    </row>
    <row r="6" spans="1:21" x14ac:dyDescent="0.25">
      <c r="A6" s="7" t="s">
        <v>4</v>
      </c>
      <c r="B6" s="606" t="s">
        <v>2830</v>
      </c>
      <c r="C6" s="606"/>
      <c r="D6" s="606"/>
      <c r="E6" s="606"/>
      <c r="F6" s="606"/>
      <c r="G6" s="606"/>
      <c r="H6" s="606"/>
      <c r="I6" s="606"/>
      <c r="J6" s="606"/>
      <c r="K6" s="606"/>
      <c r="L6" s="606"/>
      <c r="M6" s="606"/>
      <c r="N6" s="606"/>
      <c r="O6" s="606"/>
    </row>
    <row r="7" spans="1:21"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9" t="s">
        <v>22</v>
      </c>
    </row>
    <row r="8" spans="1:21" ht="55.5" customHeight="1" x14ac:dyDescent="0.25">
      <c r="A8" s="618"/>
      <c r="B8" s="618"/>
      <c r="C8" s="618"/>
      <c r="D8" s="618"/>
      <c r="E8" s="618"/>
      <c r="F8" s="618"/>
      <c r="G8" s="618"/>
      <c r="H8" s="618"/>
      <c r="I8" s="622"/>
      <c r="J8" s="622"/>
      <c r="K8" s="618"/>
      <c r="L8" s="618"/>
      <c r="M8" s="618"/>
      <c r="N8" s="624"/>
      <c r="O8" s="624"/>
      <c r="P8" s="624"/>
      <c r="Q8" s="620"/>
      <c r="S8" s="8"/>
      <c r="T8" s="8"/>
      <c r="U8" s="8"/>
    </row>
    <row r="9" spans="1:21" ht="120.75" customHeight="1" x14ac:dyDescent="0.25">
      <c r="A9" s="10" t="s">
        <v>55</v>
      </c>
      <c r="B9" s="10" t="s">
        <v>354</v>
      </c>
      <c r="C9" s="10" t="s">
        <v>2285</v>
      </c>
      <c r="D9" s="10">
        <v>241310000</v>
      </c>
      <c r="E9" s="10" t="s">
        <v>2831</v>
      </c>
      <c r="F9" s="50" t="s">
        <v>2832</v>
      </c>
      <c r="G9" s="10" t="s">
        <v>2833</v>
      </c>
      <c r="H9" s="10" t="s">
        <v>2834</v>
      </c>
      <c r="I9" s="116">
        <v>3138791464</v>
      </c>
      <c r="J9" s="459">
        <f>'[10]FORMATO FINANCIERO'!J9-'[10]FORMATO FINANCIERO'!H9</f>
        <v>15322368666</v>
      </c>
      <c r="K9" s="10" t="s">
        <v>2835</v>
      </c>
      <c r="L9" s="10">
        <v>4757</v>
      </c>
      <c r="M9" s="10">
        <v>42028</v>
      </c>
      <c r="N9" s="10"/>
      <c r="O9" s="10">
        <v>42028</v>
      </c>
      <c r="P9" s="82">
        <v>42028</v>
      </c>
      <c r="Q9" s="10" t="s">
        <v>2836</v>
      </c>
      <c r="R9" s="460"/>
      <c r="S9" s="334"/>
      <c r="T9" s="334"/>
      <c r="U9" s="334"/>
    </row>
    <row r="10" spans="1:21" ht="47.25" customHeight="1" x14ac:dyDescent="0.25">
      <c r="A10" s="10">
        <v>0</v>
      </c>
      <c r="B10" s="10">
        <v>0</v>
      </c>
      <c r="C10" s="10">
        <v>0</v>
      </c>
      <c r="D10" s="10">
        <v>0</v>
      </c>
      <c r="E10" s="10" t="s">
        <v>342</v>
      </c>
      <c r="F10" s="50">
        <v>0</v>
      </c>
      <c r="G10" s="10">
        <v>0</v>
      </c>
      <c r="H10" s="10">
        <v>0</v>
      </c>
      <c r="I10" s="116"/>
      <c r="J10" s="10"/>
      <c r="K10" s="10" t="s">
        <v>2837</v>
      </c>
      <c r="L10" s="10">
        <v>4757</v>
      </c>
      <c r="M10" s="10">
        <v>12594</v>
      </c>
      <c r="N10" s="10"/>
      <c r="O10" s="10">
        <v>12594</v>
      </c>
      <c r="P10" s="82">
        <v>12725</v>
      </c>
      <c r="Q10" s="10" t="s">
        <v>2838</v>
      </c>
      <c r="R10" s="460"/>
      <c r="S10" s="334"/>
      <c r="T10" s="334"/>
      <c r="U10" s="334"/>
    </row>
    <row r="11" spans="1:21" ht="225" x14ac:dyDescent="0.25">
      <c r="A11" s="10" t="s">
        <v>55</v>
      </c>
      <c r="B11" s="10" t="s">
        <v>354</v>
      </c>
      <c r="C11" s="10" t="s">
        <v>2285</v>
      </c>
      <c r="D11" s="10">
        <v>241310000</v>
      </c>
      <c r="E11" s="10" t="s">
        <v>2831</v>
      </c>
      <c r="F11" s="50" t="s">
        <v>2839</v>
      </c>
      <c r="G11" s="10" t="s">
        <v>2840</v>
      </c>
      <c r="H11" s="10" t="s">
        <v>2841</v>
      </c>
      <c r="I11" s="116">
        <v>0</v>
      </c>
      <c r="J11" s="39">
        <f>'[10]FORMATO FINANCIERO'!J14-'[10]FORMATO FINANCIERO'!H14</f>
        <v>-8014906</v>
      </c>
      <c r="K11" s="10" t="s">
        <v>2842</v>
      </c>
      <c r="L11" s="10">
        <v>4</v>
      </c>
      <c r="M11" s="10">
        <v>4</v>
      </c>
      <c r="N11" s="10"/>
      <c r="O11" s="10">
        <v>2</v>
      </c>
      <c r="P11" s="10">
        <v>3</v>
      </c>
      <c r="Q11" s="10" t="s">
        <v>2843</v>
      </c>
      <c r="R11" s="334"/>
      <c r="S11" s="334"/>
      <c r="T11" s="334"/>
      <c r="U11" s="334"/>
    </row>
    <row r="12" spans="1:21" ht="93.75" customHeight="1" x14ac:dyDescent="0.25">
      <c r="A12" s="10" t="s">
        <v>55</v>
      </c>
      <c r="B12" s="10" t="s">
        <v>354</v>
      </c>
      <c r="C12" s="10" t="s">
        <v>2285</v>
      </c>
      <c r="D12" s="10">
        <v>241310000</v>
      </c>
      <c r="E12" s="10" t="s">
        <v>2831</v>
      </c>
      <c r="F12" s="50" t="s">
        <v>2844</v>
      </c>
      <c r="G12" s="10" t="s">
        <v>2845</v>
      </c>
      <c r="H12" s="10" t="s">
        <v>2846</v>
      </c>
      <c r="I12" s="116">
        <v>1873966287</v>
      </c>
      <c r="J12" s="461">
        <f>'[10]FORMATO FINANCIERO'!J17-'[10]FORMATO FINANCIERO'!H17</f>
        <v>2729674205</v>
      </c>
      <c r="K12" s="10" t="s">
        <v>2847</v>
      </c>
      <c r="L12" s="10">
        <v>11</v>
      </c>
      <c r="M12" s="10">
        <v>11</v>
      </c>
      <c r="N12" s="10"/>
      <c r="O12" s="10">
        <v>24</v>
      </c>
      <c r="P12" s="10">
        <v>33</v>
      </c>
      <c r="Q12" s="10" t="s">
        <v>2848</v>
      </c>
      <c r="R12" s="334"/>
      <c r="S12" s="334"/>
      <c r="T12" s="334"/>
      <c r="U12" s="334"/>
    </row>
    <row r="13" spans="1:21" ht="375" x14ac:dyDescent="0.25">
      <c r="A13" s="10">
        <v>0</v>
      </c>
      <c r="B13" s="10">
        <v>0</v>
      </c>
      <c r="C13" s="10">
        <v>0</v>
      </c>
      <c r="D13" s="10">
        <v>0</v>
      </c>
      <c r="E13" s="10" t="s">
        <v>342</v>
      </c>
      <c r="F13" s="50">
        <v>0</v>
      </c>
      <c r="G13" s="10">
        <v>0</v>
      </c>
      <c r="H13" s="10">
        <v>0</v>
      </c>
      <c r="I13" s="116"/>
      <c r="J13" s="459"/>
      <c r="K13" s="10" t="s">
        <v>2849</v>
      </c>
      <c r="L13" s="10">
        <v>7</v>
      </c>
      <c r="M13" s="10">
        <v>7</v>
      </c>
      <c r="N13" s="10"/>
      <c r="O13" s="10">
        <v>10</v>
      </c>
      <c r="P13" s="10">
        <v>14</v>
      </c>
      <c r="Q13" s="10" t="s">
        <v>2850</v>
      </c>
      <c r="R13" s="334"/>
      <c r="S13" s="334"/>
      <c r="T13" s="334"/>
      <c r="U13" s="334"/>
    </row>
    <row r="14" spans="1:21" ht="89.25" x14ac:dyDescent="0.25">
      <c r="A14" s="10" t="s">
        <v>55</v>
      </c>
      <c r="B14" s="10" t="s">
        <v>354</v>
      </c>
      <c r="C14" s="10" t="s">
        <v>2285</v>
      </c>
      <c r="D14" s="10">
        <v>241310000</v>
      </c>
      <c r="E14" s="10" t="s">
        <v>2831</v>
      </c>
      <c r="F14" s="50" t="s">
        <v>2851</v>
      </c>
      <c r="G14" s="10" t="s">
        <v>2852</v>
      </c>
      <c r="H14" s="10" t="s">
        <v>2853</v>
      </c>
      <c r="I14" s="116">
        <v>0</v>
      </c>
      <c r="J14" s="459">
        <f>'[10]FORMATO FINANCIERO'!J19-'[10]FORMATO FINANCIERO'!H19</f>
        <v>0</v>
      </c>
      <c r="K14" s="10" t="s">
        <v>2854</v>
      </c>
      <c r="L14" s="10">
        <v>12</v>
      </c>
      <c r="M14" s="10">
        <v>12</v>
      </c>
      <c r="N14" s="10"/>
      <c r="O14" s="10">
        <v>0</v>
      </c>
      <c r="P14" s="10">
        <v>12</v>
      </c>
      <c r="Q14" s="151" t="s">
        <v>2855</v>
      </c>
      <c r="R14" s="334"/>
      <c r="S14" s="334"/>
      <c r="T14" s="334"/>
      <c r="U14" s="334"/>
    </row>
    <row r="15" spans="1:21" ht="132.75" customHeight="1" x14ac:dyDescent="0.25">
      <c r="A15" s="10" t="s">
        <v>55</v>
      </c>
      <c r="B15" s="10" t="s">
        <v>354</v>
      </c>
      <c r="C15" s="10" t="s">
        <v>2285</v>
      </c>
      <c r="D15" s="10">
        <v>241310000</v>
      </c>
      <c r="E15" s="10" t="s">
        <v>2831</v>
      </c>
      <c r="F15" s="50" t="s">
        <v>2856</v>
      </c>
      <c r="G15" s="10">
        <v>32240001</v>
      </c>
      <c r="H15" s="10" t="s">
        <v>2857</v>
      </c>
      <c r="I15" s="116">
        <v>694397046</v>
      </c>
      <c r="J15" s="459">
        <f>'[10]FORMATO FINANCIERO'!J21-'[10]FORMATO FINANCIERO'!H21</f>
        <v>-560563541</v>
      </c>
      <c r="K15" s="389" t="s">
        <v>2858</v>
      </c>
      <c r="L15" s="10"/>
      <c r="M15" s="10"/>
      <c r="N15" s="10"/>
      <c r="O15" s="10"/>
      <c r="P15" s="10"/>
      <c r="Q15" s="10"/>
      <c r="R15" s="334"/>
      <c r="S15" s="334"/>
      <c r="T15" s="334"/>
      <c r="U15" s="334"/>
    </row>
    <row r="16" spans="1:21" ht="121.5" customHeight="1" x14ac:dyDescent="0.25">
      <c r="A16" s="10" t="s">
        <v>55</v>
      </c>
      <c r="B16" s="10" t="s">
        <v>354</v>
      </c>
      <c r="C16" s="10" t="s">
        <v>2285</v>
      </c>
      <c r="D16" s="10">
        <v>241310000</v>
      </c>
      <c r="E16" s="10" t="s">
        <v>2831</v>
      </c>
      <c r="F16" s="50" t="s">
        <v>2856</v>
      </c>
      <c r="G16" s="10">
        <v>32240002</v>
      </c>
      <c r="H16" s="10" t="s">
        <v>2859</v>
      </c>
      <c r="I16" s="116">
        <v>139559151</v>
      </c>
      <c r="J16" s="459">
        <f>'[10]FORMATO FINANCIERO'!J23-'[10]FORMATO FINANCIERO'!H23</f>
        <v>-223741871</v>
      </c>
      <c r="K16" s="389" t="s">
        <v>2858</v>
      </c>
      <c r="L16" s="10"/>
      <c r="M16" s="10"/>
      <c r="N16" s="10"/>
      <c r="O16" s="10"/>
      <c r="P16" s="10"/>
      <c r="Q16" s="10"/>
      <c r="R16" s="334"/>
      <c r="S16" s="334"/>
      <c r="T16" s="334"/>
      <c r="U16" s="334"/>
    </row>
    <row r="17" spans="1:21" ht="132" customHeight="1" x14ac:dyDescent="0.25">
      <c r="A17" s="10" t="s">
        <v>55</v>
      </c>
      <c r="B17" s="10" t="s">
        <v>354</v>
      </c>
      <c r="C17" s="10" t="s">
        <v>2285</v>
      </c>
      <c r="D17" s="10">
        <v>241310000</v>
      </c>
      <c r="E17" s="10" t="s">
        <v>2831</v>
      </c>
      <c r="F17" s="50" t="s">
        <v>2856</v>
      </c>
      <c r="G17" s="10">
        <v>32240003</v>
      </c>
      <c r="H17" s="10" t="s">
        <v>2860</v>
      </c>
      <c r="I17" s="116">
        <v>0</v>
      </c>
      <c r="J17" s="459">
        <f>'[10]FORMATO FINANCIERO'!J25-'[10]FORMATO FINANCIERO'!H25</f>
        <v>549524946</v>
      </c>
      <c r="K17" s="389" t="s">
        <v>2858</v>
      </c>
      <c r="L17" s="10"/>
      <c r="M17" s="10"/>
      <c r="N17" s="10"/>
      <c r="O17" s="10"/>
      <c r="P17" s="10"/>
      <c r="Q17" s="10"/>
      <c r="R17" s="334"/>
      <c r="S17" s="334"/>
      <c r="T17" s="334"/>
      <c r="U17" s="334"/>
    </row>
    <row r="18" spans="1:21" ht="140.25" customHeight="1" x14ac:dyDescent="0.25">
      <c r="A18" s="10" t="s">
        <v>55</v>
      </c>
      <c r="B18" s="10" t="s">
        <v>354</v>
      </c>
      <c r="C18" s="10" t="s">
        <v>2285</v>
      </c>
      <c r="D18" s="10">
        <v>241310000</v>
      </c>
      <c r="E18" s="10" t="s">
        <v>2831</v>
      </c>
      <c r="F18" s="50" t="s">
        <v>2856</v>
      </c>
      <c r="G18" s="10">
        <v>32240004</v>
      </c>
      <c r="H18" s="10" t="s">
        <v>2861</v>
      </c>
      <c r="I18" s="116">
        <v>406027903</v>
      </c>
      <c r="J18" s="459">
        <f>'[10]FORMATO FINANCIERO'!J27-'[10]FORMATO FINANCIERO'!H27</f>
        <v>-300000000</v>
      </c>
      <c r="K18" s="389" t="s">
        <v>2858</v>
      </c>
      <c r="L18" s="10"/>
      <c r="M18" s="10"/>
      <c r="N18" s="10"/>
      <c r="O18" s="10"/>
      <c r="P18" s="10"/>
      <c r="Q18" s="10"/>
      <c r="R18" s="334"/>
      <c r="S18" s="334"/>
      <c r="T18" s="334"/>
      <c r="U18" s="334"/>
    </row>
    <row r="19" spans="1:21" ht="297" customHeight="1" x14ac:dyDescent="0.25">
      <c r="A19" s="10">
        <v>0</v>
      </c>
      <c r="B19" s="10">
        <v>0</v>
      </c>
      <c r="C19" s="10">
        <v>0</v>
      </c>
      <c r="D19" s="10">
        <v>0</v>
      </c>
      <c r="E19" s="10" t="s">
        <v>342</v>
      </c>
      <c r="F19" s="50" t="s">
        <v>2856</v>
      </c>
      <c r="G19" s="10" t="s">
        <v>2862</v>
      </c>
      <c r="H19" s="10" t="s">
        <v>2863</v>
      </c>
      <c r="I19" s="116">
        <v>19752543</v>
      </c>
      <c r="J19" s="459">
        <f>'[10]FORMATO FINANCIERO'!J29-'[10]FORMATO FINANCIERO'!H29</f>
        <v>8502926293</v>
      </c>
      <c r="K19" s="10"/>
      <c r="L19" s="10"/>
      <c r="M19" s="10"/>
      <c r="N19" s="10"/>
      <c r="O19" s="10"/>
      <c r="P19" s="10"/>
      <c r="Q19" s="10"/>
      <c r="R19" s="334"/>
      <c r="S19" s="334"/>
      <c r="T19" s="334"/>
      <c r="U19" s="334"/>
    </row>
    <row r="20" spans="1:21" ht="105" x14ac:dyDescent="0.25">
      <c r="A20" s="10" t="s">
        <v>55</v>
      </c>
      <c r="B20" s="10" t="s">
        <v>354</v>
      </c>
      <c r="C20" s="10" t="s">
        <v>2285</v>
      </c>
      <c r="D20" s="10">
        <v>241320000</v>
      </c>
      <c r="E20" s="10" t="s">
        <v>2864</v>
      </c>
      <c r="F20" s="10" t="s">
        <v>2865</v>
      </c>
      <c r="G20" s="10" t="s">
        <v>2866</v>
      </c>
      <c r="H20" s="10" t="s">
        <v>2867</v>
      </c>
      <c r="I20" s="116">
        <v>0</v>
      </c>
      <c r="J20" s="459">
        <f>'[10]FORMATO FINANCIERO'!J31-'[10]FORMATO FINANCIERO'!H31</f>
        <v>-74030000</v>
      </c>
      <c r="K20" s="10" t="s">
        <v>2868</v>
      </c>
      <c r="L20" s="10">
        <v>30</v>
      </c>
      <c r="M20" s="10">
        <v>30</v>
      </c>
      <c r="N20" s="10"/>
      <c r="O20" s="10">
        <v>0</v>
      </c>
      <c r="P20" s="359">
        <v>88</v>
      </c>
      <c r="Q20" s="462" t="s">
        <v>2869</v>
      </c>
      <c r="R20" s="334"/>
      <c r="S20" s="334"/>
      <c r="T20" s="334"/>
      <c r="U20" s="334"/>
    </row>
    <row r="21" spans="1:21" ht="75" x14ac:dyDescent="0.25">
      <c r="A21" s="10" t="s">
        <v>55</v>
      </c>
      <c r="B21" s="10" t="s">
        <v>354</v>
      </c>
      <c r="C21" s="10" t="s">
        <v>2285</v>
      </c>
      <c r="D21" s="10">
        <v>241320000</v>
      </c>
      <c r="E21" s="10" t="s">
        <v>2864</v>
      </c>
      <c r="F21" s="10" t="s">
        <v>2870</v>
      </c>
      <c r="G21" s="10" t="s">
        <v>2871</v>
      </c>
      <c r="H21" s="10" t="s">
        <v>2872</v>
      </c>
      <c r="I21" s="116">
        <v>0</v>
      </c>
      <c r="J21" s="459">
        <f>'[10]FORMATO FINANCIERO'!J33-'[10]FORMATO FINANCIERO'!H33</f>
        <v>16996090</v>
      </c>
      <c r="K21" s="10" t="s">
        <v>2873</v>
      </c>
      <c r="L21" s="10">
        <v>7</v>
      </c>
      <c r="M21" s="10">
        <v>7</v>
      </c>
      <c r="N21" s="10"/>
      <c r="O21" s="10">
        <v>5</v>
      </c>
      <c r="P21" s="10">
        <v>6</v>
      </c>
      <c r="Q21" s="151" t="s">
        <v>2874</v>
      </c>
      <c r="R21" s="334"/>
      <c r="S21" s="334"/>
      <c r="T21" s="334"/>
      <c r="U21" s="334"/>
    </row>
    <row r="22" spans="1:21" ht="105" x14ac:dyDescent="0.25">
      <c r="A22" s="10" t="s">
        <v>55</v>
      </c>
      <c r="B22" s="10" t="s">
        <v>354</v>
      </c>
      <c r="C22" s="10" t="s">
        <v>2285</v>
      </c>
      <c r="D22" s="10">
        <v>241330000</v>
      </c>
      <c r="E22" s="10" t="s">
        <v>2286</v>
      </c>
      <c r="F22" s="10" t="s">
        <v>2875</v>
      </c>
      <c r="G22" s="10" t="s">
        <v>2876</v>
      </c>
      <c r="H22" s="10" t="s">
        <v>2877</v>
      </c>
      <c r="I22" s="116">
        <v>0</v>
      </c>
      <c r="J22" s="459">
        <f>'[10]FORMATO FINANCIERO'!J36-'[10]FORMATO FINANCIERO'!H36</f>
        <v>-200000000</v>
      </c>
      <c r="K22" s="10" t="s">
        <v>2290</v>
      </c>
      <c r="L22" s="10">
        <v>3</v>
      </c>
      <c r="M22" s="10">
        <v>6</v>
      </c>
      <c r="N22" s="10"/>
      <c r="O22" s="10">
        <v>0</v>
      </c>
      <c r="P22" s="10">
        <v>0</v>
      </c>
      <c r="Q22" s="10"/>
      <c r="R22" s="334"/>
      <c r="S22" s="334"/>
      <c r="T22" s="334"/>
      <c r="U22" s="334"/>
    </row>
    <row r="23" spans="1:21" ht="105" x14ac:dyDescent="0.25">
      <c r="A23" s="10" t="s">
        <v>55</v>
      </c>
      <c r="B23" s="10" t="s">
        <v>354</v>
      </c>
      <c r="C23" s="10" t="s">
        <v>2285</v>
      </c>
      <c r="D23" s="10">
        <v>241330000</v>
      </c>
      <c r="E23" s="10" t="s">
        <v>2286</v>
      </c>
      <c r="F23" s="50" t="s">
        <v>2878</v>
      </c>
      <c r="G23" s="10" t="s">
        <v>2879</v>
      </c>
      <c r="H23" s="10" t="s">
        <v>2880</v>
      </c>
      <c r="I23" s="116">
        <v>3567742093</v>
      </c>
      <c r="J23" s="459">
        <f>'[10]FORMATO FINANCIERO'!J38-'[10]FORMATO FINANCIERO'!H38</f>
        <v>3315752093</v>
      </c>
      <c r="K23" s="10" t="s">
        <v>2881</v>
      </c>
      <c r="L23" s="10">
        <v>4260</v>
      </c>
      <c r="M23" s="10">
        <v>8785</v>
      </c>
      <c r="N23" s="10"/>
      <c r="O23" s="10">
        <v>8785</v>
      </c>
      <c r="P23" s="10">
        <v>10177</v>
      </c>
      <c r="Q23" s="10" t="s">
        <v>2882</v>
      </c>
      <c r="R23" s="334"/>
      <c r="S23" s="334"/>
      <c r="T23" s="334"/>
      <c r="U23" s="334"/>
    </row>
    <row r="24" spans="1:21" ht="105" x14ac:dyDescent="0.25">
      <c r="A24" s="10" t="s">
        <v>55</v>
      </c>
      <c r="B24" s="10" t="s">
        <v>354</v>
      </c>
      <c r="C24" s="10" t="s">
        <v>2285</v>
      </c>
      <c r="D24" s="10">
        <v>241330000</v>
      </c>
      <c r="E24" s="10" t="s">
        <v>2286</v>
      </c>
      <c r="F24" s="50" t="s">
        <v>2883</v>
      </c>
      <c r="G24" s="10" t="s">
        <v>2884</v>
      </c>
      <c r="H24" s="10" t="s">
        <v>2885</v>
      </c>
      <c r="I24" s="116">
        <v>0</v>
      </c>
      <c r="J24" s="459">
        <f>'[10]FORMATO FINANCIERO'!J40-'[10]FORMATO FINANCIERO'!H40</f>
        <v>0</v>
      </c>
      <c r="K24" s="10" t="s">
        <v>2886</v>
      </c>
      <c r="L24" s="10">
        <v>2</v>
      </c>
      <c r="M24" s="10">
        <v>10</v>
      </c>
      <c r="N24" s="10"/>
      <c r="O24" s="10">
        <v>10</v>
      </c>
      <c r="P24" s="10">
        <v>10</v>
      </c>
      <c r="Q24" s="10" t="s">
        <v>2887</v>
      </c>
      <c r="R24" s="334"/>
      <c r="S24" s="334"/>
      <c r="T24" s="334"/>
      <c r="U24" s="334"/>
    </row>
    <row r="25" spans="1:21" x14ac:dyDescent="0.25">
      <c r="J25" s="463"/>
    </row>
  </sheetData>
  <sheetProtection algorithmName="SHA-512" hashValue="ngjH8/CJSbMj1/Ihk+kvvixYd8ZLy+tUcWT282YmezRm/PdzZZ/JN5FuIJISGTHkOwZSXppYFp0I9mgmh3Kszg==" saltValue="tkg0flDIyPyNtE7IGc07iA=="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7"/>
  <sheetViews>
    <sheetView topLeftCell="G4" zoomScale="80" zoomScaleNormal="80" workbookViewId="0">
      <pane ySplit="5" topLeftCell="A9" activePane="bottomLeft" state="frozen"/>
      <selection activeCell="A4" sqref="A4"/>
      <selection pane="bottomLeft" activeCell="G10" sqref="G10"/>
    </sheetView>
  </sheetViews>
  <sheetFormatPr baseColWidth="10" defaultRowHeight="15" x14ac:dyDescent="0.25"/>
  <cols>
    <col min="1" max="1" width="12.7109375" style="1" customWidth="1"/>
    <col min="2" max="2" width="15.140625" style="1" customWidth="1"/>
    <col min="3" max="3" width="19" style="1" customWidth="1"/>
    <col min="4" max="4" width="14.85546875" style="1" customWidth="1"/>
    <col min="5" max="5" width="16.28515625" style="1" customWidth="1"/>
    <col min="6" max="6" width="13.42578125" style="1" customWidth="1"/>
    <col min="7" max="7" width="19.140625" style="1" customWidth="1"/>
    <col min="8" max="8" width="14.140625" style="1" customWidth="1"/>
    <col min="9" max="9" width="14" style="1" customWidth="1"/>
    <col min="10" max="10" width="13.7109375" style="1" customWidth="1"/>
    <col min="11" max="11" width="14.7109375" style="1" customWidth="1"/>
    <col min="12" max="12" width="13.85546875" style="1" customWidth="1"/>
    <col min="13" max="13" width="13.7109375" style="1" customWidth="1"/>
    <col min="14" max="15" width="15" style="1" customWidth="1"/>
    <col min="16" max="16" width="14.7109375" style="1" customWidth="1"/>
    <col min="17" max="17" width="15.28515625" style="1" customWidth="1"/>
    <col min="18" max="18" width="11.7109375" style="1" customWidth="1"/>
    <col min="19" max="19" width="12.85546875" style="1" customWidth="1"/>
    <col min="20" max="20" width="20.140625" style="1" customWidth="1"/>
    <col min="21" max="21" width="12.7109375" style="1" customWidth="1"/>
    <col min="22" max="22" width="11.42578125" style="1"/>
    <col min="23" max="23" width="12.7109375" style="1" customWidth="1"/>
    <col min="24" max="24" width="13.140625" style="1" customWidth="1"/>
    <col min="25" max="25" width="11.7109375" style="1" customWidth="1"/>
    <col min="26" max="29" width="11.42578125" style="1"/>
    <col min="30" max="30" width="33.28515625" style="456" customWidth="1"/>
    <col min="31" max="31" width="11.5703125" style="1" bestFit="1" customWidth="1"/>
    <col min="32" max="32" width="6.42578125" style="1" bestFit="1" customWidth="1"/>
    <col min="33" max="33" width="5.42578125" style="1" bestFit="1" customWidth="1"/>
    <col min="34" max="34" width="15.5703125" style="1" customWidth="1"/>
    <col min="35" max="35" width="5" style="1" bestFit="1" customWidth="1"/>
    <col min="36" max="36" width="4.5703125" style="1" bestFit="1" customWidth="1"/>
    <col min="37" max="37" width="4.140625" style="1" bestFit="1" customWidth="1"/>
    <col min="38" max="38" width="5.85546875" style="1" bestFit="1" customWidth="1"/>
    <col min="39" max="39" width="15.7109375" style="1" customWidth="1"/>
    <col min="40" max="40" width="6.5703125" style="1" bestFit="1" customWidth="1"/>
    <col min="41" max="41" width="8.85546875" style="1" bestFit="1" customWidth="1"/>
    <col min="42" max="42" width="15.5703125" style="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2772</v>
      </c>
      <c r="D5" s="24"/>
      <c r="E5" s="24"/>
      <c r="F5" s="24"/>
      <c r="G5" s="24"/>
      <c r="H5" s="24"/>
      <c r="I5" s="25"/>
      <c r="J5" s="25"/>
      <c r="K5" s="24"/>
      <c r="L5" s="25"/>
      <c r="M5" s="25"/>
      <c r="N5" s="25"/>
      <c r="O5" s="25"/>
      <c r="P5" s="25"/>
      <c r="Q5" s="27"/>
      <c r="R5" s="27"/>
      <c r="S5" s="27"/>
      <c r="T5" s="27"/>
      <c r="U5" s="27"/>
      <c r="V5" s="27"/>
      <c r="W5" s="27"/>
      <c r="X5" s="27"/>
      <c r="Y5" s="27"/>
      <c r="Z5" s="27"/>
      <c r="AA5" s="27"/>
      <c r="AB5" s="27"/>
      <c r="AC5" s="27"/>
      <c r="AD5" s="457"/>
    </row>
    <row r="7" spans="1:42" s="29" customFormat="1" ht="24" customHeight="1"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49" t="s">
        <v>22</v>
      </c>
      <c r="AE7" s="614" t="s">
        <v>75</v>
      </c>
      <c r="AF7" s="615"/>
      <c r="AG7" s="615"/>
      <c r="AH7" s="615"/>
      <c r="AI7" s="615"/>
      <c r="AJ7" s="615"/>
      <c r="AK7" s="615"/>
      <c r="AL7" s="615"/>
      <c r="AM7" s="615"/>
      <c r="AN7" s="615"/>
      <c r="AO7" s="615"/>
      <c r="AP7" s="616"/>
    </row>
    <row r="8" spans="1:42" ht="36"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2773</v>
      </c>
      <c r="AA8" s="32" t="s">
        <v>83</v>
      </c>
      <c r="AB8" s="31" t="s">
        <v>84</v>
      </c>
      <c r="AC8" s="31" t="s">
        <v>1647</v>
      </c>
      <c r="AD8" s="650"/>
      <c r="AE8" s="33" t="s">
        <v>86</v>
      </c>
      <c r="AF8" s="33" t="s">
        <v>87</v>
      </c>
      <c r="AG8" s="33" t="s">
        <v>88</v>
      </c>
      <c r="AH8" s="33" t="s">
        <v>89</v>
      </c>
      <c r="AI8" s="33" t="s">
        <v>90</v>
      </c>
      <c r="AJ8" s="33" t="s">
        <v>91</v>
      </c>
      <c r="AK8" s="33" t="s">
        <v>92</v>
      </c>
      <c r="AL8" s="33" t="s">
        <v>93</v>
      </c>
      <c r="AM8" s="33" t="s">
        <v>94</v>
      </c>
      <c r="AN8" s="33" t="s">
        <v>95</v>
      </c>
      <c r="AO8" s="33" t="s">
        <v>96</v>
      </c>
      <c r="AP8" s="33" t="s">
        <v>97</v>
      </c>
    </row>
    <row r="9" spans="1:42" ht="185.25" x14ac:dyDescent="0.25">
      <c r="A9" s="34" t="s">
        <v>23</v>
      </c>
      <c r="B9" s="34" t="s">
        <v>1573</v>
      </c>
      <c r="C9" s="34" t="s">
        <v>2728</v>
      </c>
      <c r="D9" s="34">
        <v>214110000</v>
      </c>
      <c r="E9" s="74" t="s">
        <v>2730</v>
      </c>
      <c r="F9" s="34" t="s">
        <v>2731</v>
      </c>
      <c r="G9" s="34" t="s">
        <v>2732</v>
      </c>
      <c r="H9" s="36">
        <v>482752000</v>
      </c>
      <c r="I9" s="36">
        <v>457509005</v>
      </c>
      <c r="J9" s="36">
        <v>457509005</v>
      </c>
      <c r="K9" s="36">
        <v>0</v>
      </c>
      <c r="L9" s="36">
        <v>216000000</v>
      </c>
      <c r="M9" s="36"/>
      <c r="N9" s="36">
        <f>H9+K9</f>
        <v>482752000</v>
      </c>
      <c r="O9" s="36">
        <f>I9+L9</f>
        <v>673509005</v>
      </c>
      <c r="P9" s="36">
        <f>J9+M9</f>
        <v>457509005</v>
      </c>
      <c r="Q9" s="36">
        <v>452430255</v>
      </c>
      <c r="R9" s="36">
        <v>84000000</v>
      </c>
      <c r="S9" s="36">
        <f>Q9+R9</f>
        <v>536430255</v>
      </c>
      <c r="T9" s="37">
        <v>0</v>
      </c>
      <c r="U9" s="37">
        <v>0</v>
      </c>
      <c r="V9" s="37">
        <v>0</v>
      </c>
      <c r="W9" s="34"/>
      <c r="X9" s="34"/>
      <c r="Y9" s="34"/>
      <c r="Z9" s="34"/>
      <c r="AA9" s="34">
        <v>0</v>
      </c>
      <c r="AB9" s="34"/>
      <c r="AC9" s="34"/>
      <c r="AD9" s="458" t="s">
        <v>2774</v>
      </c>
      <c r="AE9" s="10"/>
      <c r="AF9" s="124"/>
      <c r="AG9" s="124"/>
      <c r="AH9" s="124"/>
      <c r="AI9" s="124"/>
      <c r="AJ9" s="124"/>
      <c r="AK9" s="124"/>
      <c r="AL9" s="124"/>
      <c r="AM9" s="124"/>
      <c r="AN9" s="124"/>
      <c r="AO9" s="124"/>
      <c r="AP9" s="124"/>
    </row>
    <row r="10" spans="1:42" ht="48" x14ac:dyDescent="0.25">
      <c r="A10" s="34"/>
      <c r="B10" s="34"/>
      <c r="C10" s="34"/>
      <c r="D10" s="34"/>
      <c r="E10" s="74"/>
      <c r="F10" s="34"/>
      <c r="G10" s="34"/>
      <c r="H10" s="36"/>
      <c r="I10" s="39"/>
      <c r="J10" s="39"/>
      <c r="K10" s="39"/>
      <c r="L10" s="39"/>
      <c r="M10" s="39"/>
      <c r="N10" s="36">
        <f t="shared" ref="N10:P67" si="0">H10+K10</f>
        <v>0</v>
      </c>
      <c r="O10" s="36">
        <f t="shared" si="0"/>
        <v>0</v>
      </c>
      <c r="P10" s="36">
        <f t="shared" si="0"/>
        <v>0</v>
      </c>
      <c r="Q10" s="36"/>
      <c r="R10" s="36"/>
      <c r="S10" s="36">
        <f t="shared" ref="S10:S67" si="1">Q10+R10</f>
        <v>0</v>
      </c>
      <c r="T10" s="37" t="s">
        <v>2732</v>
      </c>
      <c r="U10" s="37" t="s">
        <v>2775</v>
      </c>
      <c r="V10" s="37">
        <v>1</v>
      </c>
      <c r="W10" s="10"/>
      <c r="X10" s="10"/>
      <c r="Y10" s="10">
        <v>0.5</v>
      </c>
      <c r="Z10" s="10">
        <v>1</v>
      </c>
      <c r="AA10" s="34">
        <v>300</v>
      </c>
      <c r="AB10" s="10">
        <v>150</v>
      </c>
      <c r="AC10" s="10">
        <v>300</v>
      </c>
      <c r="AD10" s="177" t="s">
        <v>2776</v>
      </c>
      <c r="AE10" s="10" t="s">
        <v>218</v>
      </c>
      <c r="AF10" s="124"/>
      <c r="AG10" s="124"/>
      <c r="AH10" s="124" t="s">
        <v>218</v>
      </c>
      <c r="AI10" s="124"/>
      <c r="AJ10" s="124"/>
      <c r="AK10" s="124"/>
      <c r="AL10" s="124"/>
      <c r="AM10" s="124" t="s">
        <v>218</v>
      </c>
      <c r="AN10" s="124"/>
      <c r="AO10" s="124"/>
      <c r="AP10" s="124" t="s">
        <v>218</v>
      </c>
    </row>
    <row r="11" spans="1:42" x14ac:dyDescent="0.25">
      <c r="A11" s="34"/>
      <c r="B11" s="34"/>
      <c r="C11" s="34"/>
      <c r="D11" s="34"/>
      <c r="E11" s="74"/>
      <c r="F11" s="34"/>
      <c r="G11" s="34"/>
      <c r="H11" s="36"/>
      <c r="I11" s="39"/>
      <c r="J11" s="39"/>
      <c r="K11" s="39"/>
      <c r="L11" s="39"/>
      <c r="M11" s="39"/>
      <c r="N11" s="36">
        <f t="shared" si="0"/>
        <v>0</v>
      </c>
      <c r="O11" s="36">
        <f t="shared" si="0"/>
        <v>0</v>
      </c>
      <c r="P11" s="36">
        <f t="shared" si="0"/>
        <v>0</v>
      </c>
      <c r="Q11" s="36"/>
      <c r="R11" s="36"/>
      <c r="S11" s="36">
        <f t="shared" si="1"/>
        <v>0</v>
      </c>
      <c r="T11" s="37"/>
      <c r="U11" s="37"/>
      <c r="V11" s="37"/>
      <c r="W11" s="10"/>
      <c r="X11" s="10"/>
      <c r="Y11" s="10"/>
      <c r="Z11" s="10"/>
      <c r="AA11" s="34">
        <v>0</v>
      </c>
      <c r="AB11" s="10"/>
      <c r="AC11" s="10"/>
      <c r="AD11" s="177"/>
      <c r="AE11" s="10">
        <v>0</v>
      </c>
      <c r="AF11" s="124"/>
      <c r="AG11" s="124"/>
      <c r="AH11" s="124">
        <v>0</v>
      </c>
      <c r="AI11" s="124"/>
      <c r="AJ11" s="124"/>
      <c r="AK11" s="124"/>
      <c r="AL11" s="124"/>
      <c r="AM11" s="124">
        <v>0</v>
      </c>
      <c r="AN11" s="124"/>
      <c r="AO11" s="124"/>
      <c r="AP11" s="124">
        <v>0</v>
      </c>
    </row>
    <row r="12" spans="1:42" ht="24" x14ac:dyDescent="0.25">
      <c r="A12" s="34"/>
      <c r="B12" s="34"/>
      <c r="C12" s="34"/>
      <c r="D12" s="34"/>
      <c r="E12" s="74"/>
      <c r="F12" s="34"/>
      <c r="G12" s="34"/>
      <c r="H12" s="36"/>
      <c r="I12" s="39"/>
      <c r="J12" s="39"/>
      <c r="K12" s="39"/>
      <c r="L12" s="39"/>
      <c r="M12" s="39"/>
      <c r="N12" s="36">
        <f t="shared" si="0"/>
        <v>0</v>
      </c>
      <c r="O12" s="36">
        <f t="shared" si="0"/>
        <v>0</v>
      </c>
      <c r="P12" s="36">
        <f t="shared" si="0"/>
        <v>0</v>
      </c>
      <c r="Q12" s="36"/>
      <c r="R12" s="36"/>
      <c r="S12" s="36">
        <f t="shared" si="1"/>
        <v>0</v>
      </c>
      <c r="T12" s="37" t="s">
        <v>2777</v>
      </c>
      <c r="U12" s="37" t="s">
        <v>2775</v>
      </c>
      <c r="V12" s="37">
        <v>1</v>
      </c>
      <c r="W12" s="10"/>
      <c r="X12" s="10"/>
      <c r="Y12" s="10">
        <v>0.5</v>
      </c>
      <c r="Z12" s="10">
        <v>1</v>
      </c>
      <c r="AA12" s="34">
        <v>365</v>
      </c>
      <c r="AB12" s="10">
        <v>182</v>
      </c>
      <c r="AC12" s="10">
        <v>365</v>
      </c>
      <c r="AD12" s="177"/>
      <c r="AE12" s="10" t="s">
        <v>218</v>
      </c>
      <c r="AF12" s="124"/>
      <c r="AG12" s="124"/>
      <c r="AH12" s="124" t="s">
        <v>218</v>
      </c>
      <c r="AI12" s="124"/>
      <c r="AJ12" s="124"/>
      <c r="AK12" s="124"/>
      <c r="AL12" s="124"/>
      <c r="AM12" s="124" t="s">
        <v>218</v>
      </c>
      <c r="AN12" s="124"/>
      <c r="AO12" s="124"/>
      <c r="AP12" s="124" t="s">
        <v>218</v>
      </c>
    </row>
    <row r="13" spans="1:42" x14ac:dyDescent="0.25">
      <c r="A13" s="34"/>
      <c r="B13" s="34"/>
      <c r="C13" s="34"/>
      <c r="D13" s="34"/>
      <c r="E13" s="74"/>
      <c r="F13" s="34"/>
      <c r="G13" s="34"/>
      <c r="H13" s="36"/>
      <c r="I13" s="39"/>
      <c r="J13" s="39"/>
      <c r="K13" s="39"/>
      <c r="L13" s="39"/>
      <c r="M13" s="39"/>
      <c r="N13" s="36">
        <f t="shared" si="0"/>
        <v>0</v>
      </c>
      <c r="O13" s="36">
        <f t="shared" si="0"/>
        <v>0</v>
      </c>
      <c r="P13" s="36">
        <f t="shared" si="0"/>
        <v>0</v>
      </c>
      <c r="Q13" s="36"/>
      <c r="R13" s="36"/>
      <c r="S13" s="36">
        <f t="shared" si="1"/>
        <v>0</v>
      </c>
      <c r="T13" s="37"/>
      <c r="U13" s="37"/>
      <c r="V13" s="37"/>
      <c r="W13" s="10"/>
      <c r="X13" s="10"/>
      <c r="Y13" s="10"/>
      <c r="Z13" s="10"/>
      <c r="AA13" s="34">
        <v>0</v>
      </c>
      <c r="AB13" s="10"/>
      <c r="AC13" s="10"/>
      <c r="AD13" s="177"/>
      <c r="AE13" s="10">
        <v>0</v>
      </c>
      <c r="AF13" s="124"/>
      <c r="AG13" s="124"/>
      <c r="AH13" s="124">
        <v>0</v>
      </c>
      <c r="AI13" s="124"/>
      <c r="AJ13" s="124"/>
      <c r="AK13" s="124"/>
      <c r="AL13" s="124"/>
      <c r="AM13" s="124">
        <v>0</v>
      </c>
      <c r="AN13" s="124"/>
      <c r="AO13" s="124"/>
      <c r="AP13" s="124">
        <v>0</v>
      </c>
    </row>
    <row r="14" spans="1:42" ht="25.5" x14ac:dyDescent="0.25">
      <c r="A14" s="34"/>
      <c r="B14" s="34"/>
      <c r="C14" s="34"/>
      <c r="D14" s="34"/>
      <c r="E14" s="74"/>
      <c r="F14" s="34"/>
      <c r="G14" s="34"/>
      <c r="H14" s="36"/>
      <c r="I14" s="39"/>
      <c r="J14" s="39"/>
      <c r="K14" s="39"/>
      <c r="L14" s="39"/>
      <c r="M14" s="39"/>
      <c r="N14" s="36">
        <f t="shared" si="0"/>
        <v>0</v>
      </c>
      <c r="O14" s="36">
        <f t="shared" si="0"/>
        <v>0</v>
      </c>
      <c r="P14" s="36">
        <f t="shared" si="0"/>
        <v>0</v>
      </c>
      <c r="Q14" s="36"/>
      <c r="R14" s="36"/>
      <c r="S14" s="36">
        <f t="shared" si="1"/>
        <v>0</v>
      </c>
      <c r="T14" s="37" t="s">
        <v>2778</v>
      </c>
      <c r="U14" s="37" t="s">
        <v>2775</v>
      </c>
      <c r="V14" s="37">
        <v>1</v>
      </c>
      <c r="W14" s="10"/>
      <c r="X14" s="10"/>
      <c r="Y14" s="10">
        <v>0</v>
      </c>
      <c r="Z14" s="10">
        <v>0</v>
      </c>
      <c r="AA14" s="34">
        <v>180</v>
      </c>
      <c r="AB14" s="10">
        <v>90</v>
      </c>
      <c r="AC14" s="10"/>
      <c r="AD14" s="177" t="s">
        <v>2779</v>
      </c>
      <c r="AE14" s="10" t="s">
        <v>218</v>
      </c>
      <c r="AF14" s="124"/>
      <c r="AG14" s="124"/>
      <c r="AH14" s="124" t="s">
        <v>218</v>
      </c>
      <c r="AI14" s="124"/>
      <c r="AJ14" s="124"/>
      <c r="AK14" s="124"/>
      <c r="AL14" s="124"/>
      <c r="AM14" s="124" t="s">
        <v>218</v>
      </c>
      <c r="AN14" s="124"/>
      <c r="AO14" s="124"/>
      <c r="AP14" s="124" t="s">
        <v>218</v>
      </c>
    </row>
    <row r="15" spans="1:42" ht="24" x14ac:dyDescent="0.25">
      <c r="A15" s="34"/>
      <c r="B15" s="34"/>
      <c r="C15" s="34"/>
      <c r="D15" s="34"/>
      <c r="E15" s="74"/>
      <c r="F15" s="34"/>
      <c r="G15" s="34"/>
      <c r="H15" s="36"/>
      <c r="I15" s="39"/>
      <c r="J15" s="39"/>
      <c r="K15" s="39"/>
      <c r="L15" s="39"/>
      <c r="M15" s="39"/>
      <c r="N15" s="36">
        <f t="shared" si="0"/>
        <v>0</v>
      </c>
      <c r="O15" s="36">
        <f t="shared" si="0"/>
        <v>0</v>
      </c>
      <c r="P15" s="36">
        <f t="shared" si="0"/>
        <v>0</v>
      </c>
      <c r="Q15" s="36"/>
      <c r="R15" s="36"/>
      <c r="S15" s="36">
        <f t="shared" si="1"/>
        <v>0</v>
      </c>
      <c r="T15" s="37" t="s">
        <v>2780</v>
      </c>
      <c r="U15" s="37" t="s">
        <v>2775</v>
      </c>
      <c r="V15" s="37">
        <v>1</v>
      </c>
      <c r="W15" s="10"/>
      <c r="X15" s="10"/>
      <c r="Y15" s="10">
        <v>0.5</v>
      </c>
      <c r="Z15" s="10">
        <v>1</v>
      </c>
      <c r="AA15" s="34">
        <v>300</v>
      </c>
      <c r="AB15" s="10">
        <v>150</v>
      </c>
      <c r="AC15" s="10">
        <v>300</v>
      </c>
      <c r="AD15" s="177"/>
      <c r="AE15" s="10" t="s">
        <v>218</v>
      </c>
      <c r="AF15" s="124"/>
      <c r="AG15" s="124"/>
      <c r="AH15" s="124" t="s">
        <v>218</v>
      </c>
      <c r="AI15" s="124"/>
      <c r="AJ15" s="124"/>
      <c r="AK15" s="124"/>
      <c r="AL15" s="124"/>
      <c r="AM15" s="124" t="s">
        <v>218</v>
      </c>
      <c r="AN15" s="124"/>
      <c r="AO15" s="124"/>
      <c r="AP15" s="124" t="s">
        <v>218</v>
      </c>
    </row>
    <row r="16" spans="1:42" x14ac:dyDescent="0.25">
      <c r="A16" s="34"/>
      <c r="B16" s="34"/>
      <c r="C16" s="34"/>
      <c r="D16" s="34"/>
      <c r="E16" s="74"/>
      <c r="F16" s="34"/>
      <c r="G16" s="34"/>
      <c r="H16" s="36"/>
      <c r="I16" s="39"/>
      <c r="J16" s="39"/>
      <c r="K16" s="39"/>
      <c r="L16" s="39"/>
      <c r="M16" s="39"/>
      <c r="N16" s="36">
        <f t="shared" si="0"/>
        <v>0</v>
      </c>
      <c r="O16" s="36">
        <f t="shared" si="0"/>
        <v>0</v>
      </c>
      <c r="P16" s="36">
        <f t="shared" si="0"/>
        <v>0</v>
      </c>
      <c r="Q16" s="36"/>
      <c r="R16" s="36"/>
      <c r="S16" s="36">
        <f t="shared" si="1"/>
        <v>0</v>
      </c>
      <c r="T16" s="37"/>
      <c r="U16" s="37"/>
      <c r="V16" s="37"/>
      <c r="W16" s="10"/>
      <c r="X16" s="10"/>
      <c r="Y16" s="10"/>
      <c r="Z16" s="10"/>
      <c r="AA16" s="34">
        <v>0</v>
      </c>
      <c r="AB16" s="10"/>
      <c r="AC16" s="10"/>
      <c r="AD16" s="177"/>
      <c r="AE16" s="10">
        <v>0</v>
      </c>
      <c r="AF16" s="124"/>
      <c r="AG16" s="124"/>
      <c r="AH16" s="124">
        <v>0</v>
      </c>
      <c r="AI16" s="124"/>
      <c r="AJ16" s="124"/>
      <c r="AK16" s="124"/>
      <c r="AL16" s="124"/>
      <c r="AM16" s="124">
        <v>0</v>
      </c>
      <c r="AN16" s="124"/>
      <c r="AO16" s="124"/>
      <c r="AP16" s="124">
        <v>0</v>
      </c>
    </row>
    <row r="17" spans="1:42" ht="96" x14ac:dyDescent="0.25">
      <c r="A17" s="34" t="s">
        <v>55</v>
      </c>
      <c r="B17" s="34" t="s">
        <v>48</v>
      </c>
      <c r="C17" s="34" t="s">
        <v>2735</v>
      </c>
      <c r="D17" s="34">
        <v>242110000</v>
      </c>
      <c r="E17" s="74" t="s">
        <v>2737</v>
      </c>
      <c r="F17" s="34" t="s">
        <v>2738</v>
      </c>
      <c r="G17" s="34" t="s">
        <v>2739</v>
      </c>
      <c r="H17" s="36">
        <v>4905209000</v>
      </c>
      <c r="I17" s="39">
        <v>3104985195</v>
      </c>
      <c r="J17" s="39">
        <v>3169761047</v>
      </c>
      <c r="K17" s="39"/>
      <c r="L17" s="39">
        <v>0</v>
      </c>
      <c r="M17" s="39"/>
      <c r="N17" s="36">
        <f t="shared" si="0"/>
        <v>4905209000</v>
      </c>
      <c r="O17" s="36">
        <f t="shared" si="0"/>
        <v>3104985195</v>
      </c>
      <c r="P17" s="36">
        <f t="shared" si="0"/>
        <v>3169761047</v>
      </c>
      <c r="Q17" s="36">
        <v>2010977848</v>
      </c>
      <c r="R17" s="36"/>
      <c r="S17" s="36">
        <f t="shared" si="1"/>
        <v>2010977848</v>
      </c>
      <c r="T17" s="37"/>
      <c r="U17" s="37"/>
      <c r="V17" s="37"/>
      <c r="W17" s="10"/>
      <c r="X17" s="10"/>
      <c r="Y17" s="10"/>
      <c r="Z17" s="10"/>
      <c r="AA17" s="34">
        <v>0</v>
      </c>
      <c r="AB17" s="10"/>
      <c r="AC17" s="10"/>
      <c r="AD17" s="177"/>
      <c r="AE17" s="10">
        <v>0</v>
      </c>
      <c r="AF17" s="124"/>
      <c r="AG17" s="124"/>
      <c r="AH17" s="124">
        <v>0</v>
      </c>
      <c r="AI17" s="124"/>
      <c r="AJ17" s="124"/>
      <c r="AK17" s="124"/>
      <c r="AL17" s="124"/>
      <c r="AM17" s="124">
        <v>0</v>
      </c>
      <c r="AN17" s="124"/>
      <c r="AO17" s="124"/>
      <c r="AP17" s="124">
        <v>0</v>
      </c>
    </row>
    <row r="18" spans="1:42" ht="191.25" customHeight="1" x14ac:dyDescent="0.25">
      <c r="A18" s="34"/>
      <c r="B18" s="34"/>
      <c r="C18" s="34"/>
      <c r="D18" s="34"/>
      <c r="E18" s="74"/>
      <c r="F18" s="34"/>
      <c r="G18" s="34"/>
      <c r="H18" s="36"/>
      <c r="I18" s="39"/>
      <c r="J18" s="39"/>
      <c r="K18" s="39"/>
      <c r="L18" s="39"/>
      <c r="M18" s="39"/>
      <c r="N18" s="36">
        <f t="shared" si="0"/>
        <v>0</v>
      </c>
      <c r="O18" s="36">
        <f t="shared" si="0"/>
        <v>0</v>
      </c>
      <c r="P18" s="36">
        <f t="shared" si="0"/>
        <v>0</v>
      </c>
      <c r="Q18" s="36"/>
      <c r="R18" s="36"/>
      <c r="S18" s="36">
        <f t="shared" si="1"/>
        <v>0</v>
      </c>
      <c r="T18" s="37" t="s">
        <v>2781</v>
      </c>
      <c r="U18" s="37" t="s">
        <v>2775</v>
      </c>
      <c r="V18" s="37">
        <v>100</v>
      </c>
      <c r="W18" s="10">
        <v>122</v>
      </c>
      <c r="X18" s="10"/>
      <c r="Y18" s="10">
        <v>0</v>
      </c>
      <c r="Z18" s="10">
        <v>96</v>
      </c>
      <c r="AA18" s="34">
        <v>300</v>
      </c>
      <c r="AB18" s="10">
        <v>150</v>
      </c>
      <c r="AC18" s="10">
        <v>300</v>
      </c>
      <c r="AD18" s="177" t="s">
        <v>2782</v>
      </c>
      <c r="AE18" s="10" t="s">
        <v>218</v>
      </c>
      <c r="AF18" s="124"/>
      <c r="AG18" s="124"/>
      <c r="AH18" s="124" t="s">
        <v>218</v>
      </c>
      <c r="AI18" s="124"/>
      <c r="AJ18" s="124"/>
      <c r="AK18" s="124"/>
      <c r="AL18" s="124"/>
      <c r="AM18" s="124" t="s">
        <v>218</v>
      </c>
      <c r="AN18" s="124"/>
      <c r="AO18" s="124"/>
      <c r="AP18" s="124" t="s">
        <v>218</v>
      </c>
    </row>
    <row r="19" spans="1:42" ht="165" customHeight="1" x14ac:dyDescent="0.25">
      <c r="A19" s="34"/>
      <c r="B19" s="34"/>
      <c r="C19" s="34"/>
      <c r="D19" s="34"/>
      <c r="E19" s="74"/>
      <c r="F19" s="34"/>
      <c r="G19" s="34"/>
      <c r="H19" s="36"/>
      <c r="I19" s="39"/>
      <c r="J19" s="39"/>
      <c r="K19" s="39"/>
      <c r="L19" s="39"/>
      <c r="M19" s="39"/>
      <c r="N19" s="36">
        <f t="shared" si="0"/>
        <v>0</v>
      </c>
      <c r="O19" s="36">
        <f t="shared" si="0"/>
        <v>0</v>
      </c>
      <c r="P19" s="36">
        <f t="shared" si="0"/>
        <v>0</v>
      </c>
      <c r="Q19" s="36"/>
      <c r="R19" s="36"/>
      <c r="S19" s="36">
        <f t="shared" si="1"/>
        <v>0</v>
      </c>
      <c r="T19" s="37" t="s">
        <v>2783</v>
      </c>
      <c r="U19" s="37" t="s">
        <v>2775</v>
      </c>
      <c r="V19" s="37">
        <v>1</v>
      </c>
      <c r="W19" s="10"/>
      <c r="X19" s="10"/>
      <c r="Y19" s="10">
        <v>0.5</v>
      </c>
      <c r="Z19" s="10">
        <v>0.8</v>
      </c>
      <c r="AA19" s="34">
        <v>300</v>
      </c>
      <c r="AB19" s="10">
        <v>150</v>
      </c>
      <c r="AC19" s="10">
        <v>250</v>
      </c>
      <c r="AD19" s="177" t="s">
        <v>2784</v>
      </c>
      <c r="AE19" s="10" t="s">
        <v>218</v>
      </c>
      <c r="AF19" s="124"/>
      <c r="AG19" s="124"/>
      <c r="AH19" s="124" t="s">
        <v>218</v>
      </c>
      <c r="AI19" s="124"/>
      <c r="AJ19" s="124"/>
      <c r="AK19" s="124"/>
      <c r="AL19" s="124"/>
      <c r="AM19" s="124" t="s">
        <v>218</v>
      </c>
      <c r="AN19" s="124"/>
      <c r="AO19" s="124"/>
      <c r="AP19" s="124" t="s">
        <v>218</v>
      </c>
    </row>
    <row r="20" spans="1:42" ht="358.5" customHeight="1" x14ac:dyDescent="0.25">
      <c r="A20" s="34"/>
      <c r="B20" s="34"/>
      <c r="C20" s="34"/>
      <c r="D20" s="34"/>
      <c r="E20" s="74"/>
      <c r="F20" s="34"/>
      <c r="G20" s="34"/>
      <c r="H20" s="36"/>
      <c r="I20" s="39"/>
      <c r="J20" s="39"/>
      <c r="K20" s="39"/>
      <c r="L20" s="39"/>
      <c r="M20" s="39"/>
      <c r="N20" s="36">
        <f t="shared" si="0"/>
        <v>0</v>
      </c>
      <c r="O20" s="36">
        <f t="shared" si="0"/>
        <v>0</v>
      </c>
      <c r="P20" s="36">
        <f t="shared" si="0"/>
        <v>0</v>
      </c>
      <c r="Q20" s="36"/>
      <c r="R20" s="36"/>
      <c r="S20" s="36">
        <f t="shared" si="1"/>
        <v>0</v>
      </c>
      <c r="T20" s="37" t="s">
        <v>2785</v>
      </c>
      <c r="U20" s="37" t="s">
        <v>2775</v>
      </c>
      <c r="V20" s="37">
        <v>1</v>
      </c>
      <c r="W20" s="10"/>
      <c r="X20" s="10"/>
      <c r="Y20" s="10">
        <v>0.5</v>
      </c>
      <c r="Z20" s="10">
        <v>0.8</v>
      </c>
      <c r="AA20" s="34">
        <v>300</v>
      </c>
      <c r="AB20" s="10">
        <v>150</v>
      </c>
      <c r="AC20" s="10">
        <v>190</v>
      </c>
      <c r="AD20" s="177" t="s">
        <v>2786</v>
      </c>
      <c r="AE20" s="10" t="s">
        <v>218</v>
      </c>
      <c r="AF20" s="124"/>
      <c r="AG20" s="124"/>
      <c r="AH20" s="124" t="s">
        <v>218</v>
      </c>
      <c r="AI20" s="124"/>
      <c r="AJ20" s="124"/>
      <c r="AK20" s="124"/>
      <c r="AL20" s="124"/>
      <c r="AM20" s="124" t="s">
        <v>218</v>
      </c>
      <c r="AN20" s="124"/>
      <c r="AO20" s="124"/>
      <c r="AP20" s="124" t="s">
        <v>218</v>
      </c>
    </row>
    <row r="21" spans="1:42" ht="130.5" customHeight="1" x14ac:dyDescent="0.25">
      <c r="A21" s="34"/>
      <c r="B21" s="34"/>
      <c r="C21" s="34"/>
      <c r="D21" s="34"/>
      <c r="E21" s="74"/>
      <c r="F21" s="34"/>
      <c r="G21" s="34"/>
      <c r="H21" s="36"/>
      <c r="I21" s="39"/>
      <c r="J21" s="39"/>
      <c r="K21" s="39"/>
      <c r="L21" s="39"/>
      <c r="M21" s="39"/>
      <c r="N21" s="36">
        <f t="shared" si="0"/>
        <v>0</v>
      </c>
      <c r="O21" s="36">
        <f t="shared" si="0"/>
        <v>0</v>
      </c>
      <c r="P21" s="36">
        <f t="shared" si="0"/>
        <v>0</v>
      </c>
      <c r="Q21" s="36"/>
      <c r="R21" s="36"/>
      <c r="S21" s="36">
        <f t="shared" si="1"/>
        <v>0</v>
      </c>
      <c r="T21" s="37" t="s">
        <v>2787</v>
      </c>
      <c r="U21" s="37" t="s">
        <v>2775</v>
      </c>
      <c r="V21" s="37">
        <v>8</v>
      </c>
      <c r="W21" s="10"/>
      <c r="X21" s="10"/>
      <c r="Y21" s="10">
        <v>8</v>
      </c>
      <c r="Z21" s="10">
        <v>8</v>
      </c>
      <c r="AA21" s="34">
        <v>300</v>
      </c>
      <c r="AB21" s="10">
        <v>150</v>
      </c>
      <c r="AC21" s="10">
        <v>300</v>
      </c>
      <c r="AD21" s="177" t="s">
        <v>2788</v>
      </c>
      <c r="AE21" s="10" t="s">
        <v>218</v>
      </c>
      <c r="AF21" s="124"/>
      <c r="AG21" s="124"/>
      <c r="AH21" s="124" t="s">
        <v>218</v>
      </c>
      <c r="AI21" s="124"/>
      <c r="AJ21" s="124"/>
      <c r="AK21" s="124"/>
      <c r="AL21" s="124"/>
      <c r="AM21" s="124" t="s">
        <v>218</v>
      </c>
      <c r="AN21" s="124"/>
      <c r="AO21" s="124"/>
      <c r="AP21" s="124" t="s">
        <v>218</v>
      </c>
    </row>
    <row r="22" spans="1:42" ht="408.75" customHeight="1" x14ac:dyDescent="0.25">
      <c r="A22" s="34"/>
      <c r="B22" s="34"/>
      <c r="C22" s="34"/>
      <c r="D22" s="34"/>
      <c r="E22" s="74"/>
      <c r="F22" s="34"/>
      <c r="G22" s="34"/>
      <c r="H22" s="36"/>
      <c r="I22" s="39"/>
      <c r="J22" s="39"/>
      <c r="K22" s="39"/>
      <c r="L22" s="39"/>
      <c r="M22" s="39"/>
      <c r="N22" s="36">
        <f t="shared" si="0"/>
        <v>0</v>
      </c>
      <c r="O22" s="36">
        <f t="shared" si="0"/>
        <v>0</v>
      </c>
      <c r="P22" s="36">
        <f t="shared" si="0"/>
        <v>0</v>
      </c>
      <c r="Q22" s="36"/>
      <c r="R22" s="36"/>
      <c r="S22" s="36">
        <f t="shared" si="1"/>
        <v>0</v>
      </c>
      <c r="T22" s="37" t="s">
        <v>2789</v>
      </c>
      <c r="U22" s="37" t="s">
        <v>2775</v>
      </c>
      <c r="V22" s="37">
        <v>1</v>
      </c>
      <c r="W22" s="10"/>
      <c r="X22" s="10"/>
      <c r="Y22" s="10">
        <v>0.2</v>
      </c>
      <c r="Z22" s="10">
        <v>0.97</v>
      </c>
      <c r="AA22" s="34">
        <v>300</v>
      </c>
      <c r="AB22" s="10">
        <v>60</v>
      </c>
      <c r="AC22" s="10">
        <v>150</v>
      </c>
      <c r="AD22" s="177" t="s">
        <v>2790</v>
      </c>
      <c r="AE22" s="10" t="s">
        <v>218</v>
      </c>
      <c r="AF22" s="124"/>
      <c r="AG22" s="124"/>
      <c r="AH22" s="124" t="s">
        <v>218</v>
      </c>
      <c r="AI22" s="124"/>
      <c r="AJ22" s="124"/>
      <c r="AK22" s="124"/>
      <c r="AL22" s="124"/>
      <c r="AM22" s="124" t="s">
        <v>218</v>
      </c>
      <c r="AN22" s="124"/>
      <c r="AO22" s="124"/>
      <c r="AP22" s="124" t="s">
        <v>218</v>
      </c>
    </row>
    <row r="23" spans="1:42" ht="104.25" customHeight="1" x14ac:dyDescent="0.25">
      <c r="A23" s="34"/>
      <c r="B23" s="34"/>
      <c r="C23" s="34"/>
      <c r="D23" s="34"/>
      <c r="E23" s="74"/>
      <c r="F23" s="34"/>
      <c r="G23" s="34"/>
      <c r="H23" s="36"/>
      <c r="I23" s="39"/>
      <c r="J23" s="39"/>
      <c r="K23" s="39"/>
      <c r="L23" s="39"/>
      <c r="M23" s="39"/>
      <c r="N23" s="36">
        <f t="shared" si="0"/>
        <v>0</v>
      </c>
      <c r="O23" s="36">
        <f t="shared" si="0"/>
        <v>0</v>
      </c>
      <c r="P23" s="36">
        <f t="shared" si="0"/>
        <v>0</v>
      </c>
      <c r="Q23" s="36"/>
      <c r="R23" s="36"/>
      <c r="S23" s="36">
        <f t="shared" si="1"/>
        <v>0</v>
      </c>
      <c r="T23" s="37" t="s">
        <v>2791</v>
      </c>
      <c r="U23" s="37" t="s">
        <v>2775</v>
      </c>
      <c r="V23" s="37">
        <v>1</v>
      </c>
      <c r="W23" s="10"/>
      <c r="X23" s="10"/>
      <c r="Y23" s="10">
        <v>0</v>
      </c>
      <c r="Z23" s="10">
        <v>1</v>
      </c>
      <c r="AA23" s="34">
        <v>300</v>
      </c>
      <c r="AB23" s="10">
        <v>0</v>
      </c>
      <c r="AC23" s="10">
        <v>150</v>
      </c>
      <c r="AD23" s="177" t="s">
        <v>2792</v>
      </c>
      <c r="AE23" s="10" t="s">
        <v>218</v>
      </c>
      <c r="AF23" s="124"/>
      <c r="AG23" s="124"/>
      <c r="AH23" s="124" t="s">
        <v>218</v>
      </c>
      <c r="AI23" s="124"/>
      <c r="AJ23" s="124"/>
      <c r="AK23" s="124"/>
      <c r="AL23" s="124"/>
      <c r="AM23" s="124" t="s">
        <v>218</v>
      </c>
      <c r="AN23" s="124"/>
      <c r="AO23" s="124"/>
      <c r="AP23" s="124" t="s">
        <v>218</v>
      </c>
    </row>
    <row r="24" spans="1:42" ht="216" x14ac:dyDescent="0.25">
      <c r="A24" s="34"/>
      <c r="B24" s="34"/>
      <c r="C24" s="34"/>
      <c r="D24" s="34"/>
      <c r="E24" s="74"/>
      <c r="F24" s="34"/>
      <c r="G24" s="34"/>
      <c r="H24" s="36"/>
      <c r="I24" s="39"/>
      <c r="J24" s="39"/>
      <c r="K24" s="39"/>
      <c r="L24" s="39"/>
      <c r="M24" s="39"/>
      <c r="N24" s="36">
        <f t="shared" si="0"/>
        <v>0</v>
      </c>
      <c r="O24" s="36">
        <f t="shared" si="0"/>
        <v>0</v>
      </c>
      <c r="P24" s="36">
        <f t="shared" si="0"/>
        <v>0</v>
      </c>
      <c r="Q24" s="36"/>
      <c r="R24" s="36"/>
      <c r="S24" s="36">
        <f t="shared" si="1"/>
        <v>0</v>
      </c>
      <c r="T24" s="37" t="s">
        <v>2793</v>
      </c>
      <c r="U24" s="37" t="s">
        <v>2775</v>
      </c>
      <c r="V24" s="37">
        <v>50</v>
      </c>
      <c r="W24" s="10"/>
      <c r="X24" s="10"/>
      <c r="Y24" s="10">
        <v>10</v>
      </c>
      <c r="Z24" s="10">
        <v>81</v>
      </c>
      <c r="AA24" s="34">
        <v>300</v>
      </c>
      <c r="AB24" s="10">
        <v>60</v>
      </c>
      <c r="AC24" s="10">
        <v>150</v>
      </c>
      <c r="AD24" s="177" t="s">
        <v>2794</v>
      </c>
      <c r="AE24" s="10" t="s">
        <v>218</v>
      </c>
      <c r="AF24" s="124"/>
      <c r="AG24" s="124"/>
      <c r="AH24" s="124" t="s">
        <v>218</v>
      </c>
      <c r="AI24" s="124"/>
      <c r="AJ24" s="124"/>
      <c r="AK24" s="124"/>
      <c r="AL24" s="124"/>
      <c r="AM24" s="124" t="s">
        <v>218</v>
      </c>
      <c r="AN24" s="124"/>
      <c r="AO24" s="124"/>
      <c r="AP24" s="124" t="s">
        <v>218</v>
      </c>
    </row>
    <row r="25" spans="1:42" ht="102.75" customHeight="1" x14ac:dyDescent="0.25">
      <c r="A25" s="34"/>
      <c r="B25" s="34"/>
      <c r="C25" s="34"/>
      <c r="D25" s="34"/>
      <c r="E25" s="74"/>
      <c r="F25" s="34"/>
      <c r="G25" s="34"/>
      <c r="H25" s="36"/>
      <c r="I25" s="39"/>
      <c r="J25" s="39"/>
      <c r="K25" s="39"/>
      <c r="L25" s="39"/>
      <c r="M25" s="39"/>
      <c r="N25" s="36">
        <f t="shared" si="0"/>
        <v>0</v>
      </c>
      <c r="O25" s="36">
        <f t="shared" si="0"/>
        <v>0</v>
      </c>
      <c r="P25" s="36">
        <f t="shared" si="0"/>
        <v>0</v>
      </c>
      <c r="Q25" s="36"/>
      <c r="R25" s="36"/>
      <c r="S25" s="36">
        <f t="shared" si="1"/>
        <v>0</v>
      </c>
      <c r="T25" s="37" t="s">
        <v>2795</v>
      </c>
      <c r="U25" s="37" t="s">
        <v>2796</v>
      </c>
      <c r="V25" s="37">
        <v>28</v>
      </c>
      <c r="W25" s="10"/>
      <c r="X25" s="10"/>
      <c r="Y25" s="10">
        <v>0</v>
      </c>
      <c r="Z25" s="10">
        <v>61</v>
      </c>
      <c r="AA25" s="34">
        <v>300</v>
      </c>
      <c r="AB25" s="10">
        <v>30</v>
      </c>
      <c r="AC25" s="10">
        <v>90</v>
      </c>
      <c r="AD25" s="177" t="s">
        <v>2797</v>
      </c>
      <c r="AE25" s="10" t="s">
        <v>218</v>
      </c>
      <c r="AF25" s="124"/>
      <c r="AG25" s="124"/>
      <c r="AH25" s="124" t="s">
        <v>218</v>
      </c>
      <c r="AI25" s="124"/>
      <c r="AJ25" s="124"/>
      <c r="AK25" s="124"/>
      <c r="AL25" s="124"/>
      <c r="AM25" s="124" t="s">
        <v>218</v>
      </c>
      <c r="AN25" s="124"/>
      <c r="AO25" s="124"/>
      <c r="AP25" s="124" t="s">
        <v>218</v>
      </c>
    </row>
    <row r="26" spans="1:42" ht="84" x14ac:dyDescent="0.25">
      <c r="A26" s="34"/>
      <c r="B26" s="34"/>
      <c r="C26" s="34"/>
      <c r="D26" s="34"/>
      <c r="E26" s="74"/>
      <c r="F26" s="34"/>
      <c r="G26" s="34"/>
      <c r="H26" s="36"/>
      <c r="I26" s="39"/>
      <c r="J26" s="39"/>
      <c r="K26" s="39"/>
      <c r="L26" s="39"/>
      <c r="M26" s="39"/>
      <c r="N26" s="36">
        <f t="shared" si="0"/>
        <v>0</v>
      </c>
      <c r="O26" s="36">
        <f t="shared" si="0"/>
        <v>0</v>
      </c>
      <c r="P26" s="36">
        <f t="shared" si="0"/>
        <v>0</v>
      </c>
      <c r="Q26" s="36"/>
      <c r="R26" s="36"/>
      <c r="S26" s="36">
        <f t="shared" si="1"/>
        <v>0</v>
      </c>
      <c r="T26" s="37" t="s">
        <v>2798</v>
      </c>
      <c r="U26" s="37" t="s">
        <v>2775</v>
      </c>
      <c r="V26" s="37">
        <v>400000</v>
      </c>
      <c r="W26" s="10"/>
      <c r="X26" s="10"/>
      <c r="Y26" s="10">
        <v>0</v>
      </c>
      <c r="Z26" s="10">
        <v>400000</v>
      </c>
      <c r="AA26" s="34">
        <v>300</v>
      </c>
      <c r="AB26" s="10">
        <v>30</v>
      </c>
      <c r="AC26" s="10">
        <v>180</v>
      </c>
      <c r="AD26" s="177" t="s">
        <v>2799</v>
      </c>
      <c r="AE26" s="10" t="s">
        <v>218</v>
      </c>
      <c r="AF26" s="124"/>
      <c r="AG26" s="124"/>
      <c r="AH26" s="124" t="s">
        <v>218</v>
      </c>
      <c r="AI26" s="124"/>
      <c r="AJ26" s="124"/>
      <c r="AK26" s="124"/>
      <c r="AL26" s="124"/>
      <c r="AM26" s="124" t="s">
        <v>218</v>
      </c>
      <c r="AN26" s="124"/>
      <c r="AO26" s="124"/>
      <c r="AP26" s="124" t="s">
        <v>218</v>
      </c>
    </row>
    <row r="27" spans="1:42" ht="114" customHeight="1" x14ac:dyDescent="0.25">
      <c r="A27" s="34"/>
      <c r="B27" s="34"/>
      <c r="C27" s="34"/>
      <c r="D27" s="34"/>
      <c r="E27" s="74"/>
      <c r="F27" s="34"/>
      <c r="G27" s="34"/>
      <c r="H27" s="36"/>
      <c r="I27" s="39"/>
      <c r="J27" s="39"/>
      <c r="K27" s="39"/>
      <c r="L27" s="39"/>
      <c r="M27" s="39"/>
      <c r="N27" s="36">
        <f t="shared" si="0"/>
        <v>0</v>
      </c>
      <c r="O27" s="36">
        <f t="shared" si="0"/>
        <v>0</v>
      </c>
      <c r="P27" s="36">
        <f t="shared" si="0"/>
        <v>0</v>
      </c>
      <c r="Q27" s="36"/>
      <c r="R27" s="36"/>
      <c r="S27" s="36">
        <f t="shared" si="1"/>
        <v>0</v>
      </c>
      <c r="T27" s="37" t="s">
        <v>2800</v>
      </c>
      <c r="U27" s="37" t="s">
        <v>2775</v>
      </c>
      <c r="V27" s="37">
        <v>1</v>
      </c>
      <c r="W27" s="10"/>
      <c r="X27" s="10"/>
      <c r="Y27" s="10">
        <v>0</v>
      </c>
      <c r="Z27" s="10">
        <v>0</v>
      </c>
      <c r="AA27" s="34">
        <v>300</v>
      </c>
      <c r="AB27" s="10">
        <v>0</v>
      </c>
      <c r="AC27" s="10"/>
      <c r="AD27" s="177" t="s">
        <v>2801</v>
      </c>
      <c r="AE27" s="10" t="s">
        <v>218</v>
      </c>
      <c r="AF27" s="124">
        <v>0</v>
      </c>
      <c r="AG27" s="124">
        <v>0</v>
      </c>
      <c r="AH27" s="124" t="s">
        <v>218</v>
      </c>
      <c r="AI27" s="124"/>
      <c r="AJ27" s="124"/>
      <c r="AK27" s="124"/>
      <c r="AL27" s="124"/>
      <c r="AM27" s="124" t="s">
        <v>218</v>
      </c>
      <c r="AN27" s="124"/>
      <c r="AO27" s="124"/>
      <c r="AP27" s="124" t="s">
        <v>218</v>
      </c>
    </row>
    <row r="28" spans="1:42" ht="139.5" customHeight="1" x14ac:dyDescent="0.25">
      <c r="A28" s="34"/>
      <c r="B28" s="34"/>
      <c r="C28" s="34"/>
      <c r="D28" s="34"/>
      <c r="E28" s="74"/>
      <c r="F28" s="34"/>
      <c r="G28" s="34"/>
      <c r="H28" s="36"/>
      <c r="I28" s="39"/>
      <c r="J28" s="39"/>
      <c r="K28" s="39"/>
      <c r="L28" s="39"/>
      <c r="M28" s="39"/>
      <c r="N28" s="36">
        <f t="shared" si="0"/>
        <v>0</v>
      </c>
      <c r="O28" s="36">
        <f t="shared" si="0"/>
        <v>0</v>
      </c>
      <c r="P28" s="36">
        <f t="shared" si="0"/>
        <v>0</v>
      </c>
      <c r="Q28" s="36"/>
      <c r="R28" s="36"/>
      <c r="S28" s="36">
        <f t="shared" si="1"/>
        <v>0</v>
      </c>
      <c r="T28" s="37" t="s">
        <v>2802</v>
      </c>
      <c r="U28" s="37" t="s">
        <v>2775</v>
      </c>
      <c r="V28" s="37">
        <v>1</v>
      </c>
      <c r="W28" s="10"/>
      <c r="X28" s="10"/>
      <c r="Y28" s="10">
        <v>1</v>
      </c>
      <c r="Z28" s="10">
        <v>1</v>
      </c>
      <c r="AA28" s="34">
        <v>300</v>
      </c>
      <c r="AB28" s="10">
        <v>150</v>
      </c>
      <c r="AC28" s="10">
        <v>150</v>
      </c>
      <c r="AD28" s="177" t="s">
        <v>2803</v>
      </c>
      <c r="AE28" s="10" t="s">
        <v>218</v>
      </c>
      <c r="AF28" s="124">
        <v>0</v>
      </c>
      <c r="AG28" s="124">
        <v>0</v>
      </c>
      <c r="AH28" s="124" t="s">
        <v>218</v>
      </c>
      <c r="AI28" s="124"/>
      <c r="AJ28" s="124"/>
      <c r="AK28" s="124"/>
      <c r="AL28" s="124"/>
      <c r="AM28" s="124" t="s">
        <v>218</v>
      </c>
      <c r="AN28" s="124"/>
      <c r="AO28" s="124"/>
      <c r="AP28" s="124" t="s">
        <v>218</v>
      </c>
    </row>
    <row r="29" spans="1:42" x14ac:dyDescent="0.25">
      <c r="A29" s="34"/>
      <c r="B29" s="34"/>
      <c r="C29" s="34"/>
      <c r="D29" s="34"/>
      <c r="E29" s="74"/>
      <c r="F29" s="34"/>
      <c r="G29" s="34"/>
      <c r="H29" s="36"/>
      <c r="I29" s="39"/>
      <c r="J29" s="39"/>
      <c r="K29" s="39"/>
      <c r="L29" s="39"/>
      <c r="M29" s="39"/>
      <c r="N29" s="36">
        <f t="shared" si="0"/>
        <v>0</v>
      </c>
      <c r="O29" s="36">
        <f t="shared" si="0"/>
        <v>0</v>
      </c>
      <c r="P29" s="36">
        <f t="shared" si="0"/>
        <v>0</v>
      </c>
      <c r="Q29" s="36"/>
      <c r="R29" s="36"/>
      <c r="S29" s="36">
        <f t="shared" si="1"/>
        <v>0</v>
      </c>
      <c r="T29" s="37"/>
      <c r="U29" s="37"/>
      <c r="V29" s="37"/>
      <c r="W29" s="10"/>
      <c r="X29" s="10"/>
      <c r="Y29" s="10"/>
      <c r="Z29" s="10"/>
      <c r="AA29" s="34">
        <v>0</v>
      </c>
      <c r="AB29" s="10"/>
      <c r="AC29" s="10"/>
      <c r="AD29" s="177"/>
      <c r="AE29" s="10"/>
      <c r="AF29" s="124"/>
      <c r="AG29" s="124"/>
      <c r="AH29" s="124"/>
      <c r="AI29" s="124"/>
      <c r="AJ29" s="124"/>
      <c r="AK29" s="124"/>
      <c r="AL29" s="124"/>
      <c r="AM29" s="124"/>
      <c r="AN29" s="124"/>
      <c r="AO29" s="124"/>
      <c r="AP29" s="124"/>
    </row>
    <row r="30" spans="1:42" ht="54" customHeight="1" x14ac:dyDescent="0.25">
      <c r="A30" s="34"/>
      <c r="B30" s="34"/>
      <c r="C30" s="34"/>
      <c r="D30" s="34"/>
      <c r="E30" s="74"/>
      <c r="F30" s="34"/>
      <c r="G30" s="34"/>
      <c r="H30" s="36"/>
      <c r="I30" s="39"/>
      <c r="J30" s="39"/>
      <c r="K30" s="39"/>
      <c r="L30" s="39"/>
      <c r="M30" s="39"/>
      <c r="N30" s="36">
        <f t="shared" si="0"/>
        <v>0</v>
      </c>
      <c r="O30" s="36">
        <f t="shared" si="0"/>
        <v>0</v>
      </c>
      <c r="P30" s="36">
        <f t="shared" si="0"/>
        <v>0</v>
      </c>
      <c r="Q30" s="36"/>
      <c r="R30" s="36"/>
      <c r="S30" s="36">
        <f t="shared" si="1"/>
        <v>0</v>
      </c>
      <c r="T30" s="37" t="s">
        <v>2804</v>
      </c>
      <c r="U30" s="37" t="s">
        <v>2775</v>
      </c>
      <c r="V30" s="37">
        <v>1</v>
      </c>
      <c r="W30" s="10"/>
      <c r="X30" s="10"/>
      <c r="Y30" s="10">
        <v>0.5</v>
      </c>
      <c r="Z30" s="10">
        <v>1</v>
      </c>
      <c r="AA30" s="34">
        <v>300</v>
      </c>
      <c r="AB30" s="10">
        <v>150</v>
      </c>
      <c r="AC30" s="10">
        <v>300</v>
      </c>
      <c r="AD30" s="177"/>
      <c r="AE30" s="10" t="s">
        <v>218</v>
      </c>
      <c r="AF30" s="124"/>
      <c r="AG30" s="124"/>
      <c r="AH30" s="124" t="s">
        <v>218</v>
      </c>
      <c r="AI30" s="124"/>
      <c r="AJ30" s="124"/>
      <c r="AK30" s="124"/>
      <c r="AL30" s="124"/>
      <c r="AM30" s="124" t="s">
        <v>218</v>
      </c>
      <c r="AN30" s="124"/>
      <c r="AO30" s="124"/>
      <c r="AP30" s="124" t="s">
        <v>218</v>
      </c>
    </row>
    <row r="31" spans="1:42" x14ac:dyDescent="0.25">
      <c r="A31" s="34"/>
      <c r="B31" s="34"/>
      <c r="C31" s="34"/>
      <c r="D31" s="34"/>
      <c r="E31" s="74"/>
      <c r="F31" s="34"/>
      <c r="G31" s="34"/>
      <c r="H31" s="36"/>
      <c r="I31" s="39"/>
      <c r="J31" s="39"/>
      <c r="K31" s="39"/>
      <c r="L31" s="39"/>
      <c r="M31" s="39"/>
      <c r="N31" s="36">
        <f t="shared" si="0"/>
        <v>0</v>
      </c>
      <c r="O31" s="36">
        <f t="shared" si="0"/>
        <v>0</v>
      </c>
      <c r="P31" s="36">
        <f t="shared" si="0"/>
        <v>0</v>
      </c>
      <c r="Q31" s="36"/>
      <c r="R31" s="36"/>
      <c r="S31" s="36">
        <f t="shared" si="1"/>
        <v>0</v>
      </c>
      <c r="T31" s="37" t="s">
        <v>2805</v>
      </c>
      <c r="U31" s="37" t="s">
        <v>2775</v>
      </c>
      <c r="V31" s="37">
        <v>1</v>
      </c>
      <c r="W31" s="10"/>
      <c r="X31" s="10"/>
      <c r="Y31" s="10">
        <v>0.5</v>
      </c>
      <c r="Z31" s="10">
        <v>1</v>
      </c>
      <c r="AA31" s="34">
        <v>300</v>
      </c>
      <c r="AB31" s="10">
        <v>150</v>
      </c>
      <c r="AC31" s="10">
        <v>300</v>
      </c>
      <c r="AD31" s="177"/>
      <c r="AE31" s="10" t="s">
        <v>218</v>
      </c>
      <c r="AF31" s="124"/>
      <c r="AG31" s="124"/>
      <c r="AH31" s="124" t="s">
        <v>218</v>
      </c>
      <c r="AI31" s="124"/>
      <c r="AJ31" s="124"/>
      <c r="AK31" s="124"/>
      <c r="AL31" s="124"/>
      <c r="AM31" s="124" t="s">
        <v>218</v>
      </c>
      <c r="AN31" s="124"/>
      <c r="AO31" s="124"/>
      <c r="AP31" s="124" t="s">
        <v>218</v>
      </c>
    </row>
    <row r="32" spans="1:42" ht="24" x14ac:dyDescent="0.25">
      <c r="A32" s="34"/>
      <c r="B32" s="34"/>
      <c r="C32" s="34"/>
      <c r="D32" s="34"/>
      <c r="E32" s="74"/>
      <c r="F32" s="34"/>
      <c r="G32" s="34"/>
      <c r="H32" s="36"/>
      <c r="I32" s="39"/>
      <c r="J32" s="39"/>
      <c r="K32" s="39"/>
      <c r="L32" s="39"/>
      <c r="M32" s="39"/>
      <c r="N32" s="36">
        <f t="shared" si="0"/>
        <v>0</v>
      </c>
      <c r="O32" s="36">
        <f t="shared" si="0"/>
        <v>0</v>
      </c>
      <c r="P32" s="36">
        <f t="shared" si="0"/>
        <v>0</v>
      </c>
      <c r="Q32" s="36"/>
      <c r="R32" s="36"/>
      <c r="S32" s="36">
        <f t="shared" si="1"/>
        <v>0</v>
      </c>
      <c r="T32" s="37" t="s">
        <v>2806</v>
      </c>
      <c r="U32" s="37" t="s">
        <v>2775</v>
      </c>
      <c r="V32" s="37">
        <v>6</v>
      </c>
      <c r="W32" s="10"/>
      <c r="X32" s="10"/>
      <c r="Y32" s="10">
        <v>6</v>
      </c>
      <c r="Z32" s="10">
        <v>6</v>
      </c>
      <c r="AA32" s="34">
        <v>365</v>
      </c>
      <c r="AB32" s="10">
        <v>182</v>
      </c>
      <c r="AC32" s="10">
        <v>365</v>
      </c>
      <c r="AD32" s="177"/>
      <c r="AE32" s="10" t="s">
        <v>218</v>
      </c>
      <c r="AF32" s="124"/>
      <c r="AG32" s="124"/>
      <c r="AH32" s="10" t="s">
        <v>218</v>
      </c>
      <c r="AI32" s="124"/>
      <c r="AJ32" s="124"/>
      <c r="AK32" s="124"/>
      <c r="AL32" s="124"/>
      <c r="AM32" s="10" t="s">
        <v>218</v>
      </c>
      <c r="AN32" s="124"/>
      <c r="AO32" s="124"/>
      <c r="AP32" s="10" t="s">
        <v>218</v>
      </c>
    </row>
    <row r="33" spans="1:42" ht="132" x14ac:dyDescent="0.25">
      <c r="A33" s="34"/>
      <c r="B33" s="34"/>
      <c r="C33" s="34"/>
      <c r="D33" s="34"/>
      <c r="E33" s="74"/>
      <c r="F33" s="34"/>
      <c r="G33" s="34"/>
      <c r="H33" s="36"/>
      <c r="I33" s="39"/>
      <c r="J33" s="39"/>
      <c r="K33" s="39"/>
      <c r="L33" s="39"/>
      <c r="M33" s="39"/>
      <c r="N33" s="36">
        <f t="shared" si="0"/>
        <v>0</v>
      </c>
      <c r="O33" s="36">
        <f t="shared" si="0"/>
        <v>0</v>
      </c>
      <c r="P33" s="36">
        <f t="shared" si="0"/>
        <v>0</v>
      </c>
      <c r="Q33" s="36"/>
      <c r="R33" s="36"/>
      <c r="S33" s="36">
        <f t="shared" si="1"/>
        <v>0</v>
      </c>
      <c r="T33" s="37" t="s">
        <v>2807</v>
      </c>
      <c r="U33" s="37" t="s">
        <v>2775</v>
      </c>
      <c r="V33" s="37">
        <v>1</v>
      </c>
      <c r="W33" s="10"/>
      <c r="X33" s="10"/>
      <c r="Y33" s="10">
        <v>1</v>
      </c>
      <c r="Z33" s="10">
        <v>1</v>
      </c>
      <c r="AA33" s="34">
        <v>365</v>
      </c>
      <c r="AB33" s="10">
        <v>182</v>
      </c>
      <c r="AC33" s="10">
        <v>182</v>
      </c>
      <c r="AD33" s="177" t="s">
        <v>2808</v>
      </c>
      <c r="AE33" s="10" t="s">
        <v>218</v>
      </c>
      <c r="AF33" s="124"/>
      <c r="AG33" s="124"/>
      <c r="AH33" s="10" t="s">
        <v>218</v>
      </c>
      <c r="AI33" s="124"/>
      <c r="AJ33" s="124"/>
      <c r="AK33" s="124"/>
      <c r="AL33" s="124"/>
      <c r="AM33" s="10" t="s">
        <v>218</v>
      </c>
      <c r="AN33" s="124"/>
      <c r="AO33" s="124"/>
      <c r="AP33" s="10" t="s">
        <v>218</v>
      </c>
    </row>
    <row r="34" spans="1:42" ht="25.5" x14ac:dyDescent="0.25">
      <c r="A34" s="34"/>
      <c r="B34" s="34"/>
      <c r="C34" s="34"/>
      <c r="D34" s="34"/>
      <c r="E34" s="74"/>
      <c r="F34" s="34"/>
      <c r="G34" s="34"/>
      <c r="H34" s="36"/>
      <c r="I34" s="39"/>
      <c r="J34" s="39"/>
      <c r="K34" s="39"/>
      <c r="L34" s="39"/>
      <c r="M34" s="39"/>
      <c r="N34" s="36">
        <f t="shared" si="0"/>
        <v>0</v>
      </c>
      <c r="O34" s="36">
        <f t="shared" si="0"/>
        <v>0</v>
      </c>
      <c r="P34" s="36">
        <f t="shared" si="0"/>
        <v>0</v>
      </c>
      <c r="Q34" s="36"/>
      <c r="R34" s="36"/>
      <c r="S34" s="36">
        <f t="shared" si="1"/>
        <v>0</v>
      </c>
      <c r="T34" s="37" t="s">
        <v>2809</v>
      </c>
      <c r="U34" s="37" t="s">
        <v>2775</v>
      </c>
      <c r="V34" s="37">
        <v>21</v>
      </c>
      <c r="W34" s="10"/>
      <c r="X34" s="10"/>
      <c r="Y34" s="10">
        <v>0</v>
      </c>
      <c r="Z34" s="10">
        <v>0</v>
      </c>
      <c r="AA34" s="34">
        <v>180</v>
      </c>
      <c r="AB34" s="10">
        <v>90</v>
      </c>
      <c r="AC34" s="10">
        <v>180</v>
      </c>
      <c r="AD34" s="177" t="s">
        <v>2779</v>
      </c>
      <c r="AE34" s="10" t="s">
        <v>218</v>
      </c>
      <c r="AF34" s="124"/>
      <c r="AG34" s="124"/>
      <c r="AH34" s="10" t="s">
        <v>218</v>
      </c>
      <c r="AI34" s="124"/>
      <c r="AJ34" s="124"/>
      <c r="AK34" s="124"/>
      <c r="AL34" s="124"/>
      <c r="AM34" s="10" t="s">
        <v>218</v>
      </c>
      <c r="AN34" s="124"/>
      <c r="AO34" s="124"/>
      <c r="AP34" s="10" t="s">
        <v>218</v>
      </c>
    </row>
    <row r="35" spans="1:42" x14ac:dyDescent="0.25">
      <c r="A35" s="34"/>
      <c r="B35" s="34"/>
      <c r="C35" s="34"/>
      <c r="D35" s="34"/>
      <c r="E35" s="74"/>
      <c r="F35" s="34"/>
      <c r="G35" s="34"/>
      <c r="H35" s="36"/>
      <c r="I35" s="39"/>
      <c r="J35" s="39"/>
      <c r="K35" s="39"/>
      <c r="L35" s="39"/>
      <c r="M35" s="39"/>
      <c r="N35" s="36">
        <f t="shared" si="0"/>
        <v>0</v>
      </c>
      <c r="O35" s="36">
        <f t="shared" si="0"/>
        <v>0</v>
      </c>
      <c r="P35" s="36">
        <f t="shared" si="0"/>
        <v>0</v>
      </c>
      <c r="Q35" s="36"/>
      <c r="R35" s="36"/>
      <c r="S35" s="36">
        <f t="shared" si="1"/>
        <v>0</v>
      </c>
      <c r="T35" s="37"/>
      <c r="U35" s="37"/>
      <c r="V35" s="37"/>
      <c r="W35" s="10"/>
      <c r="X35" s="10"/>
      <c r="Y35" s="10"/>
      <c r="Z35" s="10"/>
      <c r="AA35" s="34">
        <v>0</v>
      </c>
      <c r="AB35" s="10"/>
      <c r="AC35" s="10"/>
      <c r="AD35" s="177"/>
      <c r="AE35" s="10"/>
      <c r="AF35" s="124"/>
      <c r="AG35" s="124"/>
      <c r="AH35" s="124"/>
      <c r="AI35" s="124"/>
      <c r="AJ35" s="124"/>
      <c r="AK35" s="124"/>
      <c r="AL35" s="124"/>
      <c r="AM35" s="124"/>
      <c r="AN35" s="124"/>
      <c r="AO35" s="124"/>
      <c r="AP35" s="124"/>
    </row>
    <row r="36" spans="1:42" ht="72" x14ac:dyDescent="0.25">
      <c r="A36" s="34" t="s">
        <v>55</v>
      </c>
      <c r="B36" s="34" t="s">
        <v>48</v>
      </c>
      <c r="C36" s="34" t="s">
        <v>2735</v>
      </c>
      <c r="D36" s="34">
        <v>242120000</v>
      </c>
      <c r="E36" s="74" t="s">
        <v>2747</v>
      </c>
      <c r="F36" s="34" t="s">
        <v>2748</v>
      </c>
      <c r="G36" s="34" t="s">
        <v>2749</v>
      </c>
      <c r="H36" s="36">
        <v>946108000</v>
      </c>
      <c r="I36" s="39">
        <v>864394704</v>
      </c>
      <c r="J36" s="39">
        <v>864394704</v>
      </c>
      <c r="K36" s="39"/>
      <c r="L36" s="39">
        <v>0</v>
      </c>
      <c r="M36" s="39"/>
      <c r="N36" s="36">
        <f t="shared" si="0"/>
        <v>946108000</v>
      </c>
      <c r="O36" s="36">
        <f t="shared" si="0"/>
        <v>864394704</v>
      </c>
      <c r="P36" s="36">
        <f t="shared" si="0"/>
        <v>864394704</v>
      </c>
      <c r="Q36" s="36">
        <v>636213487</v>
      </c>
      <c r="R36" s="36"/>
      <c r="S36" s="36">
        <f t="shared" si="1"/>
        <v>636213487</v>
      </c>
      <c r="T36" s="37"/>
      <c r="U36" s="37"/>
      <c r="V36" s="37"/>
      <c r="W36" s="10"/>
      <c r="X36" s="10"/>
      <c r="Y36" s="10"/>
      <c r="Z36" s="10"/>
      <c r="AA36" s="34">
        <v>0</v>
      </c>
      <c r="AB36" s="10"/>
      <c r="AC36" s="10"/>
      <c r="AD36" s="177"/>
      <c r="AE36" s="10"/>
      <c r="AF36" s="124"/>
      <c r="AG36" s="124"/>
      <c r="AH36" s="124"/>
      <c r="AI36" s="124"/>
      <c r="AJ36" s="124"/>
      <c r="AK36" s="124"/>
      <c r="AL36" s="124"/>
      <c r="AM36" s="124"/>
      <c r="AN36" s="124"/>
      <c r="AO36" s="124"/>
      <c r="AP36" s="124"/>
    </row>
    <row r="37" spans="1:42" ht="104.25" customHeight="1" x14ac:dyDescent="0.25">
      <c r="A37" s="34"/>
      <c r="B37" s="34"/>
      <c r="C37" s="34"/>
      <c r="D37" s="34"/>
      <c r="E37" s="74"/>
      <c r="F37" s="34"/>
      <c r="G37" s="34"/>
      <c r="H37" s="36"/>
      <c r="I37" s="39"/>
      <c r="J37" s="39"/>
      <c r="K37" s="39"/>
      <c r="L37" s="39"/>
      <c r="M37" s="39"/>
      <c r="N37" s="36">
        <f t="shared" si="0"/>
        <v>0</v>
      </c>
      <c r="O37" s="36">
        <f t="shared" si="0"/>
        <v>0</v>
      </c>
      <c r="P37" s="36">
        <f t="shared" si="0"/>
        <v>0</v>
      </c>
      <c r="Q37" s="36"/>
      <c r="R37" s="36"/>
      <c r="S37" s="36">
        <f t="shared" si="1"/>
        <v>0</v>
      </c>
      <c r="T37" s="37" t="s">
        <v>2810</v>
      </c>
      <c r="U37" s="37" t="s">
        <v>2775</v>
      </c>
      <c r="V37" s="37">
        <v>1</v>
      </c>
      <c r="W37" s="10"/>
      <c r="X37" s="10"/>
      <c r="Y37" s="10">
        <v>0.5</v>
      </c>
      <c r="Z37" s="10">
        <v>1</v>
      </c>
      <c r="AA37" s="34">
        <v>300</v>
      </c>
      <c r="AB37" s="10">
        <v>150</v>
      </c>
      <c r="AC37" s="10">
        <v>300</v>
      </c>
      <c r="AD37" s="177"/>
      <c r="AE37" s="10" t="s">
        <v>218</v>
      </c>
      <c r="AF37" s="124"/>
      <c r="AG37" s="124"/>
      <c r="AH37" s="10" t="s">
        <v>218</v>
      </c>
      <c r="AI37" s="124"/>
      <c r="AJ37" s="124"/>
      <c r="AK37" s="124"/>
      <c r="AL37" s="124"/>
      <c r="AM37" s="10" t="s">
        <v>218</v>
      </c>
      <c r="AN37" s="124"/>
      <c r="AO37" s="124"/>
      <c r="AP37" s="10" t="s">
        <v>218</v>
      </c>
    </row>
    <row r="38" spans="1:42" ht="132" x14ac:dyDescent="0.25">
      <c r="A38" s="34"/>
      <c r="B38" s="34"/>
      <c r="C38" s="34"/>
      <c r="D38" s="34"/>
      <c r="E38" s="74"/>
      <c r="F38" s="34"/>
      <c r="G38" s="34"/>
      <c r="H38" s="36"/>
      <c r="I38" s="39"/>
      <c r="J38" s="39"/>
      <c r="K38" s="39"/>
      <c r="L38" s="39"/>
      <c r="M38" s="39"/>
      <c r="N38" s="36">
        <f t="shared" si="0"/>
        <v>0</v>
      </c>
      <c r="O38" s="36">
        <f t="shared" si="0"/>
        <v>0</v>
      </c>
      <c r="P38" s="36">
        <f t="shared" si="0"/>
        <v>0</v>
      </c>
      <c r="Q38" s="36"/>
      <c r="R38" s="36"/>
      <c r="S38" s="36">
        <f t="shared" si="1"/>
        <v>0</v>
      </c>
      <c r="T38" s="37" t="s">
        <v>2811</v>
      </c>
      <c r="U38" s="37" t="s">
        <v>2775</v>
      </c>
      <c r="V38" s="37">
        <v>1</v>
      </c>
      <c r="W38" s="10"/>
      <c r="X38" s="10"/>
      <c r="Y38" s="10">
        <v>0.5</v>
      </c>
      <c r="Z38" s="10">
        <v>1</v>
      </c>
      <c r="AA38" s="34">
        <v>300</v>
      </c>
      <c r="AB38" s="10">
        <v>150</v>
      </c>
      <c r="AC38" s="10">
        <v>300</v>
      </c>
      <c r="AD38" s="177"/>
      <c r="AE38" s="10" t="s">
        <v>218</v>
      </c>
      <c r="AF38" s="124"/>
      <c r="AG38" s="124"/>
      <c r="AH38" s="10" t="s">
        <v>218</v>
      </c>
      <c r="AI38" s="124"/>
      <c r="AJ38" s="124"/>
      <c r="AK38" s="124"/>
      <c r="AL38" s="124"/>
      <c r="AM38" s="10" t="s">
        <v>218</v>
      </c>
      <c r="AN38" s="124"/>
      <c r="AO38" s="124"/>
      <c r="AP38" s="10" t="s">
        <v>218</v>
      </c>
    </row>
    <row r="39" spans="1:42" ht="48" customHeight="1" x14ac:dyDescent="0.25">
      <c r="A39" s="34"/>
      <c r="B39" s="34"/>
      <c r="C39" s="34"/>
      <c r="D39" s="34"/>
      <c r="E39" s="74"/>
      <c r="F39" s="34"/>
      <c r="G39" s="34"/>
      <c r="H39" s="36"/>
      <c r="I39" s="39"/>
      <c r="J39" s="39"/>
      <c r="K39" s="39"/>
      <c r="L39" s="39"/>
      <c r="M39" s="39"/>
      <c r="N39" s="36">
        <f t="shared" si="0"/>
        <v>0</v>
      </c>
      <c r="O39" s="36">
        <f t="shared" si="0"/>
        <v>0</v>
      </c>
      <c r="P39" s="36">
        <f t="shared" si="0"/>
        <v>0</v>
      </c>
      <c r="Q39" s="36"/>
      <c r="R39" s="36"/>
      <c r="S39" s="36">
        <f t="shared" si="1"/>
        <v>0</v>
      </c>
      <c r="T39" s="37" t="s">
        <v>2804</v>
      </c>
      <c r="U39" s="37" t="s">
        <v>2775</v>
      </c>
      <c r="V39" s="37">
        <v>1</v>
      </c>
      <c r="W39" s="10"/>
      <c r="X39" s="10"/>
      <c r="Y39" s="10">
        <v>0.5</v>
      </c>
      <c r="Z39" s="10">
        <v>1</v>
      </c>
      <c r="AA39" s="34">
        <v>300</v>
      </c>
      <c r="AB39" s="10">
        <v>150</v>
      </c>
      <c r="AC39" s="10">
        <v>300</v>
      </c>
      <c r="AD39" s="177"/>
      <c r="AE39" s="10" t="s">
        <v>218</v>
      </c>
      <c r="AF39" s="124"/>
      <c r="AG39" s="124"/>
      <c r="AH39" s="10" t="s">
        <v>218</v>
      </c>
      <c r="AI39" s="124"/>
      <c r="AJ39" s="124"/>
      <c r="AK39" s="124"/>
      <c r="AL39" s="124"/>
      <c r="AM39" s="10" t="s">
        <v>218</v>
      </c>
      <c r="AN39" s="124"/>
      <c r="AO39" s="124"/>
      <c r="AP39" s="10" t="s">
        <v>218</v>
      </c>
    </row>
    <row r="40" spans="1:42" ht="24" x14ac:dyDescent="0.25">
      <c r="A40" s="34"/>
      <c r="B40" s="34"/>
      <c r="C40" s="34"/>
      <c r="D40" s="34"/>
      <c r="E40" s="74"/>
      <c r="F40" s="34"/>
      <c r="G40" s="34"/>
      <c r="H40" s="36"/>
      <c r="I40" s="39"/>
      <c r="J40" s="39"/>
      <c r="K40" s="39"/>
      <c r="L40" s="39"/>
      <c r="M40" s="39"/>
      <c r="N40" s="36">
        <f t="shared" si="0"/>
        <v>0</v>
      </c>
      <c r="O40" s="36">
        <f t="shared" si="0"/>
        <v>0</v>
      </c>
      <c r="P40" s="36">
        <f t="shared" si="0"/>
        <v>0</v>
      </c>
      <c r="Q40" s="36"/>
      <c r="R40" s="36"/>
      <c r="S40" s="36">
        <f t="shared" si="1"/>
        <v>0</v>
      </c>
      <c r="T40" s="37" t="s">
        <v>2806</v>
      </c>
      <c r="U40" s="37" t="s">
        <v>2775</v>
      </c>
      <c r="V40" s="37">
        <v>1</v>
      </c>
      <c r="W40" s="10"/>
      <c r="X40" s="10"/>
      <c r="Y40" s="10">
        <v>0.5</v>
      </c>
      <c r="Z40" s="10">
        <v>1</v>
      </c>
      <c r="AA40" s="34">
        <v>365</v>
      </c>
      <c r="AB40" s="10">
        <v>182</v>
      </c>
      <c r="AC40" s="10">
        <v>365</v>
      </c>
      <c r="AD40" s="177"/>
      <c r="AE40" s="10" t="s">
        <v>218</v>
      </c>
      <c r="AF40" s="124"/>
      <c r="AG40" s="124"/>
      <c r="AH40" s="10" t="s">
        <v>218</v>
      </c>
      <c r="AI40" s="124"/>
      <c r="AJ40" s="124"/>
      <c r="AK40" s="124"/>
      <c r="AL40" s="124"/>
      <c r="AM40" s="10" t="s">
        <v>218</v>
      </c>
      <c r="AN40" s="124"/>
      <c r="AO40" s="124"/>
      <c r="AP40" s="10" t="s">
        <v>218</v>
      </c>
    </row>
    <row r="41" spans="1:42" x14ac:dyDescent="0.25">
      <c r="A41" s="34"/>
      <c r="B41" s="34"/>
      <c r="C41" s="34"/>
      <c r="D41" s="34"/>
      <c r="E41" s="74"/>
      <c r="F41" s="34"/>
      <c r="G41" s="34"/>
      <c r="H41" s="36"/>
      <c r="I41" s="39"/>
      <c r="J41" s="39"/>
      <c r="K41" s="39"/>
      <c r="L41" s="39"/>
      <c r="M41" s="39"/>
      <c r="N41" s="36">
        <f t="shared" si="0"/>
        <v>0</v>
      </c>
      <c r="O41" s="36">
        <f t="shared" si="0"/>
        <v>0</v>
      </c>
      <c r="P41" s="36">
        <f t="shared" si="0"/>
        <v>0</v>
      </c>
      <c r="Q41" s="36"/>
      <c r="R41" s="36"/>
      <c r="S41" s="36">
        <f t="shared" si="1"/>
        <v>0</v>
      </c>
      <c r="T41" s="37"/>
      <c r="U41" s="37"/>
      <c r="V41" s="37"/>
      <c r="W41" s="10"/>
      <c r="X41" s="10"/>
      <c r="Y41" s="10"/>
      <c r="Z41" s="10"/>
      <c r="AA41" s="34">
        <v>0</v>
      </c>
      <c r="AB41" s="10"/>
      <c r="AC41" s="10"/>
      <c r="AD41" s="177"/>
      <c r="AE41" s="10"/>
      <c r="AF41" s="124"/>
      <c r="AG41" s="124"/>
      <c r="AH41" s="124"/>
      <c r="AI41" s="124"/>
      <c r="AJ41" s="124"/>
      <c r="AK41" s="124"/>
      <c r="AL41" s="124"/>
      <c r="AM41" s="124"/>
      <c r="AN41" s="124"/>
      <c r="AO41" s="124"/>
      <c r="AP41" s="124"/>
    </row>
    <row r="42" spans="1:42" ht="25.5" x14ac:dyDescent="0.25">
      <c r="A42" s="34"/>
      <c r="B42" s="34"/>
      <c r="C42" s="34"/>
      <c r="D42" s="34"/>
      <c r="E42" s="74"/>
      <c r="F42" s="34"/>
      <c r="G42" s="34"/>
      <c r="H42" s="36"/>
      <c r="I42" s="39"/>
      <c r="J42" s="39"/>
      <c r="K42" s="39"/>
      <c r="L42" s="39"/>
      <c r="M42" s="39"/>
      <c r="N42" s="36">
        <f t="shared" si="0"/>
        <v>0</v>
      </c>
      <c r="O42" s="36">
        <f t="shared" si="0"/>
        <v>0</v>
      </c>
      <c r="P42" s="36">
        <f t="shared" si="0"/>
        <v>0</v>
      </c>
      <c r="Q42" s="36"/>
      <c r="R42" s="36"/>
      <c r="S42" s="36">
        <f t="shared" si="1"/>
        <v>0</v>
      </c>
      <c r="T42" s="37" t="s">
        <v>2809</v>
      </c>
      <c r="U42" s="37" t="s">
        <v>2775</v>
      </c>
      <c r="V42" s="37">
        <v>4</v>
      </c>
      <c r="W42" s="10"/>
      <c r="X42" s="10"/>
      <c r="Y42" s="10">
        <v>0</v>
      </c>
      <c r="Z42" s="10"/>
      <c r="AA42" s="34">
        <v>180</v>
      </c>
      <c r="AB42" s="10">
        <v>90</v>
      </c>
      <c r="AC42" s="10">
        <v>180</v>
      </c>
      <c r="AD42" s="177" t="s">
        <v>2779</v>
      </c>
      <c r="AE42" s="10" t="s">
        <v>218</v>
      </c>
      <c r="AF42" s="124"/>
      <c r="AG42" s="124"/>
      <c r="AH42" s="10" t="s">
        <v>218</v>
      </c>
      <c r="AI42" s="124"/>
      <c r="AJ42" s="124"/>
      <c r="AK42" s="124"/>
      <c r="AL42" s="124"/>
      <c r="AM42" s="10" t="s">
        <v>218</v>
      </c>
      <c r="AN42" s="124"/>
      <c r="AO42" s="124"/>
      <c r="AP42" s="10" t="s">
        <v>218</v>
      </c>
    </row>
    <row r="43" spans="1:42" x14ac:dyDescent="0.25">
      <c r="A43" s="34"/>
      <c r="B43" s="34"/>
      <c r="C43" s="34"/>
      <c r="D43" s="34"/>
      <c r="E43" s="74"/>
      <c r="F43" s="34"/>
      <c r="G43" s="34"/>
      <c r="H43" s="36"/>
      <c r="I43" s="39"/>
      <c r="J43" s="39"/>
      <c r="K43" s="39"/>
      <c r="L43" s="39"/>
      <c r="M43" s="39"/>
      <c r="N43" s="36">
        <f t="shared" si="0"/>
        <v>0</v>
      </c>
      <c r="O43" s="36">
        <f t="shared" si="0"/>
        <v>0</v>
      </c>
      <c r="P43" s="36">
        <f t="shared" si="0"/>
        <v>0</v>
      </c>
      <c r="Q43" s="36"/>
      <c r="R43" s="36"/>
      <c r="S43" s="36">
        <f t="shared" si="1"/>
        <v>0</v>
      </c>
      <c r="T43" s="37"/>
      <c r="U43" s="37"/>
      <c r="V43" s="37"/>
      <c r="W43" s="10"/>
      <c r="X43" s="10"/>
      <c r="Y43" s="10"/>
      <c r="Z43" s="10"/>
      <c r="AA43" s="34">
        <v>0</v>
      </c>
      <c r="AB43" s="10"/>
      <c r="AC43" s="10"/>
      <c r="AD43" s="177"/>
      <c r="AE43" s="10"/>
      <c r="AF43" s="124"/>
      <c r="AG43" s="124"/>
      <c r="AH43" s="124"/>
      <c r="AI43" s="124"/>
      <c r="AJ43" s="124"/>
      <c r="AK43" s="124"/>
      <c r="AL43" s="124"/>
      <c r="AM43" s="124"/>
      <c r="AN43" s="124"/>
      <c r="AO43" s="124"/>
      <c r="AP43" s="124"/>
    </row>
    <row r="44" spans="1:42" x14ac:dyDescent="0.25">
      <c r="A44" s="34"/>
      <c r="B44" s="34"/>
      <c r="C44" s="34"/>
      <c r="D44" s="34"/>
      <c r="E44" s="74"/>
      <c r="F44" s="34"/>
      <c r="G44" s="34"/>
      <c r="H44" s="36"/>
      <c r="I44" s="39"/>
      <c r="J44" s="39"/>
      <c r="K44" s="39"/>
      <c r="L44" s="39"/>
      <c r="M44" s="39"/>
      <c r="N44" s="36">
        <f t="shared" si="0"/>
        <v>0</v>
      </c>
      <c r="O44" s="36">
        <f t="shared" si="0"/>
        <v>0</v>
      </c>
      <c r="P44" s="36">
        <f t="shared" si="0"/>
        <v>0</v>
      </c>
      <c r="Q44" s="36"/>
      <c r="R44" s="36"/>
      <c r="S44" s="36">
        <f t="shared" si="1"/>
        <v>0</v>
      </c>
      <c r="T44" s="37"/>
      <c r="U44" s="37"/>
      <c r="V44" s="37"/>
      <c r="W44" s="10"/>
      <c r="X44" s="10"/>
      <c r="Y44" s="10"/>
      <c r="Z44" s="10"/>
      <c r="AA44" s="34">
        <v>0</v>
      </c>
      <c r="AB44" s="10"/>
      <c r="AC44" s="10"/>
      <c r="AD44" s="177"/>
      <c r="AE44" s="10"/>
      <c r="AF44" s="124"/>
      <c r="AG44" s="124"/>
      <c r="AH44" s="124"/>
      <c r="AI44" s="124"/>
      <c r="AJ44" s="124"/>
      <c r="AK44" s="124"/>
      <c r="AL44" s="124"/>
      <c r="AM44" s="124"/>
      <c r="AN44" s="124"/>
      <c r="AO44" s="124"/>
      <c r="AP44" s="124"/>
    </row>
    <row r="45" spans="1:42" ht="96" x14ac:dyDescent="0.25">
      <c r="A45" s="34" t="s">
        <v>55</v>
      </c>
      <c r="B45" s="34" t="s">
        <v>48</v>
      </c>
      <c r="C45" s="34" t="s">
        <v>2735</v>
      </c>
      <c r="D45" s="34">
        <v>242130000</v>
      </c>
      <c r="E45" s="74" t="s">
        <v>2753</v>
      </c>
      <c r="F45" s="34" t="s">
        <v>2754</v>
      </c>
      <c r="G45" s="34" t="s">
        <v>2755</v>
      </c>
      <c r="H45" s="36">
        <v>125157000</v>
      </c>
      <c r="I45" s="39">
        <v>12963537</v>
      </c>
      <c r="J45" s="39">
        <v>12963537</v>
      </c>
      <c r="K45" s="39"/>
      <c r="L45" s="39">
        <v>0</v>
      </c>
      <c r="M45" s="39"/>
      <c r="N45" s="36">
        <f t="shared" si="0"/>
        <v>125157000</v>
      </c>
      <c r="O45" s="36">
        <f t="shared" si="0"/>
        <v>12963537</v>
      </c>
      <c r="P45" s="36">
        <f t="shared" si="0"/>
        <v>12963537</v>
      </c>
      <c r="Q45" s="36">
        <v>12963537</v>
      </c>
      <c r="R45" s="36"/>
      <c r="S45" s="36">
        <f t="shared" si="1"/>
        <v>12963537</v>
      </c>
      <c r="T45" s="37"/>
      <c r="U45" s="37"/>
      <c r="V45" s="37"/>
      <c r="W45" s="10"/>
      <c r="X45" s="10"/>
      <c r="Y45" s="10"/>
      <c r="Z45" s="10"/>
      <c r="AA45" s="34">
        <v>0</v>
      </c>
      <c r="AB45" s="10"/>
      <c r="AC45" s="10"/>
      <c r="AD45" s="177"/>
      <c r="AE45" s="10"/>
      <c r="AF45" s="124"/>
      <c r="AG45" s="124"/>
      <c r="AH45" s="124"/>
      <c r="AI45" s="124"/>
      <c r="AJ45" s="124"/>
      <c r="AK45" s="124"/>
      <c r="AL45" s="124"/>
      <c r="AM45" s="124"/>
      <c r="AN45" s="124"/>
      <c r="AO45" s="124"/>
      <c r="AP45" s="124"/>
    </row>
    <row r="46" spans="1:42" ht="84" x14ac:dyDescent="0.25">
      <c r="A46" s="34"/>
      <c r="B46" s="34"/>
      <c r="C46" s="34"/>
      <c r="D46" s="34"/>
      <c r="E46" s="74"/>
      <c r="F46" s="34"/>
      <c r="G46" s="34"/>
      <c r="H46" s="36"/>
      <c r="I46" s="39"/>
      <c r="J46" s="39"/>
      <c r="K46" s="39"/>
      <c r="L46" s="39"/>
      <c r="M46" s="39"/>
      <c r="N46" s="36">
        <f t="shared" si="0"/>
        <v>0</v>
      </c>
      <c r="O46" s="36">
        <f t="shared" si="0"/>
        <v>0</v>
      </c>
      <c r="P46" s="36">
        <f t="shared" si="0"/>
        <v>0</v>
      </c>
      <c r="Q46" s="36"/>
      <c r="R46" s="36"/>
      <c r="S46" s="36">
        <f t="shared" si="1"/>
        <v>0</v>
      </c>
      <c r="T46" s="37" t="s">
        <v>2812</v>
      </c>
      <c r="U46" s="37" t="s">
        <v>2775</v>
      </c>
      <c r="V46" s="37">
        <v>1</v>
      </c>
      <c r="W46" s="10"/>
      <c r="X46" s="10"/>
      <c r="Y46" s="10">
        <v>0.2</v>
      </c>
      <c r="Z46" s="10">
        <v>0.8</v>
      </c>
      <c r="AA46" s="34">
        <v>300</v>
      </c>
      <c r="AB46" s="10">
        <v>30</v>
      </c>
      <c r="AC46" s="10">
        <v>210</v>
      </c>
      <c r="AD46" s="177" t="s">
        <v>2813</v>
      </c>
      <c r="AE46" s="10" t="s">
        <v>218</v>
      </c>
      <c r="AF46" s="124"/>
      <c r="AG46" s="124"/>
      <c r="AH46" s="10" t="s">
        <v>218</v>
      </c>
      <c r="AI46" s="124"/>
      <c r="AJ46" s="124"/>
      <c r="AK46" s="124"/>
      <c r="AL46" s="124"/>
      <c r="AM46" s="10" t="s">
        <v>218</v>
      </c>
      <c r="AN46" s="124"/>
      <c r="AO46" s="124"/>
      <c r="AP46" s="10" t="s">
        <v>218</v>
      </c>
    </row>
    <row r="47" spans="1:42" ht="24" x14ac:dyDescent="0.25">
      <c r="A47" s="34"/>
      <c r="B47" s="34"/>
      <c r="C47" s="34"/>
      <c r="D47" s="34"/>
      <c r="E47" s="74"/>
      <c r="F47" s="34"/>
      <c r="G47" s="34"/>
      <c r="H47" s="36"/>
      <c r="I47" s="39"/>
      <c r="J47" s="39"/>
      <c r="K47" s="39"/>
      <c r="L47" s="39"/>
      <c r="M47" s="39"/>
      <c r="N47" s="36">
        <f t="shared" si="0"/>
        <v>0</v>
      </c>
      <c r="O47" s="36">
        <f t="shared" si="0"/>
        <v>0</v>
      </c>
      <c r="P47" s="36">
        <f t="shared" si="0"/>
        <v>0</v>
      </c>
      <c r="Q47" s="36"/>
      <c r="R47" s="36"/>
      <c r="S47" s="36">
        <f t="shared" si="1"/>
        <v>0</v>
      </c>
      <c r="T47" s="37" t="s">
        <v>2806</v>
      </c>
      <c r="U47" s="37" t="s">
        <v>2775</v>
      </c>
      <c r="V47" s="37">
        <v>0.5</v>
      </c>
      <c r="W47" s="10"/>
      <c r="X47" s="10"/>
      <c r="Y47" s="10">
        <v>0.25</v>
      </c>
      <c r="Z47" s="10">
        <v>1</v>
      </c>
      <c r="AA47" s="34">
        <v>365</v>
      </c>
      <c r="AB47" s="10">
        <v>182</v>
      </c>
      <c r="AC47" s="10">
        <v>365</v>
      </c>
      <c r="AD47" s="177"/>
      <c r="AE47" s="10" t="s">
        <v>218</v>
      </c>
      <c r="AF47" s="124"/>
      <c r="AG47" s="124"/>
      <c r="AH47" s="10" t="s">
        <v>218</v>
      </c>
      <c r="AI47" s="124"/>
      <c r="AJ47" s="124"/>
      <c r="AK47" s="124"/>
      <c r="AL47" s="124"/>
      <c r="AM47" s="10" t="s">
        <v>218</v>
      </c>
      <c r="AN47" s="124"/>
      <c r="AO47" s="124"/>
      <c r="AP47" s="10" t="s">
        <v>218</v>
      </c>
    </row>
    <row r="48" spans="1:42" x14ac:dyDescent="0.25">
      <c r="A48" s="34"/>
      <c r="B48" s="34"/>
      <c r="C48" s="34"/>
      <c r="D48" s="34"/>
      <c r="E48" s="74"/>
      <c r="F48" s="34"/>
      <c r="G48" s="34"/>
      <c r="H48" s="36"/>
      <c r="I48" s="39"/>
      <c r="J48" s="39"/>
      <c r="K48" s="39"/>
      <c r="L48" s="39"/>
      <c r="M48" s="39"/>
      <c r="N48" s="36">
        <f t="shared" si="0"/>
        <v>0</v>
      </c>
      <c r="O48" s="36">
        <f t="shared" si="0"/>
        <v>0</v>
      </c>
      <c r="P48" s="36">
        <f t="shared" si="0"/>
        <v>0</v>
      </c>
      <c r="Q48" s="36"/>
      <c r="R48" s="36"/>
      <c r="S48" s="36">
        <f t="shared" si="1"/>
        <v>0</v>
      </c>
      <c r="T48" s="37"/>
      <c r="U48" s="37"/>
      <c r="V48" s="37"/>
      <c r="W48" s="10"/>
      <c r="X48" s="10"/>
      <c r="Y48" s="10"/>
      <c r="Z48" s="10"/>
      <c r="AA48" s="34">
        <v>0</v>
      </c>
      <c r="AB48" s="10"/>
      <c r="AC48" s="10"/>
      <c r="AD48" s="177"/>
      <c r="AE48" s="10"/>
      <c r="AF48" s="124"/>
      <c r="AG48" s="124"/>
      <c r="AH48" s="124"/>
      <c r="AI48" s="124"/>
      <c r="AJ48" s="124"/>
      <c r="AK48" s="124"/>
      <c r="AL48" s="124"/>
      <c r="AM48" s="124"/>
      <c r="AN48" s="124"/>
      <c r="AO48" s="124"/>
      <c r="AP48" s="124"/>
    </row>
    <row r="49" spans="1:42" x14ac:dyDescent="0.25">
      <c r="A49" s="34"/>
      <c r="B49" s="34"/>
      <c r="C49" s="34"/>
      <c r="D49" s="34"/>
      <c r="E49" s="74"/>
      <c r="F49" s="34"/>
      <c r="G49" s="34"/>
      <c r="H49" s="36"/>
      <c r="I49" s="39"/>
      <c r="J49" s="39"/>
      <c r="K49" s="39"/>
      <c r="L49" s="39"/>
      <c r="M49" s="39"/>
      <c r="N49" s="36">
        <f t="shared" si="0"/>
        <v>0</v>
      </c>
      <c r="O49" s="36">
        <f t="shared" si="0"/>
        <v>0</v>
      </c>
      <c r="P49" s="36">
        <f t="shared" si="0"/>
        <v>0</v>
      </c>
      <c r="Q49" s="36"/>
      <c r="R49" s="36"/>
      <c r="S49" s="36">
        <f t="shared" si="1"/>
        <v>0</v>
      </c>
      <c r="T49" s="37"/>
      <c r="U49" s="37"/>
      <c r="V49" s="37"/>
      <c r="W49" s="10"/>
      <c r="X49" s="10"/>
      <c r="Y49" s="10"/>
      <c r="Z49" s="10"/>
      <c r="AA49" s="34">
        <v>0</v>
      </c>
      <c r="AB49" s="10"/>
      <c r="AC49" s="10"/>
      <c r="AD49" s="177"/>
      <c r="AE49" s="10"/>
      <c r="AF49" s="124"/>
      <c r="AG49" s="124"/>
      <c r="AH49" s="124"/>
      <c r="AI49" s="124"/>
      <c r="AJ49" s="124"/>
      <c r="AK49" s="124"/>
      <c r="AL49" s="124"/>
      <c r="AM49" s="124"/>
      <c r="AN49" s="124"/>
      <c r="AO49" s="124"/>
      <c r="AP49" s="124"/>
    </row>
    <row r="50" spans="1:42" ht="96.75" customHeight="1" x14ac:dyDescent="0.25">
      <c r="A50" s="34" t="s">
        <v>55</v>
      </c>
      <c r="B50" s="34" t="s">
        <v>48</v>
      </c>
      <c r="C50" s="34" t="s">
        <v>2759</v>
      </c>
      <c r="D50" s="34">
        <v>242210000</v>
      </c>
      <c r="E50" s="74" t="s">
        <v>2761</v>
      </c>
      <c r="F50" s="34" t="s">
        <v>2762</v>
      </c>
      <c r="G50" s="34" t="s">
        <v>2763</v>
      </c>
      <c r="H50" s="36">
        <v>171982000</v>
      </c>
      <c r="I50" s="39">
        <v>151289845</v>
      </c>
      <c r="J50" s="39">
        <v>151289845</v>
      </c>
      <c r="K50" s="39"/>
      <c r="L50" s="39">
        <v>53690000</v>
      </c>
      <c r="M50" s="39"/>
      <c r="N50" s="36">
        <f t="shared" si="0"/>
        <v>171982000</v>
      </c>
      <c r="O50" s="36">
        <f t="shared" si="0"/>
        <v>204979845</v>
      </c>
      <c r="P50" s="36">
        <f t="shared" si="0"/>
        <v>151289845</v>
      </c>
      <c r="Q50" s="36">
        <v>17661585</v>
      </c>
      <c r="R50" s="36">
        <v>53690000</v>
      </c>
      <c r="S50" s="36">
        <f t="shared" si="1"/>
        <v>71351585</v>
      </c>
      <c r="T50" s="37"/>
      <c r="U50" s="37"/>
      <c r="V50" s="37"/>
      <c r="W50" s="10"/>
      <c r="X50" s="10"/>
      <c r="Y50" s="10"/>
      <c r="Z50" s="10"/>
      <c r="AA50" s="34">
        <v>0</v>
      </c>
      <c r="AB50" s="10"/>
      <c r="AC50" s="10"/>
      <c r="AD50" s="177" t="s">
        <v>2814</v>
      </c>
      <c r="AE50" s="10"/>
      <c r="AF50" s="124"/>
      <c r="AG50" s="124"/>
      <c r="AH50" s="124"/>
      <c r="AI50" s="124"/>
      <c r="AJ50" s="124"/>
      <c r="AK50" s="124"/>
      <c r="AL50" s="124"/>
      <c r="AM50" s="124"/>
      <c r="AN50" s="124"/>
      <c r="AO50" s="124"/>
      <c r="AP50" s="124"/>
    </row>
    <row r="51" spans="1:42" ht="120" x14ac:dyDescent="0.25">
      <c r="A51" s="34"/>
      <c r="B51" s="34"/>
      <c r="C51" s="34"/>
      <c r="D51" s="34"/>
      <c r="E51" s="74"/>
      <c r="F51" s="34"/>
      <c r="G51" s="34"/>
      <c r="H51" s="36"/>
      <c r="I51" s="39"/>
      <c r="J51" s="39"/>
      <c r="K51" s="39"/>
      <c r="L51" s="39"/>
      <c r="M51" s="39"/>
      <c r="N51" s="36">
        <f t="shared" si="0"/>
        <v>0</v>
      </c>
      <c r="O51" s="36">
        <f t="shared" si="0"/>
        <v>0</v>
      </c>
      <c r="P51" s="36">
        <f t="shared" si="0"/>
        <v>0</v>
      </c>
      <c r="Q51" s="36"/>
      <c r="R51" s="36"/>
      <c r="S51" s="36">
        <f t="shared" si="1"/>
        <v>0</v>
      </c>
      <c r="T51" s="37" t="s">
        <v>2815</v>
      </c>
      <c r="U51" s="37" t="s">
        <v>2775</v>
      </c>
      <c r="V51" s="37">
        <v>1</v>
      </c>
      <c r="W51" s="10"/>
      <c r="X51" s="10"/>
      <c r="Y51" s="10">
        <v>0.5</v>
      </c>
      <c r="Z51" s="10">
        <v>1</v>
      </c>
      <c r="AA51" s="34">
        <v>300</v>
      </c>
      <c r="AB51" s="10">
        <v>150</v>
      </c>
      <c r="AC51" s="10">
        <v>300</v>
      </c>
      <c r="AD51" s="177" t="s">
        <v>2816</v>
      </c>
      <c r="AE51" s="10" t="s">
        <v>218</v>
      </c>
      <c r="AF51" s="124"/>
      <c r="AG51" s="124"/>
      <c r="AH51" s="10" t="s">
        <v>218</v>
      </c>
      <c r="AI51" s="124"/>
      <c r="AJ51" s="124"/>
      <c r="AK51" s="124"/>
      <c r="AL51" s="124"/>
      <c r="AM51" s="10" t="s">
        <v>218</v>
      </c>
      <c r="AN51" s="124"/>
      <c r="AO51" s="124"/>
      <c r="AP51" s="10" t="s">
        <v>218</v>
      </c>
    </row>
    <row r="52" spans="1:42" ht="84" x14ac:dyDescent="0.25">
      <c r="A52" s="34"/>
      <c r="B52" s="34"/>
      <c r="C52" s="34"/>
      <c r="D52" s="34"/>
      <c r="E52" s="74"/>
      <c r="F52" s="34"/>
      <c r="G52" s="34"/>
      <c r="H52" s="36"/>
      <c r="I52" s="39"/>
      <c r="J52" s="39"/>
      <c r="K52" s="39"/>
      <c r="L52" s="39"/>
      <c r="M52" s="39"/>
      <c r="N52" s="36">
        <f t="shared" si="0"/>
        <v>0</v>
      </c>
      <c r="O52" s="36">
        <f t="shared" si="0"/>
        <v>0</v>
      </c>
      <c r="P52" s="36">
        <f t="shared" si="0"/>
        <v>0</v>
      </c>
      <c r="Q52" s="36"/>
      <c r="R52" s="36"/>
      <c r="S52" s="36">
        <f t="shared" si="1"/>
        <v>0</v>
      </c>
      <c r="T52" s="37" t="s">
        <v>2817</v>
      </c>
      <c r="U52" s="37" t="s">
        <v>2818</v>
      </c>
      <c r="V52" s="37">
        <v>10</v>
      </c>
      <c r="W52" s="10"/>
      <c r="X52" s="10"/>
      <c r="Y52" s="10">
        <v>7</v>
      </c>
      <c r="Z52" s="10">
        <v>15</v>
      </c>
      <c r="AA52" s="34">
        <v>300</v>
      </c>
      <c r="AB52" s="10">
        <v>150</v>
      </c>
      <c r="AC52" s="10">
        <v>300</v>
      </c>
      <c r="AD52" s="177" t="s">
        <v>2819</v>
      </c>
      <c r="AE52" s="10" t="s">
        <v>218</v>
      </c>
      <c r="AF52" s="124"/>
      <c r="AG52" s="124"/>
      <c r="AH52" s="10" t="s">
        <v>218</v>
      </c>
      <c r="AI52" s="124"/>
      <c r="AJ52" s="124"/>
      <c r="AK52" s="124"/>
      <c r="AL52" s="124"/>
      <c r="AM52" s="10" t="s">
        <v>218</v>
      </c>
      <c r="AN52" s="124"/>
      <c r="AO52" s="124"/>
      <c r="AP52" s="10" t="s">
        <v>218</v>
      </c>
    </row>
    <row r="53" spans="1:42" ht="38.25" x14ac:dyDescent="0.25">
      <c r="A53" s="34"/>
      <c r="B53" s="34"/>
      <c r="C53" s="34"/>
      <c r="D53" s="34"/>
      <c r="E53" s="74"/>
      <c r="F53" s="34"/>
      <c r="G53" s="34"/>
      <c r="H53" s="36"/>
      <c r="I53" s="39"/>
      <c r="J53" s="39"/>
      <c r="K53" s="39"/>
      <c r="L53" s="39"/>
      <c r="M53" s="39"/>
      <c r="N53" s="36">
        <f t="shared" si="0"/>
        <v>0</v>
      </c>
      <c r="O53" s="36">
        <f t="shared" si="0"/>
        <v>0</v>
      </c>
      <c r="P53" s="36">
        <f t="shared" si="0"/>
        <v>0</v>
      </c>
      <c r="Q53" s="36"/>
      <c r="R53" s="36"/>
      <c r="S53" s="36">
        <f t="shared" si="1"/>
        <v>0</v>
      </c>
      <c r="T53" s="37" t="s">
        <v>2804</v>
      </c>
      <c r="U53" s="37" t="s">
        <v>2775</v>
      </c>
      <c r="V53" s="37">
        <v>1</v>
      </c>
      <c r="W53" s="10"/>
      <c r="X53" s="10"/>
      <c r="Y53" s="10">
        <v>0.5</v>
      </c>
      <c r="Z53" s="10">
        <v>1</v>
      </c>
      <c r="AA53" s="34">
        <v>300</v>
      </c>
      <c r="AB53" s="10">
        <v>150</v>
      </c>
      <c r="AC53" s="10">
        <v>300</v>
      </c>
      <c r="AD53" s="177" t="s">
        <v>2820</v>
      </c>
      <c r="AE53" s="10" t="s">
        <v>218</v>
      </c>
      <c r="AF53" s="124"/>
      <c r="AG53" s="124"/>
      <c r="AH53" s="10" t="s">
        <v>218</v>
      </c>
      <c r="AI53" s="124"/>
      <c r="AJ53" s="124"/>
      <c r="AK53" s="124"/>
      <c r="AL53" s="124"/>
      <c r="AM53" s="10" t="s">
        <v>218</v>
      </c>
      <c r="AN53" s="124"/>
      <c r="AO53" s="124"/>
      <c r="AP53" s="10" t="s">
        <v>218</v>
      </c>
    </row>
    <row r="54" spans="1:42" x14ac:dyDescent="0.25">
      <c r="A54" s="34"/>
      <c r="B54" s="34"/>
      <c r="C54" s="34"/>
      <c r="D54" s="34"/>
      <c r="E54" s="74"/>
      <c r="F54" s="34"/>
      <c r="G54" s="34"/>
      <c r="H54" s="36"/>
      <c r="I54" s="39"/>
      <c r="J54" s="39"/>
      <c r="K54" s="39"/>
      <c r="L54" s="39"/>
      <c r="M54" s="39"/>
      <c r="N54" s="36">
        <f t="shared" si="0"/>
        <v>0</v>
      </c>
      <c r="O54" s="36">
        <f t="shared" si="0"/>
        <v>0</v>
      </c>
      <c r="P54" s="36">
        <f t="shared" si="0"/>
        <v>0</v>
      </c>
      <c r="Q54" s="36"/>
      <c r="R54" s="36"/>
      <c r="S54" s="36">
        <f t="shared" si="1"/>
        <v>0</v>
      </c>
      <c r="T54" s="37" t="s">
        <v>2805</v>
      </c>
      <c r="U54" s="37" t="s">
        <v>2775</v>
      </c>
      <c r="V54" s="37">
        <v>1</v>
      </c>
      <c r="W54" s="10"/>
      <c r="X54" s="10"/>
      <c r="Y54" s="10">
        <v>1</v>
      </c>
      <c r="Z54" s="10">
        <v>1</v>
      </c>
      <c r="AA54" s="34">
        <v>0</v>
      </c>
      <c r="AB54" s="10"/>
      <c r="AC54" s="10"/>
      <c r="AD54" s="177" t="s">
        <v>2821</v>
      </c>
      <c r="AE54" s="10" t="s">
        <v>218</v>
      </c>
      <c r="AF54" s="124"/>
      <c r="AG54" s="124"/>
      <c r="AH54" s="10" t="s">
        <v>218</v>
      </c>
      <c r="AI54" s="124"/>
      <c r="AJ54" s="124"/>
      <c r="AK54" s="124"/>
      <c r="AL54" s="124"/>
      <c r="AM54" s="10" t="s">
        <v>218</v>
      </c>
      <c r="AN54" s="124"/>
      <c r="AO54" s="124"/>
      <c r="AP54" s="10" t="s">
        <v>218</v>
      </c>
    </row>
    <row r="55" spans="1:42" ht="24" x14ac:dyDescent="0.25">
      <c r="A55" s="34"/>
      <c r="B55" s="34"/>
      <c r="C55" s="34"/>
      <c r="D55" s="34"/>
      <c r="E55" s="74"/>
      <c r="F55" s="34"/>
      <c r="G55" s="34"/>
      <c r="H55" s="36"/>
      <c r="I55" s="39"/>
      <c r="J55" s="39"/>
      <c r="K55" s="39"/>
      <c r="L55" s="39"/>
      <c r="M55" s="39"/>
      <c r="N55" s="36">
        <f t="shared" si="0"/>
        <v>0</v>
      </c>
      <c r="O55" s="36">
        <f t="shared" si="0"/>
        <v>0</v>
      </c>
      <c r="P55" s="36">
        <f t="shared" si="0"/>
        <v>0</v>
      </c>
      <c r="Q55" s="36"/>
      <c r="R55" s="36"/>
      <c r="S55" s="36">
        <f t="shared" si="1"/>
        <v>0</v>
      </c>
      <c r="T55" s="37" t="s">
        <v>2806</v>
      </c>
      <c r="U55" s="37" t="s">
        <v>2775</v>
      </c>
      <c r="V55" s="37">
        <v>0.5</v>
      </c>
      <c r="W55" s="10"/>
      <c r="X55" s="10"/>
      <c r="Y55" s="10">
        <v>0.25</v>
      </c>
      <c r="Z55" s="10">
        <v>0.5</v>
      </c>
      <c r="AA55" s="34">
        <v>365</v>
      </c>
      <c r="AB55" s="10">
        <v>182</v>
      </c>
      <c r="AC55" s="10">
        <v>365</v>
      </c>
      <c r="AD55" s="177"/>
      <c r="AE55" s="10" t="s">
        <v>218</v>
      </c>
      <c r="AF55" s="124"/>
      <c r="AG55" s="124"/>
      <c r="AH55" s="10" t="s">
        <v>218</v>
      </c>
      <c r="AI55" s="124"/>
      <c r="AJ55" s="124"/>
      <c r="AK55" s="124"/>
      <c r="AL55" s="124"/>
      <c r="AM55" s="10" t="s">
        <v>218</v>
      </c>
      <c r="AN55" s="124"/>
      <c r="AO55" s="124"/>
      <c r="AP55" s="10" t="s">
        <v>218</v>
      </c>
    </row>
    <row r="56" spans="1:42" x14ac:dyDescent="0.25">
      <c r="A56" s="34"/>
      <c r="B56" s="34"/>
      <c r="C56" s="34"/>
      <c r="D56" s="34"/>
      <c r="E56" s="74"/>
      <c r="F56" s="34"/>
      <c r="G56" s="34"/>
      <c r="H56" s="36"/>
      <c r="I56" s="39"/>
      <c r="J56" s="39"/>
      <c r="K56" s="39"/>
      <c r="L56" s="39"/>
      <c r="M56" s="39"/>
      <c r="N56" s="36">
        <f t="shared" si="0"/>
        <v>0</v>
      </c>
      <c r="O56" s="36">
        <f t="shared" si="0"/>
        <v>0</v>
      </c>
      <c r="P56" s="36">
        <f t="shared" si="0"/>
        <v>0</v>
      </c>
      <c r="Q56" s="36"/>
      <c r="R56" s="36"/>
      <c r="S56" s="36">
        <f t="shared" si="1"/>
        <v>0</v>
      </c>
      <c r="T56" s="37"/>
      <c r="U56" s="37"/>
      <c r="V56" s="37"/>
      <c r="W56" s="10"/>
      <c r="X56" s="10"/>
      <c r="Y56" s="10"/>
      <c r="Z56" s="10"/>
      <c r="AA56" s="34">
        <v>0</v>
      </c>
      <c r="AB56" s="10"/>
      <c r="AC56" s="10"/>
      <c r="AD56" s="177"/>
      <c r="AE56" s="10"/>
      <c r="AF56" s="124"/>
      <c r="AG56" s="124"/>
      <c r="AH56" s="124"/>
      <c r="AI56" s="124"/>
      <c r="AJ56" s="124"/>
      <c r="AK56" s="124"/>
      <c r="AL56" s="124"/>
      <c r="AM56" s="124"/>
      <c r="AN56" s="124"/>
      <c r="AO56" s="124"/>
      <c r="AP56" s="124"/>
    </row>
    <row r="57" spans="1:42" ht="25.5" x14ac:dyDescent="0.25">
      <c r="A57" s="34"/>
      <c r="B57" s="34"/>
      <c r="C57" s="34"/>
      <c r="D57" s="34"/>
      <c r="E57" s="74"/>
      <c r="F57" s="34"/>
      <c r="G57" s="34"/>
      <c r="H57" s="36"/>
      <c r="I57" s="39"/>
      <c r="J57" s="39"/>
      <c r="K57" s="39"/>
      <c r="L57" s="39"/>
      <c r="M57" s="39"/>
      <c r="N57" s="36">
        <f t="shared" si="0"/>
        <v>0</v>
      </c>
      <c r="O57" s="36">
        <f t="shared" si="0"/>
        <v>0</v>
      </c>
      <c r="P57" s="36">
        <f t="shared" si="0"/>
        <v>0</v>
      </c>
      <c r="Q57" s="36"/>
      <c r="R57" s="36"/>
      <c r="S57" s="36">
        <f t="shared" si="1"/>
        <v>0</v>
      </c>
      <c r="T57" s="37" t="s">
        <v>2809</v>
      </c>
      <c r="U57" s="37" t="s">
        <v>2775</v>
      </c>
      <c r="V57" s="37">
        <v>2</v>
      </c>
      <c r="W57" s="10"/>
      <c r="X57" s="10"/>
      <c r="Y57" s="10">
        <v>0</v>
      </c>
      <c r="Z57" s="10">
        <v>0</v>
      </c>
      <c r="AA57" s="34">
        <v>180</v>
      </c>
      <c r="AB57" s="10">
        <v>90</v>
      </c>
      <c r="AC57" s="10">
        <v>180</v>
      </c>
      <c r="AD57" s="177" t="s">
        <v>2779</v>
      </c>
      <c r="AE57" s="10" t="s">
        <v>218</v>
      </c>
      <c r="AF57" s="124"/>
      <c r="AG57" s="124"/>
      <c r="AH57" s="124" t="s">
        <v>218</v>
      </c>
      <c r="AI57" s="124"/>
      <c r="AJ57" s="124"/>
      <c r="AK57" s="124"/>
      <c r="AL57" s="124"/>
      <c r="AM57" s="124" t="s">
        <v>218</v>
      </c>
      <c r="AN57" s="124"/>
      <c r="AO57" s="124"/>
      <c r="AP57" s="124" t="s">
        <v>218</v>
      </c>
    </row>
    <row r="58" spans="1:42" x14ac:dyDescent="0.25">
      <c r="A58" s="34"/>
      <c r="B58" s="34"/>
      <c r="C58" s="34"/>
      <c r="D58" s="34"/>
      <c r="E58" s="74"/>
      <c r="F58" s="34"/>
      <c r="G58" s="34"/>
      <c r="H58" s="36"/>
      <c r="I58" s="39"/>
      <c r="J58" s="39"/>
      <c r="K58" s="39"/>
      <c r="L58" s="39"/>
      <c r="M58" s="39"/>
      <c r="N58" s="36">
        <f t="shared" si="0"/>
        <v>0</v>
      </c>
      <c r="O58" s="36">
        <f t="shared" si="0"/>
        <v>0</v>
      </c>
      <c r="P58" s="36">
        <f t="shared" si="0"/>
        <v>0</v>
      </c>
      <c r="Q58" s="36"/>
      <c r="R58" s="36"/>
      <c r="S58" s="36">
        <f t="shared" si="1"/>
        <v>0</v>
      </c>
      <c r="T58" s="37"/>
      <c r="U58" s="37"/>
      <c r="V58" s="37"/>
      <c r="W58" s="10"/>
      <c r="X58" s="10"/>
      <c r="Y58" s="10"/>
      <c r="Z58" s="10"/>
      <c r="AA58" s="34">
        <v>0</v>
      </c>
      <c r="AB58" s="10"/>
      <c r="AC58" s="10"/>
      <c r="AD58" s="177"/>
      <c r="AE58" s="10"/>
      <c r="AF58" s="124"/>
      <c r="AG58" s="124"/>
      <c r="AH58" s="124"/>
      <c r="AI58" s="124"/>
      <c r="AJ58" s="124"/>
      <c r="AK58" s="124"/>
      <c r="AL58" s="124"/>
      <c r="AM58" s="124"/>
      <c r="AN58" s="124"/>
      <c r="AO58" s="124"/>
      <c r="AP58" s="124"/>
    </row>
    <row r="59" spans="1:42" x14ac:dyDescent="0.25">
      <c r="A59" s="34"/>
      <c r="B59" s="34"/>
      <c r="C59" s="34"/>
      <c r="D59" s="34"/>
      <c r="E59" s="74"/>
      <c r="F59" s="34"/>
      <c r="G59" s="34"/>
      <c r="H59" s="36"/>
      <c r="I59" s="39"/>
      <c r="J59" s="39"/>
      <c r="K59" s="39"/>
      <c r="L59" s="39"/>
      <c r="M59" s="39"/>
      <c r="N59" s="36">
        <f t="shared" si="0"/>
        <v>0</v>
      </c>
      <c r="O59" s="36">
        <f t="shared" si="0"/>
        <v>0</v>
      </c>
      <c r="P59" s="36">
        <f t="shared" si="0"/>
        <v>0</v>
      </c>
      <c r="Q59" s="36"/>
      <c r="R59" s="36"/>
      <c r="S59" s="36">
        <f t="shared" si="1"/>
        <v>0</v>
      </c>
      <c r="T59" s="37"/>
      <c r="U59" s="37"/>
      <c r="V59" s="37"/>
      <c r="W59" s="10"/>
      <c r="X59" s="10"/>
      <c r="Y59" s="10"/>
      <c r="Z59" s="10"/>
      <c r="AA59" s="34">
        <v>0</v>
      </c>
      <c r="AB59" s="10"/>
      <c r="AC59" s="10"/>
      <c r="AD59" s="177"/>
      <c r="AE59" s="10"/>
      <c r="AF59" s="124"/>
      <c r="AG59" s="124"/>
      <c r="AH59" s="124"/>
      <c r="AI59" s="124"/>
      <c r="AJ59" s="124"/>
      <c r="AK59" s="124"/>
      <c r="AL59" s="124"/>
      <c r="AM59" s="124"/>
      <c r="AN59" s="124"/>
      <c r="AO59" s="124"/>
      <c r="AP59" s="124"/>
    </row>
    <row r="60" spans="1:42" ht="84" x14ac:dyDescent="0.25">
      <c r="A60" s="34" t="s">
        <v>55</v>
      </c>
      <c r="B60" s="34" t="s">
        <v>343</v>
      </c>
      <c r="C60" s="34" t="s">
        <v>2413</v>
      </c>
      <c r="D60" s="34">
        <v>245510000</v>
      </c>
      <c r="E60" s="74" t="s">
        <v>2767</v>
      </c>
      <c r="F60" s="34" t="s">
        <v>2768</v>
      </c>
      <c r="G60" s="34" t="s">
        <v>2769</v>
      </c>
      <c r="H60" s="36">
        <v>1103792000</v>
      </c>
      <c r="I60" s="39">
        <v>1018590929</v>
      </c>
      <c r="J60" s="39">
        <v>1003590929</v>
      </c>
      <c r="K60" s="39"/>
      <c r="L60" s="39">
        <v>0</v>
      </c>
      <c r="M60" s="39"/>
      <c r="N60" s="36">
        <f t="shared" si="0"/>
        <v>1103792000</v>
      </c>
      <c r="O60" s="36">
        <f t="shared" si="0"/>
        <v>1018590929</v>
      </c>
      <c r="P60" s="36">
        <f t="shared" si="0"/>
        <v>1003590929</v>
      </c>
      <c r="Q60" s="36">
        <v>97086575</v>
      </c>
      <c r="R60" s="36"/>
      <c r="S60" s="36">
        <f t="shared" si="1"/>
        <v>97086575</v>
      </c>
      <c r="T60" s="37"/>
      <c r="U60" s="37"/>
      <c r="V60" s="37"/>
      <c r="W60" s="10"/>
      <c r="X60" s="10"/>
      <c r="Y60" s="10"/>
      <c r="Z60" s="10"/>
      <c r="AA60" s="34">
        <v>0</v>
      </c>
      <c r="AB60" s="10"/>
      <c r="AC60" s="10"/>
      <c r="AD60" s="177"/>
      <c r="AE60" s="10"/>
      <c r="AF60" s="124"/>
      <c r="AG60" s="124"/>
      <c r="AH60" s="124"/>
      <c r="AI60" s="124"/>
      <c r="AJ60" s="124"/>
      <c r="AK60" s="124"/>
      <c r="AL60" s="124"/>
      <c r="AM60" s="124"/>
      <c r="AN60" s="124"/>
      <c r="AO60" s="124"/>
      <c r="AP60" s="124"/>
    </row>
    <row r="61" spans="1:42" ht="132" x14ac:dyDescent="0.25">
      <c r="A61" s="34"/>
      <c r="B61" s="34"/>
      <c r="C61" s="34"/>
      <c r="D61" s="34"/>
      <c r="E61" s="34"/>
      <c r="F61" s="34"/>
      <c r="G61" s="34"/>
      <c r="H61" s="36"/>
      <c r="I61" s="39"/>
      <c r="J61" s="39"/>
      <c r="K61" s="39"/>
      <c r="L61" s="39"/>
      <c r="M61" s="39"/>
      <c r="N61" s="36">
        <f t="shared" si="0"/>
        <v>0</v>
      </c>
      <c r="O61" s="36">
        <f t="shared" si="0"/>
        <v>0</v>
      </c>
      <c r="P61" s="36">
        <f t="shared" si="0"/>
        <v>0</v>
      </c>
      <c r="Q61" s="36"/>
      <c r="R61" s="36"/>
      <c r="S61" s="36">
        <f t="shared" si="1"/>
        <v>0</v>
      </c>
      <c r="T61" s="37" t="s">
        <v>2822</v>
      </c>
      <c r="U61" s="37" t="s">
        <v>2823</v>
      </c>
      <c r="V61" s="37">
        <v>10</v>
      </c>
      <c r="W61" s="10"/>
      <c r="X61" s="10"/>
      <c r="Y61" s="10">
        <v>5</v>
      </c>
      <c r="Z61" s="10">
        <v>62</v>
      </c>
      <c r="AA61" s="34">
        <v>300</v>
      </c>
      <c r="AB61" s="10">
        <v>120</v>
      </c>
      <c r="AC61" s="10">
        <v>243</v>
      </c>
      <c r="AD61" s="177" t="s">
        <v>2824</v>
      </c>
      <c r="AE61" s="10" t="s">
        <v>218</v>
      </c>
      <c r="AF61" s="124"/>
      <c r="AG61" s="124"/>
      <c r="AH61" s="10" t="s">
        <v>218</v>
      </c>
      <c r="AI61" s="124"/>
      <c r="AJ61" s="124"/>
      <c r="AK61" s="124"/>
      <c r="AL61" s="124"/>
      <c r="AM61" s="10" t="s">
        <v>218</v>
      </c>
      <c r="AN61" s="124"/>
      <c r="AO61" s="124"/>
      <c r="AP61" s="10" t="s">
        <v>218</v>
      </c>
    </row>
    <row r="62" spans="1:42" ht="144" x14ac:dyDescent="0.25">
      <c r="A62" s="34"/>
      <c r="B62" s="34"/>
      <c r="C62" s="34"/>
      <c r="D62" s="34"/>
      <c r="E62" s="34"/>
      <c r="F62" s="34"/>
      <c r="G62" s="34"/>
      <c r="H62" s="36"/>
      <c r="I62" s="39"/>
      <c r="J62" s="39"/>
      <c r="K62" s="39"/>
      <c r="L62" s="39"/>
      <c r="M62" s="39"/>
      <c r="N62" s="36">
        <f t="shared" si="0"/>
        <v>0</v>
      </c>
      <c r="O62" s="36">
        <f t="shared" si="0"/>
        <v>0</v>
      </c>
      <c r="P62" s="36">
        <f t="shared" si="0"/>
        <v>0</v>
      </c>
      <c r="Q62" s="36"/>
      <c r="R62" s="36"/>
      <c r="S62" s="36">
        <f t="shared" si="1"/>
        <v>0</v>
      </c>
      <c r="T62" s="37" t="s">
        <v>2825</v>
      </c>
      <c r="U62" s="37" t="s">
        <v>2775</v>
      </c>
      <c r="V62" s="37">
        <v>1</v>
      </c>
      <c r="W62" s="10"/>
      <c r="X62" s="10"/>
      <c r="Y62" s="10">
        <v>0</v>
      </c>
      <c r="Z62" s="10">
        <v>1</v>
      </c>
      <c r="AA62" s="34">
        <v>300</v>
      </c>
      <c r="AB62" s="10">
        <v>0</v>
      </c>
      <c r="AC62" s="10">
        <v>243</v>
      </c>
      <c r="AD62" s="177" t="s">
        <v>2826</v>
      </c>
      <c r="AE62" s="10" t="s">
        <v>218</v>
      </c>
      <c r="AF62" s="124"/>
      <c r="AG62" s="124"/>
      <c r="AH62" s="10" t="s">
        <v>218</v>
      </c>
      <c r="AI62" s="124"/>
      <c r="AJ62" s="124"/>
      <c r="AK62" s="124"/>
      <c r="AL62" s="124"/>
      <c r="AM62" s="10" t="s">
        <v>218</v>
      </c>
      <c r="AN62" s="124"/>
      <c r="AO62" s="124"/>
      <c r="AP62" s="10" t="s">
        <v>218</v>
      </c>
    </row>
    <row r="63" spans="1:42" ht="144" x14ac:dyDescent="0.25">
      <c r="A63" s="34"/>
      <c r="B63" s="34"/>
      <c r="C63" s="34"/>
      <c r="D63" s="34"/>
      <c r="E63" s="34"/>
      <c r="F63" s="34"/>
      <c r="G63" s="34"/>
      <c r="H63" s="36"/>
      <c r="I63" s="39"/>
      <c r="J63" s="39"/>
      <c r="K63" s="39"/>
      <c r="L63" s="39"/>
      <c r="M63" s="39"/>
      <c r="N63" s="36">
        <f t="shared" si="0"/>
        <v>0</v>
      </c>
      <c r="O63" s="36">
        <f t="shared" si="0"/>
        <v>0</v>
      </c>
      <c r="P63" s="36">
        <f t="shared" si="0"/>
        <v>0</v>
      </c>
      <c r="Q63" s="36"/>
      <c r="R63" s="36"/>
      <c r="S63" s="36">
        <f t="shared" si="1"/>
        <v>0</v>
      </c>
      <c r="T63" s="37" t="s">
        <v>2827</v>
      </c>
      <c r="U63" s="37" t="s">
        <v>2775</v>
      </c>
      <c r="V63" s="37">
        <v>1</v>
      </c>
      <c r="W63" s="10"/>
      <c r="X63" s="10"/>
      <c r="Y63" s="10">
        <v>1</v>
      </c>
      <c r="Z63" s="10">
        <v>1</v>
      </c>
      <c r="AA63" s="34">
        <v>300</v>
      </c>
      <c r="AB63" s="10">
        <v>150</v>
      </c>
      <c r="AC63" s="10">
        <v>300</v>
      </c>
      <c r="AD63" s="177" t="s">
        <v>2828</v>
      </c>
      <c r="AE63" s="10" t="s">
        <v>218</v>
      </c>
      <c r="AF63" s="124"/>
      <c r="AG63" s="124"/>
      <c r="AH63" s="10" t="s">
        <v>218</v>
      </c>
      <c r="AI63" s="124"/>
      <c r="AJ63" s="124"/>
      <c r="AK63" s="124"/>
      <c r="AL63" s="124"/>
      <c r="AM63" s="10" t="s">
        <v>218</v>
      </c>
      <c r="AN63" s="124"/>
      <c r="AO63" s="124"/>
      <c r="AP63" s="10" t="s">
        <v>218</v>
      </c>
    </row>
    <row r="64" spans="1:42" ht="36" x14ac:dyDescent="0.25">
      <c r="A64" s="34"/>
      <c r="B64" s="34"/>
      <c r="C64" s="34"/>
      <c r="D64" s="34"/>
      <c r="E64" s="34"/>
      <c r="F64" s="34"/>
      <c r="G64" s="34"/>
      <c r="H64" s="36"/>
      <c r="I64" s="39"/>
      <c r="J64" s="39"/>
      <c r="K64" s="39"/>
      <c r="L64" s="39"/>
      <c r="M64" s="39"/>
      <c r="N64" s="36">
        <f t="shared" si="0"/>
        <v>0</v>
      </c>
      <c r="O64" s="36">
        <f t="shared" si="0"/>
        <v>0</v>
      </c>
      <c r="P64" s="36">
        <f t="shared" si="0"/>
        <v>0</v>
      </c>
      <c r="Q64" s="36"/>
      <c r="R64" s="36"/>
      <c r="S64" s="36">
        <f t="shared" si="1"/>
        <v>0</v>
      </c>
      <c r="T64" s="37" t="s">
        <v>2829</v>
      </c>
      <c r="U64" s="37" t="s">
        <v>2775</v>
      </c>
      <c r="V64" s="37">
        <v>1</v>
      </c>
      <c r="W64" s="10"/>
      <c r="X64" s="10"/>
      <c r="Y64" s="10">
        <v>1</v>
      </c>
      <c r="Z64" s="10">
        <v>1</v>
      </c>
      <c r="AA64" s="34">
        <v>300</v>
      </c>
      <c r="AB64" s="10">
        <v>150</v>
      </c>
      <c r="AC64" s="10">
        <v>300</v>
      </c>
      <c r="AD64" s="177" t="s">
        <v>2828</v>
      </c>
      <c r="AE64" s="10" t="s">
        <v>218</v>
      </c>
      <c r="AF64" s="124"/>
      <c r="AG64" s="124"/>
      <c r="AH64" s="10" t="s">
        <v>218</v>
      </c>
      <c r="AI64" s="124"/>
      <c r="AJ64" s="124"/>
      <c r="AK64" s="124"/>
      <c r="AL64" s="124"/>
      <c r="AM64" s="10" t="s">
        <v>218</v>
      </c>
      <c r="AN64" s="124"/>
      <c r="AO64" s="124"/>
      <c r="AP64" s="10" t="s">
        <v>218</v>
      </c>
    </row>
    <row r="65" spans="1:42" ht="24" x14ac:dyDescent="0.25">
      <c r="A65" s="34"/>
      <c r="B65" s="34"/>
      <c r="C65" s="34"/>
      <c r="D65" s="34"/>
      <c r="E65" s="34"/>
      <c r="F65" s="34"/>
      <c r="G65" s="34"/>
      <c r="H65" s="36"/>
      <c r="I65" s="39"/>
      <c r="J65" s="39"/>
      <c r="K65" s="39"/>
      <c r="L65" s="39"/>
      <c r="M65" s="39"/>
      <c r="N65" s="36">
        <f t="shared" si="0"/>
        <v>0</v>
      </c>
      <c r="O65" s="36">
        <f t="shared" si="0"/>
        <v>0</v>
      </c>
      <c r="P65" s="36">
        <f t="shared" si="0"/>
        <v>0</v>
      </c>
      <c r="Q65" s="36"/>
      <c r="R65" s="36"/>
      <c r="S65" s="36">
        <f t="shared" si="1"/>
        <v>0</v>
      </c>
      <c r="T65" s="37" t="s">
        <v>2806</v>
      </c>
      <c r="U65" s="37" t="s">
        <v>2775</v>
      </c>
      <c r="V65" s="37">
        <v>2</v>
      </c>
      <c r="W65" s="10"/>
      <c r="X65" s="10"/>
      <c r="Y65" s="10">
        <v>2</v>
      </c>
      <c r="Z65" s="10">
        <v>2</v>
      </c>
      <c r="AA65" s="34">
        <v>365</v>
      </c>
      <c r="AB65" s="10">
        <v>182</v>
      </c>
      <c r="AC65" s="10">
        <v>365</v>
      </c>
      <c r="AD65" s="177"/>
      <c r="AE65" s="10" t="s">
        <v>218</v>
      </c>
      <c r="AF65" s="124"/>
      <c r="AG65" s="124"/>
      <c r="AH65" s="10" t="s">
        <v>218</v>
      </c>
      <c r="AI65" s="124"/>
      <c r="AJ65" s="124"/>
      <c r="AK65" s="124"/>
      <c r="AL65" s="124"/>
      <c r="AM65" s="10" t="s">
        <v>218</v>
      </c>
      <c r="AN65" s="124"/>
      <c r="AO65" s="124"/>
      <c r="AP65" s="10" t="s">
        <v>218</v>
      </c>
    </row>
    <row r="66" spans="1:42" x14ac:dyDescent="0.25">
      <c r="A66" s="34"/>
      <c r="B66" s="34"/>
      <c r="C66" s="34"/>
      <c r="D66" s="34"/>
      <c r="E66" s="34"/>
      <c r="F66" s="34"/>
      <c r="G66" s="34"/>
      <c r="H66" s="36"/>
      <c r="I66" s="39"/>
      <c r="J66" s="39"/>
      <c r="K66" s="39"/>
      <c r="L66" s="39"/>
      <c r="M66" s="39"/>
      <c r="N66" s="36">
        <f t="shared" si="0"/>
        <v>0</v>
      </c>
      <c r="O66" s="36">
        <f t="shared" si="0"/>
        <v>0</v>
      </c>
      <c r="P66" s="36">
        <f t="shared" si="0"/>
        <v>0</v>
      </c>
      <c r="Q66" s="36"/>
      <c r="R66" s="36"/>
      <c r="S66" s="36">
        <f t="shared" si="1"/>
        <v>0</v>
      </c>
      <c r="T66" s="37" t="s">
        <v>2805</v>
      </c>
      <c r="U66" s="37" t="s">
        <v>2775</v>
      </c>
      <c r="V66" s="37">
        <v>1</v>
      </c>
      <c r="W66" s="10"/>
      <c r="X66" s="10"/>
      <c r="Y66" s="10">
        <v>0.5</v>
      </c>
      <c r="Z66" s="10">
        <v>1</v>
      </c>
      <c r="AA66" s="34">
        <v>300</v>
      </c>
      <c r="AB66" s="10">
        <v>150</v>
      </c>
      <c r="AC66" s="10">
        <v>150</v>
      </c>
      <c r="AD66" s="177"/>
      <c r="AE66" s="10" t="s">
        <v>218</v>
      </c>
      <c r="AF66" s="124"/>
      <c r="AG66" s="124"/>
      <c r="AH66" s="10" t="s">
        <v>218</v>
      </c>
      <c r="AI66" s="124"/>
      <c r="AJ66" s="124"/>
      <c r="AK66" s="124"/>
      <c r="AL66" s="124"/>
      <c r="AM66" s="10" t="s">
        <v>218</v>
      </c>
      <c r="AN66" s="124"/>
      <c r="AO66" s="124"/>
      <c r="AP66" s="10" t="s">
        <v>218</v>
      </c>
    </row>
    <row r="67" spans="1:42" ht="25.5" x14ac:dyDescent="0.25">
      <c r="A67" s="34"/>
      <c r="B67" s="34"/>
      <c r="C67" s="34"/>
      <c r="D67" s="34"/>
      <c r="E67" s="34"/>
      <c r="F67" s="34"/>
      <c r="G67" s="34"/>
      <c r="H67" s="36"/>
      <c r="I67" s="39"/>
      <c r="J67" s="39"/>
      <c r="K67" s="39"/>
      <c r="L67" s="39"/>
      <c r="M67" s="39"/>
      <c r="N67" s="36">
        <f t="shared" si="0"/>
        <v>0</v>
      </c>
      <c r="O67" s="36">
        <f t="shared" si="0"/>
        <v>0</v>
      </c>
      <c r="P67" s="36">
        <f t="shared" si="0"/>
        <v>0</v>
      </c>
      <c r="Q67" s="36"/>
      <c r="R67" s="36"/>
      <c r="S67" s="36">
        <f t="shared" si="1"/>
        <v>0</v>
      </c>
      <c r="T67" s="37" t="s">
        <v>2809</v>
      </c>
      <c r="U67" s="37" t="s">
        <v>2775</v>
      </c>
      <c r="V67" s="37">
        <v>4</v>
      </c>
      <c r="W67" s="10"/>
      <c r="X67" s="10"/>
      <c r="Y67" s="10">
        <v>0</v>
      </c>
      <c r="Z67" s="10">
        <v>0</v>
      </c>
      <c r="AA67" s="34">
        <v>180</v>
      </c>
      <c r="AB67" s="10">
        <v>90</v>
      </c>
      <c r="AC67" s="10">
        <v>180</v>
      </c>
      <c r="AD67" s="177" t="s">
        <v>2779</v>
      </c>
      <c r="AE67" s="10" t="s">
        <v>218</v>
      </c>
      <c r="AF67" s="124"/>
      <c r="AG67" s="124"/>
      <c r="AH67" s="10" t="s">
        <v>218</v>
      </c>
      <c r="AI67" s="124"/>
      <c r="AJ67" s="124"/>
      <c r="AK67" s="124"/>
      <c r="AL67" s="124"/>
      <c r="AM67" s="10" t="s">
        <v>218</v>
      </c>
      <c r="AN67" s="124"/>
      <c r="AO67" s="124"/>
      <c r="AP67" s="10" t="s">
        <v>218</v>
      </c>
    </row>
  </sheetData>
  <sheetProtection algorithmName="SHA-512" hashValue="Mib5QoC/I6LKETkcZIV9Un57lnbloMmSicgbCdbHvAWilOKBm8vvUQ24So5S0qM1IHjoNCEpYKJAIjJ/ov88QA==" saltValue="fQgdKB2piRe03SB8OKa4+g=="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3"/>
  <sheetViews>
    <sheetView topLeftCell="C6" workbookViewId="0">
      <pane ySplit="4" topLeftCell="A10" activePane="bottomLeft" state="frozen"/>
      <selection activeCell="A6" sqref="A6"/>
      <selection pane="bottomLeft" activeCell="D11" sqref="D11"/>
    </sheetView>
  </sheetViews>
  <sheetFormatPr baseColWidth="10" defaultRowHeight="15" x14ac:dyDescent="0.25"/>
  <cols>
    <col min="1" max="1" width="8.85546875" style="1" bestFit="1" customWidth="1"/>
    <col min="2" max="2" width="11.42578125" style="1"/>
    <col min="3" max="3" width="11.7109375" style="1" customWidth="1"/>
    <col min="4" max="4" width="11.42578125" style="1"/>
    <col min="5" max="5" width="17" style="188" customWidth="1"/>
    <col min="6" max="6" width="13.140625" style="1" customWidth="1"/>
    <col min="7" max="7" width="11.140625" style="1" customWidth="1"/>
    <col min="8" max="8" width="21.42578125" style="1" customWidth="1"/>
    <col min="9" max="9" width="14.42578125" style="1" customWidth="1"/>
    <col min="10" max="10" width="13.7109375" style="1" customWidth="1"/>
    <col min="11" max="11" width="21.42578125" style="1" customWidth="1"/>
    <col min="12" max="16" width="11.42578125" style="1"/>
    <col min="17" max="17" width="18.28515625" style="1" customWidth="1"/>
    <col min="18" max="16384" width="11.42578125" style="1"/>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row>
    <row r="5" spans="1:97" x14ac:dyDescent="0.25">
      <c r="A5" s="2"/>
      <c r="B5" s="2"/>
      <c r="C5" s="2"/>
      <c r="D5" s="2"/>
      <c r="E5" s="598"/>
      <c r="F5" s="2"/>
      <c r="G5" s="2"/>
      <c r="H5" s="2"/>
      <c r="I5" s="2"/>
      <c r="J5" s="2"/>
      <c r="K5" s="2"/>
      <c r="L5" s="4"/>
      <c r="M5" s="5"/>
      <c r="N5" s="5"/>
      <c r="O5" s="5"/>
    </row>
    <row r="6" spans="1:97" x14ac:dyDescent="0.25">
      <c r="A6" s="575" t="s">
        <v>4</v>
      </c>
      <c r="B6" s="606" t="s">
        <v>4543</v>
      </c>
      <c r="C6" s="606"/>
      <c r="D6" s="606"/>
      <c r="E6" s="606"/>
      <c r="F6" s="606"/>
      <c r="G6" s="606"/>
      <c r="H6" s="606"/>
      <c r="I6" s="606"/>
      <c r="J6" s="606"/>
      <c r="K6" s="606"/>
      <c r="L6" s="606"/>
      <c r="M6" s="606"/>
      <c r="N6" s="606"/>
      <c r="O6" s="606"/>
    </row>
    <row r="7" spans="1:97" x14ac:dyDescent="0.25">
      <c r="O7" s="155">
        <f>'[1]FORMATO FINANCIERO'!K5</f>
        <v>0</v>
      </c>
    </row>
    <row r="8" spans="1:97" ht="15" customHeight="1" x14ac:dyDescent="0.25">
      <c r="A8" s="617" t="s">
        <v>6</v>
      </c>
      <c r="B8" s="617" t="s">
        <v>7</v>
      </c>
      <c r="C8" s="617" t="s">
        <v>8</v>
      </c>
      <c r="D8" s="617" t="s">
        <v>9</v>
      </c>
      <c r="E8" s="617" t="s">
        <v>10</v>
      </c>
      <c r="F8" s="617" t="s">
        <v>11</v>
      </c>
      <c r="G8" s="617" t="s">
        <v>12</v>
      </c>
      <c r="H8" s="617" t="s">
        <v>13</v>
      </c>
      <c r="I8" s="621" t="s">
        <v>14</v>
      </c>
      <c r="J8" s="621" t="s">
        <v>15</v>
      </c>
      <c r="K8" s="617" t="s">
        <v>16</v>
      </c>
      <c r="L8" s="617" t="s">
        <v>17</v>
      </c>
      <c r="M8" s="617" t="s">
        <v>18</v>
      </c>
      <c r="N8" s="623" t="s">
        <v>19</v>
      </c>
      <c r="O8" s="623" t="s">
        <v>20</v>
      </c>
      <c r="P8" s="623" t="s">
        <v>21</v>
      </c>
      <c r="Q8" s="619" t="s">
        <v>22</v>
      </c>
    </row>
    <row r="9" spans="1:97" ht="34.5" customHeight="1" x14ac:dyDescent="0.25">
      <c r="A9" s="618"/>
      <c r="B9" s="618"/>
      <c r="C9" s="618"/>
      <c r="D9" s="618"/>
      <c r="E9" s="618"/>
      <c r="F9" s="618"/>
      <c r="G9" s="618"/>
      <c r="H9" s="618"/>
      <c r="I9" s="622"/>
      <c r="J9" s="622"/>
      <c r="K9" s="618"/>
      <c r="L9" s="618"/>
      <c r="M9" s="618"/>
      <c r="N9" s="624"/>
      <c r="O9" s="624"/>
      <c r="P9" s="624"/>
      <c r="Q9" s="620"/>
      <c r="S9" s="8"/>
      <c r="T9" s="8"/>
      <c r="U9" s="8"/>
    </row>
    <row r="10" spans="1:97" ht="105.75" customHeight="1" x14ac:dyDescent="0.25">
      <c r="A10" s="192" t="s">
        <v>23</v>
      </c>
      <c r="B10" s="192" t="s">
        <v>136</v>
      </c>
      <c r="C10" s="192" t="s">
        <v>2518</v>
      </c>
      <c r="D10" s="192">
        <v>211210000</v>
      </c>
      <c r="E10" s="194" t="s">
        <v>4288</v>
      </c>
      <c r="F10" s="220">
        <v>2012050000281</v>
      </c>
      <c r="G10" s="192" t="s">
        <v>4544</v>
      </c>
      <c r="H10" s="192" t="s">
        <v>4545</v>
      </c>
      <c r="I10" s="41">
        <v>0</v>
      </c>
      <c r="J10" s="599">
        <f>'[1]FORMATO FINANCIERO'!J9-'[1]FORMATO FINANCIERO'!H9</f>
        <v>-119067452</v>
      </c>
      <c r="K10" s="10" t="s">
        <v>4546</v>
      </c>
      <c r="L10" s="236">
        <v>65</v>
      </c>
      <c r="M10" s="41"/>
      <c r="N10" s="594"/>
      <c r="O10" s="594">
        <v>75</v>
      </c>
      <c r="P10" s="41">
        <v>75</v>
      </c>
      <c r="Q10" s="49" t="s">
        <v>4547</v>
      </c>
      <c r="R10" s="16"/>
      <c r="S10" s="409"/>
      <c r="T10" s="409"/>
      <c r="U10" s="17"/>
      <c r="V10" s="8"/>
      <c r="W10" s="8"/>
      <c r="X10" s="8"/>
      <c r="Y10" s="8"/>
      <c r="Z10" s="8"/>
      <c r="AA10" s="8"/>
      <c r="AB10" s="8"/>
      <c r="AC10" s="8"/>
      <c r="AD10" s="8"/>
      <c r="AE10" s="8"/>
      <c r="AF10" s="8"/>
      <c r="AG10" s="8"/>
      <c r="AH10" s="8"/>
      <c r="AK10" s="9" t="e">
        <f>MID(T10,9,LEN(T10)-8)</f>
        <v>#VALUE!</v>
      </c>
      <c r="AO10" s="9"/>
      <c r="AS10" s="9"/>
      <c r="AW10" s="9"/>
      <c r="BA10" s="9"/>
      <c r="BE10" s="9"/>
      <c r="BI10" s="9"/>
      <c r="BM10" s="9"/>
      <c r="BQ10" s="9"/>
      <c r="BU10" s="9"/>
      <c r="BY10" s="9"/>
      <c r="CC10" s="9"/>
      <c r="CG10" s="9"/>
      <c r="CK10" s="9"/>
      <c r="CO10" s="9"/>
      <c r="CS10" s="9"/>
    </row>
    <row r="11" spans="1:97" ht="81.75" customHeight="1" x14ac:dyDescent="0.25">
      <c r="A11" s="192" t="s">
        <v>23</v>
      </c>
      <c r="B11" s="192" t="s">
        <v>1573</v>
      </c>
      <c r="C11" s="192" t="s">
        <v>4548</v>
      </c>
      <c r="D11" s="192">
        <v>214310000</v>
      </c>
      <c r="E11" s="194" t="s">
        <v>4549</v>
      </c>
      <c r="F11" s="220">
        <v>2012050000333</v>
      </c>
      <c r="G11" s="192" t="s">
        <v>4550</v>
      </c>
      <c r="H11" s="192" t="s">
        <v>4551</v>
      </c>
      <c r="I11" s="41">
        <v>0</v>
      </c>
      <c r="J11" s="219">
        <f>'[1]FORMATO FINANCIERO'!J15-'[1]FORMATO FINANCIERO'!H15</f>
        <v>0</v>
      </c>
      <c r="K11" s="10" t="s">
        <v>4552</v>
      </c>
      <c r="L11" s="236">
        <v>12</v>
      </c>
      <c r="M11" s="41"/>
      <c r="N11" s="595"/>
      <c r="O11" s="595">
        <v>6</v>
      </c>
      <c r="P11" s="41">
        <v>10</v>
      </c>
      <c r="Q11" s="49" t="s">
        <v>4553</v>
      </c>
      <c r="R11" s="16"/>
      <c r="S11" s="409"/>
      <c r="T11" s="409"/>
      <c r="U11" s="17"/>
      <c r="V11" s="8"/>
      <c r="W11" s="8"/>
      <c r="X11" s="8"/>
      <c r="Y11" s="8"/>
      <c r="Z11" s="8"/>
      <c r="AA11" s="8"/>
      <c r="AB11" s="8"/>
      <c r="AC11" s="8"/>
      <c r="AD11" s="8"/>
      <c r="AE11" s="8"/>
      <c r="AF11" s="8"/>
      <c r="AG11" s="8"/>
      <c r="AH11" s="8"/>
      <c r="AK11" s="9"/>
      <c r="AO11" s="9"/>
      <c r="AS11" s="9"/>
      <c r="AW11" s="9"/>
      <c r="BA11" s="9"/>
      <c r="BE11" s="9"/>
      <c r="BI11" s="9"/>
      <c r="BM11" s="9"/>
      <c r="BQ11" s="9"/>
      <c r="BU11" s="9"/>
      <c r="BY11" s="9"/>
      <c r="CC11" s="9"/>
      <c r="CG11" s="9"/>
      <c r="CK11" s="9"/>
      <c r="CO11" s="9"/>
      <c r="CS11" s="9"/>
    </row>
    <row r="12" spans="1:97" ht="75.75" customHeight="1" x14ac:dyDescent="0.25">
      <c r="A12" s="192" t="s">
        <v>23</v>
      </c>
      <c r="B12" s="192" t="s">
        <v>1573</v>
      </c>
      <c r="C12" s="192" t="s">
        <v>4548</v>
      </c>
      <c r="D12" s="192">
        <v>214320000</v>
      </c>
      <c r="E12" s="194" t="s">
        <v>4554</v>
      </c>
      <c r="F12" s="220">
        <v>2012050000334</v>
      </c>
      <c r="G12" s="192" t="s">
        <v>4555</v>
      </c>
      <c r="H12" s="192" t="s">
        <v>4556</v>
      </c>
      <c r="I12" s="219" t="s">
        <v>4557</v>
      </c>
      <c r="J12" s="219">
        <f>'[1]FORMATO FINANCIERO'!J18-'[1]FORMATO FINANCIERO'!H18</f>
        <v>200000000</v>
      </c>
      <c r="K12" s="10" t="s">
        <v>4558</v>
      </c>
      <c r="L12" s="236">
        <v>10</v>
      </c>
      <c r="M12" s="41"/>
      <c r="N12" s="596"/>
      <c r="O12" s="596">
        <v>42</v>
      </c>
      <c r="P12" s="41">
        <v>53</v>
      </c>
      <c r="Q12" s="49" t="s">
        <v>4559</v>
      </c>
      <c r="R12" s="16"/>
      <c r="S12" s="409"/>
      <c r="T12" s="409"/>
      <c r="U12" s="17"/>
      <c r="V12" s="8"/>
      <c r="W12" s="8"/>
      <c r="X12" s="8"/>
      <c r="Y12" s="8"/>
      <c r="Z12" s="8"/>
      <c r="AA12" s="8"/>
      <c r="AB12" s="8"/>
      <c r="AC12" s="8"/>
      <c r="AD12" s="8"/>
      <c r="AE12" s="8"/>
      <c r="AF12" s="8"/>
      <c r="AG12" s="8"/>
      <c r="AH12" s="8"/>
      <c r="AK12" s="9"/>
      <c r="AO12" s="9"/>
      <c r="AS12" s="9"/>
      <c r="AW12" s="9"/>
      <c r="BA12" s="9"/>
      <c r="BE12" s="9"/>
      <c r="BI12" s="9"/>
      <c r="BM12" s="9"/>
      <c r="BQ12" s="9"/>
      <c r="BU12" s="9"/>
      <c r="BY12" s="9"/>
      <c r="CC12" s="9"/>
      <c r="CG12" s="9"/>
      <c r="CK12" s="9"/>
      <c r="CO12" s="9"/>
      <c r="CS12" s="9"/>
    </row>
    <row r="13" spans="1:97" ht="93.75" customHeight="1" x14ac:dyDescent="0.25">
      <c r="A13" s="192" t="s">
        <v>23</v>
      </c>
      <c r="B13" s="192" t="s">
        <v>24</v>
      </c>
      <c r="C13" s="192" t="s">
        <v>38</v>
      </c>
      <c r="D13" s="192">
        <v>215230000</v>
      </c>
      <c r="E13" s="194" t="s">
        <v>4560</v>
      </c>
      <c r="F13" s="220">
        <v>2012050000335</v>
      </c>
      <c r="G13" s="192" t="s">
        <v>4561</v>
      </c>
      <c r="H13" s="192" t="s">
        <v>4562</v>
      </c>
      <c r="I13" s="41">
        <v>0</v>
      </c>
      <c r="J13" s="219">
        <f>'[1]FORMATO FINANCIERO'!J24-'[1]FORMATO FINANCIERO'!H24</f>
        <v>0</v>
      </c>
      <c r="K13" s="10" t="s">
        <v>4563</v>
      </c>
      <c r="L13" s="236">
        <v>18</v>
      </c>
      <c r="M13" s="41"/>
      <c r="N13" s="596"/>
      <c r="O13" s="596">
        <v>4</v>
      </c>
      <c r="P13" s="41">
        <v>12</v>
      </c>
      <c r="Q13" s="49" t="s">
        <v>4564</v>
      </c>
      <c r="R13" s="16"/>
      <c r="S13" s="409"/>
      <c r="T13" s="409"/>
      <c r="U13" s="17"/>
      <c r="V13" s="8"/>
      <c r="W13" s="8"/>
      <c r="X13" s="8"/>
      <c r="Y13" s="8"/>
      <c r="Z13" s="8"/>
      <c r="AA13" s="8"/>
      <c r="AB13" s="8"/>
      <c r="AC13" s="8"/>
      <c r="AD13" s="8"/>
      <c r="AE13" s="8"/>
      <c r="AF13" s="8"/>
      <c r="AG13" s="8"/>
      <c r="AH13" s="8"/>
      <c r="AK13" s="9"/>
      <c r="AO13" s="9"/>
      <c r="AS13" s="9"/>
      <c r="AW13" s="9"/>
      <c r="BA13" s="9"/>
      <c r="BE13" s="9"/>
      <c r="BI13" s="9"/>
      <c r="BM13" s="9"/>
      <c r="BQ13" s="9"/>
      <c r="BU13" s="9"/>
      <c r="BY13" s="9"/>
      <c r="CC13" s="9"/>
      <c r="CG13" s="9"/>
      <c r="CK13" s="9"/>
      <c r="CO13" s="9"/>
      <c r="CS13" s="9"/>
    </row>
  </sheetData>
  <sheetProtection algorithmName="SHA-512" hashValue="bDYpkEwpZTb3f6vgMZATXC5kyrufiiluKIecqMs0Y/jXb0xAXdLnJeTU+5HlAiG1MovW/+jXh+on3UXaFP7DDA==" saltValue="JLwRXxNV9+Hz3rpP8tqnCA==" spinCount="100000" sheet="1" objects="1" scenarios="1" insertRows="0" selectLockedCells="1"/>
  <mergeCells count="22">
    <mergeCell ref="Q8:Q9"/>
    <mergeCell ref="F8:F9"/>
    <mergeCell ref="G8:G9"/>
    <mergeCell ref="H8:H9"/>
    <mergeCell ref="I8:I9"/>
    <mergeCell ref="J8:J9"/>
    <mergeCell ref="K8:K9"/>
    <mergeCell ref="L8:L9"/>
    <mergeCell ref="M8:M9"/>
    <mergeCell ref="N8:N9"/>
    <mergeCell ref="O8:O9"/>
    <mergeCell ref="P8:P9"/>
    <mergeCell ref="A1:O1"/>
    <mergeCell ref="A2:O2"/>
    <mergeCell ref="A3:O3"/>
    <mergeCell ref="A4:O4"/>
    <mergeCell ref="B6:O6"/>
    <mergeCell ref="A8:A9"/>
    <mergeCell ref="B8:B9"/>
    <mergeCell ref="C8:C9"/>
    <mergeCell ref="D8:D9"/>
    <mergeCell ref="E8:E9"/>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topLeftCell="B4" zoomScale="90" zoomScaleNormal="90" workbookViewId="0">
      <pane ySplit="5" topLeftCell="A9" activePane="bottomLeft" state="frozen"/>
      <selection activeCell="A4" sqref="A4"/>
      <selection pane="bottomLeft" activeCell="J9" sqref="J9"/>
    </sheetView>
  </sheetViews>
  <sheetFormatPr baseColWidth="10" defaultRowHeight="15" x14ac:dyDescent="0.25"/>
  <cols>
    <col min="1" max="1" width="15.7109375" style="1" customWidth="1"/>
    <col min="2" max="2" width="20.140625" style="1" customWidth="1"/>
    <col min="3" max="3" width="21.28515625" style="1" customWidth="1"/>
    <col min="4" max="4" width="14.42578125" style="1" bestFit="1" customWidth="1"/>
    <col min="5" max="5" width="20" style="1" bestFit="1" customWidth="1"/>
    <col min="6" max="6" width="16.85546875" style="1" customWidth="1"/>
    <col min="7" max="7" width="12" style="1" customWidth="1"/>
    <col min="8" max="8" width="24.140625" style="1" customWidth="1"/>
    <col min="9" max="9" width="14.42578125" style="1" customWidth="1"/>
    <col min="10" max="10" width="17.85546875" style="1" customWidth="1"/>
    <col min="11" max="11" width="24.5703125" style="1" customWidth="1"/>
    <col min="12" max="16" width="11.42578125" style="1"/>
    <col min="17" max="17" width="31.5703125" style="1" customWidth="1"/>
    <col min="18" max="16384" width="11.42578125" style="1"/>
  </cols>
  <sheetData>
    <row r="1" spans="1:21" x14ac:dyDescent="0.25">
      <c r="A1" s="605" t="s">
        <v>0</v>
      </c>
      <c r="B1" s="605"/>
      <c r="C1" s="605"/>
      <c r="D1" s="605"/>
      <c r="E1" s="605"/>
      <c r="F1" s="605"/>
      <c r="G1" s="605"/>
      <c r="H1" s="605"/>
      <c r="I1" s="605"/>
      <c r="J1" s="605"/>
      <c r="K1" s="605"/>
      <c r="L1" s="605"/>
      <c r="M1" s="605"/>
      <c r="N1" s="605"/>
      <c r="O1" s="605"/>
    </row>
    <row r="2" spans="1:21" x14ac:dyDescent="0.25">
      <c r="A2" s="605" t="s">
        <v>1</v>
      </c>
      <c r="B2" s="605"/>
      <c r="C2" s="605"/>
      <c r="D2" s="605"/>
      <c r="E2" s="605"/>
      <c r="F2" s="605"/>
      <c r="G2" s="605"/>
      <c r="H2" s="605"/>
      <c r="I2" s="605"/>
      <c r="J2" s="605"/>
      <c r="K2" s="605"/>
      <c r="L2" s="605"/>
      <c r="M2" s="605"/>
      <c r="N2" s="605"/>
      <c r="O2" s="605"/>
    </row>
    <row r="3" spans="1:21" x14ac:dyDescent="0.25">
      <c r="A3" s="605" t="s">
        <v>2</v>
      </c>
      <c r="B3" s="605"/>
      <c r="C3" s="605"/>
      <c r="D3" s="605"/>
      <c r="E3" s="605"/>
      <c r="F3" s="605"/>
      <c r="G3" s="605"/>
      <c r="H3" s="605" t="s">
        <v>3</v>
      </c>
      <c r="I3" s="605"/>
      <c r="J3" s="605"/>
      <c r="K3" s="605"/>
      <c r="L3" s="605"/>
      <c r="M3" s="605"/>
      <c r="N3" s="605"/>
      <c r="O3" s="605"/>
    </row>
    <row r="4" spans="1:21" x14ac:dyDescent="0.25">
      <c r="A4" s="605">
        <v>2013</v>
      </c>
      <c r="B4" s="605"/>
      <c r="C4" s="605"/>
      <c r="D4" s="605"/>
      <c r="E4" s="605"/>
      <c r="F4" s="605"/>
      <c r="G4" s="605"/>
      <c r="H4" s="605"/>
      <c r="I4" s="605"/>
      <c r="J4" s="605"/>
      <c r="K4" s="605"/>
      <c r="L4" s="605"/>
      <c r="M4" s="605"/>
      <c r="N4" s="605"/>
      <c r="O4" s="605"/>
    </row>
    <row r="5" spans="1:21" x14ac:dyDescent="0.25">
      <c r="A5" s="2"/>
      <c r="B5" s="2"/>
      <c r="C5" s="2"/>
      <c r="D5" s="2"/>
      <c r="E5" s="2"/>
      <c r="F5" s="2"/>
      <c r="G5" s="2"/>
      <c r="H5" s="2"/>
      <c r="I5" s="2"/>
      <c r="J5" s="2"/>
      <c r="K5" s="2"/>
      <c r="L5" s="4"/>
      <c r="M5" s="5"/>
      <c r="N5" s="5"/>
      <c r="O5" s="5"/>
    </row>
    <row r="6" spans="1:21" x14ac:dyDescent="0.25">
      <c r="A6" s="7" t="s">
        <v>4</v>
      </c>
      <c r="B6" s="606" t="s">
        <v>2727</v>
      </c>
      <c r="C6" s="606"/>
      <c r="D6" s="606"/>
      <c r="E6" s="606"/>
      <c r="F6" s="606"/>
      <c r="G6" s="606"/>
      <c r="H6" s="606"/>
      <c r="I6" s="606"/>
      <c r="J6" s="606"/>
      <c r="K6" s="606"/>
      <c r="L6" s="606"/>
      <c r="M6" s="606"/>
      <c r="N6" s="606"/>
      <c r="O6" s="606"/>
    </row>
    <row r="7" spans="1:21"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9" t="s">
        <v>22</v>
      </c>
    </row>
    <row r="8" spans="1:21" ht="56.25" customHeight="1" x14ac:dyDescent="0.25">
      <c r="A8" s="618"/>
      <c r="B8" s="618"/>
      <c r="C8" s="618"/>
      <c r="D8" s="618"/>
      <c r="E8" s="618"/>
      <c r="F8" s="618"/>
      <c r="G8" s="618"/>
      <c r="H8" s="618"/>
      <c r="I8" s="622"/>
      <c r="J8" s="622"/>
      <c r="K8" s="618"/>
      <c r="L8" s="618"/>
      <c r="M8" s="618"/>
      <c r="N8" s="624"/>
      <c r="O8" s="624"/>
      <c r="P8" s="624"/>
      <c r="Q8" s="620"/>
    </row>
    <row r="9" spans="1:21" ht="404.25" x14ac:dyDescent="0.25">
      <c r="A9" s="10" t="s">
        <v>23</v>
      </c>
      <c r="B9" s="10" t="s">
        <v>1573</v>
      </c>
      <c r="C9" s="10" t="s">
        <v>2728</v>
      </c>
      <c r="D9" s="10">
        <v>214110000</v>
      </c>
      <c r="E9" s="10" t="s">
        <v>2729</v>
      </c>
      <c r="F9" s="50" t="s">
        <v>2730</v>
      </c>
      <c r="G9" s="10" t="s">
        <v>2731</v>
      </c>
      <c r="H9" s="10" t="s">
        <v>2732</v>
      </c>
      <c r="I9" s="453">
        <f>457509005-482752000</f>
        <v>-25242995</v>
      </c>
      <c r="J9" s="247">
        <f>'[11]FORMATO FINANCIERO'!J9-'[11]FORMATO FINANCIERO'!H9</f>
        <v>-25242995</v>
      </c>
      <c r="K9" s="10" t="s">
        <v>2733</v>
      </c>
      <c r="L9" s="10">
        <v>20</v>
      </c>
      <c r="M9" s="10">
        <v>20</v>
      </c>
      <c r="N9" s="10"/>
      <c r="O9" s="10">
        <v>10</v>
      </c>
      <c r="P9" s="10">
        <v>40</v>
      </c>
      <c r="Q9" s="454" t="s">
        <v>2734</v>
      </c>
      <c r="R9" s="8"/>
      <c r="U9" s="9"/>
    </row>
    <row r="10" spans="1:21" ht="110.25" customHeight="1" x14ac:dyDescent="0.25">
      <c r="A10" s="10" t="s">
        <v>55</v>
      </c>
      <c r="B10" s="10" t="s">
        <v>48</v>
      </c>
      <c r="C10" s="10" t="s">
        <v>2735</v>
      </c>
      <c r="D10" s="10">
        <v>242110000</v>
      </c>
      <c r="E10" s="10" t="s">
        <v>2736</v>
      </c>
      <c r="F10" s="50" t="s">
        <v>2737</v>
      </c>
      <c r="G10" s="10" t="s">
        <v>2738</v>
      </c>
      <c r="H10" s="10" t="s">
        <v>2739</v>
      </c>
      <c r="I10" s="39">
        <f>3104985195-1610209000-3295000000</f>
        <v>-1800223805</v>
      </c>
      <c r="J10" s="39">
        <f>'[11]FORMATO FINANCIERO'!J17-'[11]FORMATO FINANCIERO'!H17</f>
        <v>-1735447953</v>
      </c>
      <c r="K10" s="10" t="s">
        <v>2740</v>
      </c>
      <c r="L10" s="10">
        <v>427</v>
      </c>
      <c r="M10" s="10">
        <v>427</v>
      </c>
      <c r="N10" s="10"/>
      <c r="O10" s="14">
        <v>200</v>
      </c>
      <c r="P10" s="10">
        <v>450</v>
      </c>
      <c r="Q10" s="454" t="s">
        <v>2741</v>
      </c>
      <c r="R10" s="8"/>
      <c r="U10" s="9"/>
    </row>
    <row r="11" spans="1:21" ht="135" x14ac:dyDescent="0.25">
      <c r="A11" s="10"/>
      <c r="B11" s="10"/>
      <c r="C11" s="10"/>
      <c r="D11" s="10"/>
      <c r="E11" s="10"/>
      <c r="F11" s="50"/>
      <c r="G11" s="10"/>
      <c r="H11" s="10"/>
      <c r="I11" s="10"/>
      <c r="J11" s="10"/>
      <c r="K11" s="10" t="s">
        <v>2742</v>
      </c>
      <c r="L11" s="10">
        <v>692</v>
      </c>
      <c r="M11" s="10">
        <v>692</v>
      </c>
      <c r="N11" s="10"/>
      <c r="O11" s="10">
        <v>704</v>
      </c>
      <c r="P11" s="10">
        <v>1004</v>
      </c>
      <c r="Q11" s="454" t="s">
        <v>2743</v>
      </c>
      <c r="R11" s="8"/>
      <c r="U11" s="9"/>
    </row>
    <row r="12" spans="1:21" ht="180" x14ac:dyDescent="0.25">
      <c r="A12" s="10"/>
      <c r="B12" s="10"/>
      <c r="C12" s="10"/>
      <c r="D12" s="10"/>
      <c r="E12" s="10"/>
      <c r="F12" s="50"/>
      <c r="G12" s="10"/>
      <c r="H12" s="10"/>
      <c r="I12" s="10"/>
      <c r="J12" s="10"/>
      <c r="K12" s="10" t="s">
        <v>2744</v>
      </c>
      <c r="L12" s="10">
        <v>35</v>
      </c>
      <c r="M12" s="10">
        <v>35</v>
      </c>
      <c r="N12" s="10"/>
      <c r="O12" s="10">
        <v>0</v>
      </c>
      <c r="P12" s="10">
        <v>80</v>
      </c>
      <c r="Q12" s="454" t="s">
        <v>2745</v>
      </c>
      <c r="R12" s="8"/>
      <c r="U12" s="9"/>
    </row>
    <row r="13" spans="1:21" ht="93.75" customHeight="1" x14ac:dyDescent="0.25">
      <c r="A13" s="10" t="s">
        <v>55</v>
      </c>
      <c r="B13" s="10" t="s">
        <v>48</v>
      </c>
      <c r="C13" s="10" t="s">
        <v>2735</v>
      </c>
      <c r="D13" s="10">
        <v>242120000</v>
      </c>
      <c r="E13" s="10" t="s">
        <v>2746</v>
      </c>
      <c r="F13" s="50" t="s">
        <v>2747</v>
      </c>
      <c r="G13" s="10" t="s">
        <v>2748</v>
      </c>
      <c r="H13" s="10" t="s">
        <v>2749</v>
      </c>
      <c r="I13" s="39">
        <f>864394704-946108000</f>
        <v>-81713296</v>
      </c>
      <c r="J13" s="39">
        <f>'[11]FORMATO FINANCIERO'!H36-'[11]FORMATO FINANCIERO'!J36</f>
        <v>81713296</v>
      </c>
      <c r="K13" s="10" t="s">
        <v>2750</v>
      </c>
      <c r="L13" s="10">
        <v>26</v>
      </c>
      <c r="M13" s="10">
        <v>26</v>
      </c>
      <c r="N13" s="10"/>
      <c r="O13" s="10">
        <v>15</v>
      </c>
      <c r="P13" s="10">
        <v>49</v>
      </c>
      <c r="Q13" s="18" t="s">
        <v>2751</v>
      </c>
      <c r="R13" s="8"/>
      <c r="U13" s="9"/>
    </row>
    <row r="14" spans="1:21" ht="110.25" customHeight="1" x14ac:dyDescent="0.25">
      <c r="A14" s="10" t="s">
        <v>55</v>
      </c>
      <c r="B14" s="10" t="s">
        <v>48</v>
      </c>
      <c r="C14" s="10" t="s">
        <v>2735</v>
      </c>
      <c r="D14" s="10">
        <v>242130000</v>
      </c>
      <c r="E14" s="10" t="s">
        <v>2752</v>
      </c>
      <c r="F14" s="50" t="s">
        <v>2753</v>
      </c>
      <c r="G14" s="10" t="s">
        <v>2754</v>
      </c>
      <c r="H14" s="10" t="s">
        <v>2755</v>
      </c>
      <c r="I14" s="39">
        <f>12963537-125157000</f>
        <v>-112193463</v>
      </c>
      <c r="J14" s="39">
        <f>'[11]FORMATO FINANCIERO'!H45-'[11]FORMATO FINANCIERO'!J45</f>
        <v>112193463</v>
      </c>
      <c r="K14" s="10" t="s">
        <v>2756</v>
      </c>
      <c r="L14" s="10">
        <v>7</v>
      </c>
      <c r="M14" s="455"/>
      <c r="N14" s="10"/>
      <c r="O14" s="455"/>
      <c r="P14" s="10"/>
      <c r="Q14" s="18" t="s">
        <v>2757</v>
      </c>
      <c r="R14" s="8"/>
      <c r="U14" s="9"/>
    </row>
    <row r="15" spans="1:21" ht="51.75" customHeight="1" x14ac:dyDescent="0.25">
      <c r="A15" s="10"/>
      <c r="B15" s="10"/>
      <c r="C15" s="10"/>
      <c r="D15" s="10"/>
      <c r="E15" s="10"/>
      <c r="F15" s="50"/>
      <c r="G15" s="10"/>
      <c r="H15" s="10"/>
      <c r="I15" s="10"/>
      <c r="J15" s="10"/>
      <c r="K15" s="10" t="s">
        <v>2758</v>
      </c>
      <c r="L15" s="10">
        <v>1536</v>
      </c>
      <c r="M15" s="455"/>
      <c r="N15" s="10"/>
      <c r="O15" s="455"/>
      <c r="P15" s="10"/>
      <c r="Q15" s="18" t="s">
        <v>2757</v>
      </c>
      <c r="R15" s="8"/>
      <c r="U15" s="9"/>
    </row>
    <row r="16" spans="1:21" ht="409.5" x14ac:dyDescent="0.25">
      <c r="A16" s="10" t="s">
        <v>55</v>
      </c>
      <c r="B16" s="10" t="s">
        <v>48</v>
      </c>
      <c r="C16" s="10" t="s">
        <v>2759</v>
      </c>
      <c r="D16" s="10">
        <v>242210000</v>
      </c>
      <c r="E16" s="10" t="s">
        <v>2760</v>
      </c>
      <c r="F16" s="50" t="s">
        <v>2761</v>
      </c>
      <c r="G16" s="10" t="s">
        <v>2762</v>
      </c>
      <c r="H16" s="10" t="s">
        <v>2763</v>
      </c>
      <c r="I16" s="39">
        <f>151289845-171982000</f>
        <v>-20692155</v>
      </c>
      <c r="J16" s="39">
        <f>'[11]FORMATO FINANCIERO'!H50-'[11]FORMATO FINANCIERO'!J50</f>
        <v>20692155</v>
      </c>
      <c r="K16" s="10" t="s">
        <v>2764</v>
      </c>
      <c r="L16" s="10">
        <v>10</v>
      </c>
      <c r="M16" s="10">
        <v>10</v>
      </c>
      <c r="N16" s="10"/>
      <c r="O16" s="10">
        <v>7</v>
      </c>
      <c r="P16" s="10">
        <v>15</v>
      </c>
      <c r="Q16" s="18" t="s">
        <v>2765</v>
      </c>
      <c r="R16" s="8"/>
      <c r="U16" s="9"/>
    </row>
    <row r="17" spans="1:21" ht="382.5" x14ac:dyDescent="0.25">
      <c r="A17" s="10" t="s">
        <v>55</v>
      </c>
      <c r="B17" s="10" t="s">
        <v>343</v>
      </c>
      <c r="C17" s="10" t="s">
        <v>2413</v>
      </c>
      <c r="D17" s="10">
        <v>245510000</v>
      </c>
      <c r="E17" s="10" t="s">
        <v>2766</v>
      </c>
      <c r="F17" s="50" t="s">
        <v>2767</v>
      </c>
      <c r="G17" s="10" t="s">
        <v>2768</v>
      </c>
      <c r="H17" s="10" t="s">
        <v>2769</v>
      </c>
      <c r="I17" s="39">
        <f>1018590929-1103792000</f>
        <v>-85201071</v>
      </c>
      <c r="J17" s="39">
        <f>'[11]FORMATO FINANCIERO'!H60-'[11]FORMATO FINANCIERO'!J60</f>
        <v>100201071</v>
      </c>
      <c r="K17" s="10" t="s">
        <v>2770</v>
      </c>
      <c r="L17" s="10">
        <v>55800</v>
      </c>
      <c r="M17" s="10">
        <v>55800</v>
      </c>
      <c r="N17" s="10"/>
      <c r="O17" s="39">
        <v>6580</v>
      </c>
      <c r="P17" s="10">
        <v>21964</v>
      </c>
      <c r="Q17" s="49" t="s">
        <v>2771</v>
      </c>
      <c r="R17" s="8"/>
      <c r="U17" s="9"/>
    </row>
  </sheetData>
  <sheetProtection algorithmName="SHA-512" hashValue="6hmmQvRPSPMeAXEqezlu+qTR+SrmfAXU35CZJG0KJEhEQ++IY6F1TDm8mJNw+l9ixju8eIOp/6qEA8Qw4oJLEQ==" saltValue="JGWf8oV/bnT/XOKefSfvjQ=="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0"/>
  <sheetViews>
    <sheetView showZeros="0" topLeftCell="A4" zoomScale="70" zoomScaleNormal="80" workbookViewId="0">
      <pane ySplit="5" topLeftCell="A9" activePane="bottomLeft" state="frozen"/>
      <selection activeCell="A4" sqref="A4"/>
      <selection pane="bottomLeft" activeCell="H10" sqref="H10"/>
    </sheetView>
  </sheetViews>
  <sheetFormatPr baseColWidth="10" defaultRowHeight="18.75" x14ac:dyDescent="0.3"/>
  <cols>
    <col min="1" max="1" width="14.42578125" style="417" customWidth="1"/>
    <col min="2" max="2" width="23.140625" style="417" customWidth="1"/>
    <col min="3" max="3" width="20.5703125" style="417" customWidth="1"/>
    <col min="4" max="4" width="15.85546875" style="417" customWidth="1"/>
    <col min="5" max="5" width="20.140625" style="417" customWidth="1"/>
    <col min="6" max="6" width="15.140625" style="417" customWidth="1"/>
    <col min="7" max="7" width="21.42578125" style="417" customWidth="1"/>
    <col min="8" max="8" width="20" style="417" customWidth="1"/>
    <col min="9" max="9" width="21.140625" style="417" customWidth="1"/>
    <col min="10" max="10" width="19.42578125" style="417" customWidth="1"/>
    <col min="11" max="11" width="20.85546875" style="417" customWidth="1"/>
    <col min="12" max="12" width="17.42578125" style="417" customWidth="1"/>
    <col min="13" max="13" width="17.85546875" style="417" customWidth="1"/>
    <col min="14" max="14" width="18.7109375" style="417" customWidth="1"/>
    <col min="15" max="15" width="17.5703125" style="417" customWidth="1"/>
    <col min="16" max="16" width="17.28515625" style="417" customWidth="1"/>
    <col min="17" max="17" width="20" style="417" customWidth="1"/>
    <col min="18" max="18" width="18.28515625" style="417" customWidth="1"/>
    <col min="19" max="19" width="18" style="417" customWidth="1"/>
    <col min="20" max="20" width="21.28515625" style="417" customWidth="1"/>
    <col min="21" max="21" width="14.7109375" style="417" customWidth="1"/>
    <col min="22" max="22" width="17.140625" style="417" customWidth="1"/>
    <col min="23" max="23" width="19.7109375" style="417" customWidth="1"/>
    <col min="24" max="24" width="18.5703125" style="417" customWidth="1"/>
    <col min="25" max="25" width="14.42578125" style="418" customWidth="1"/>
    <col min="26" max="26" width="14.140625" style="417" customWidth="1"/>
    <col min="27" max="27" width="11.42578125" style="417"/>
    <col min="28" max="28" width="13.42578125" style="417" customWidth="1"/>
    <col min="29" max="29" width="15.28515625" style="417" customWidth="1"/>
    <col min="30" max="30" width="31.85546875" style="417" customWidth="1"/>
    <col min="31" max="31" width="5" style="417" bestFit="1" customWidth="1"/>
    <col min="32" max="32" width="6.42578125" style="417" bestFit="1" customWidth="1"/>
    <col min="33" max="33" width="5.42578125" style="417" bestFit="1" customWidth="1"/>
    <col min="34" max="34" width="4.28515625" style="417" bestFit="1" customWidth="1"/>
    <col min="35" max="35" width="5" style="417" bestFit="1" customWidth="1"/>
    <col min="36" max="36" width="4.5703125" style="417" bestFit="1" customWidth="1"/>
    <col min="37" max="37" width="4.140625" style="417" bestFit="1" customWidth="1"/>
    <col min="38" max="38" width="5.85546875" style="417" bestFit="1" customWidth="1"/>
    <col min="39" max="39" width="9.140625" style="417" bestFit="1" customWidth="1"/>
    <col min="40" max="40" width="6.5703125" style="417" bestFit="1" customWidth="1"/>
    <col min="41" max="41" width="8.85546875" style="417" bestFit="1" customWidth="1"/>
    <col min="42" max="42" width="8.28515625" style="417" bestFit="1" customWidth="1"/>
    <col min="43" max="256" width="11.42578125" style="417"/>
    <col min="257" max="257" width="14.42578125" style="417" customWidth="1"/>
    <col min="258" max="258" width="23.140625" style="417" customWidth="1"/>
    <col min="259" max="259" width="20.5703125" style="417" customWidth="1"/>
    <col min="260" max="260" width="15.85546875" style="417" customWidth="1"/>
    <col min="261" max="261" width="20.140625" style="417" customWidth="1"/>
    <col min="262" max="262" width="15.140625" style="417" customWidth="1"/>
    <col min="263" max="263" width="21.42578125" style="417" customWidth="1"/>
    <col min="264" max="264" width="20" style="417" customWidth="1"/>
    <col min="265" max="265" width="21.140625" style="417" customWidth="1"/>
    <col min="266" max="266" width="19.42578125" style="417" customWidth="1"/>
    <col min="267" max="267" width="20.85546875" style="417" customWidth="1"/>
    <col min="268" max="268" width="17.42578125" style="417" customWidth="1"/>
    <col min="269" max="269" width="17.85546875" style="417" customWidth="1"/>
    <col min="270" max="270" width="18.7109375" style="417" customWidth="1"/>
    <col min="271" max="271" width="17.5703125" style="417" customWidth="1"/>
    <col min="272" max="272" width="17.28515625" style="417" customWidth="1"/>
    <col min="273" max="273" width="20" style="417" customWidth="1"/>
    <col min="274" max="274" width="18.28515625" style="417" customWidth="1"/>
    <col min="275" max="275" width="18" style="417" customWidth="1"/>
    <col min="276" max="276" width="21.28515625" style="417" customWidth="1"/>
    <col min="277" max="277" width="14.7109375" style="417" customWidth="1"/>
    <col min="278" max="278" width="17.140625" style="417" customWidth="1"/>
    <col min="279" max="279" width="19.7109375" style="417" customWidth="1"/>
    <col min="280" max="280" width="18.5703125" style="417" customWidth="1"/>
    <col min="281" max="281" width="14.42578125" style="417" customWidth="1"/>
    <col min="282" max="282" width="14.140625" style="417" customWidth="1"/>
    <col min="283" max="283" width="11.42578125" style="417"/>
    <col min="284" max="284" width="13.42578125" style="417" customWidth="1"/>
    <col min="285" max="285" width="15.28515625" style="417" customWidth="1"/>
    <col min="286" max="286" width="31.85546875" style="417" customWidth="1"/>
    <col min="287" max="287" width="5" style="417" bestFit="1" customWidth="1"/>
    <col min="288" max="288" width="6.42578125" style="417" bestFit="1" customWidth="1"/>
    <col min="289" max="289" width="5.42578125" style="417" bestFit="1" customWidth="1"/>
    <col min="290" max="290" width="4.28515625" style="417" bestFit="1" customWidth="1"/>
    <col min="291" max="291" width="5" style="417" bestFit="1" customWidth="1"/>
    <col min="292" max="292" width="4.5703125" style="417" bestFit="1" customWidth="1"/>
    <col min="293" max="293" width="4.140625" style="417" bestFit="1" customWidth="1"/>
    <col min="294" max="294" width="5.85546875" style="417" bestFit="1" customWidth="1"/>
    <col min="295" max="295" width="9.140625" style="417" bestFit="1" customWidth="1"/>
    <col min="296" max="296" width="6.5703125" style="417" bestFit="1" customWidth="1"/>
    <col min="297" max="297" width="8.85546875" style="417" bestFit="1" customWidth="1"/>
    <col min="298" max="298" width="8.28515625" style="417" bestFit="1" customWidth="1"/>
    <col min="299" max="512" width="11.42578125" style="417"/>
    <col min="513" max="513" width="14.42578125" style="417" customWidth="1"/>
    <col min="514" max="514" width="23.140625" style="417" customWidth="1"/>
    <col min="515" max="515" width="20.5703125" style="417" customWidth="1"/>
    <col min="516" max="516" width="15.85546875" style="417" customWidth="1"/>
    <col min="517" max="517" width="20.140625" style="417" customWidth="1"/>
    <col min="518" max="518" width="15.140625" style="417" customWidth="1"/>
    <col min="519" max="519" width="21.42578125" style="417" customWidth="1"/>
    <col min="520" max="520" width="20" style="417" customWidth="1"/>
    <col min="521" max="521" width="21.140625" style="417" customWidth="1"/>
    <col min="522" max="522" width="19.42578125" style="417" customWidth="1"/>
    <col min="523" max="523" width="20.85546875" style="417" customWidth="1"/>
    <col min="524" max="524" width="17.42578125" style="417" customWidth="1"/>
    <col min="525" max="525" width="17.85546875" style="417" customWidth="1"/>
    <col min="526" max="526" width="18.7109375" style="417" customWidth="1"/>
    <col min="527" max="527" width="17.5703125" style="417" customWidth="1"/>
    <col min="528" max="528" width="17.28515625" style="417" customWidth="1"/>
    <col min="529" max="529" width="20" style="417" customWidth="1"/>
    <col min="530" max="530" width="18.28515625" style="417" customWidth="1"/>
    <col min="531" max="531" width="18" style="417" customWidth="1"/>
    <col min="532" max="532" width="21.28515625" style="417" customWidth="1"/>
    <col min="533" max="533" width="14.7109375" style="417" customWidth="1"/>
    <col min="534" max="534" width="17.140625" style="417" customWidth="1"/>
    <col min="535" max="535" width="19.7109375" style="417" customWidth="1"/>
    <col min="536" max="536" width="18.5703125" style="417" customWidth="1"/>
    <col min="537" max="537" width="14.42578125" style="417" customWidth="1"/>
    <col min="538" max="538" width="14.140625" style="417" customWidth="1"/>
    <col min="539" max="539" width="11.42578125" style="417"/>
    <col min="540" max="540" width="13.42578125" style="417" customWidth="1"/>
    <col min="541" max="541" width="15.28515625" style="417" customWidth="1"/>
    <col min="542" max="542" width="31.85546875" style="417" customWidth="1"/>
    <col min="543" max="543" width="5" style="417" bestFit="1" customWidth="1"/>
    <col min="544" max="544" width="6.42578125" style="417" bestFit="1" customWidth="1"/>
    <col min="545" max="545" width="5.42578125" style="417" bestFit="1" customWidth="1"/>
    <col min="546" max="546" width="4.28515625" style="417" bestFit="1" customWidth="1"/>
    <col min="547" max="547" width="5" style="417" bestFit="1" customWidth="1"/>
    <col min="548" max="548" width="4.5703125" style="417" bestFit="1" customWidth="1"/>
    <col min="549" max="549" width="4.140625" style="417" bestFit="1" customWidth="1"/>
    <col min="550" max="550" width="5.85546875" style="417" bestFit="1" customWidth="1"/>
    <col min="551" max="551" width="9.140625" style="417" bestFit="1" customWidth="1"/>
    <col min="552" max="552" width="6.5703125" style="417" bestFit="1" customWidth="1"/>
    <col min="553" max="553" width="8.85546875" style="417" bestFit="1" customWidth="1"/>
    <col min="554" max="554" width="8.28515625" style="417" bestFit="1" customWidth="1"/>
    <col min="555" max="768" width="11.42578125" style="417"/>
    <col min="769" max="769" width="14.42578125" style="417" customWidth="1"/>
    <col min="770" max="770" width="23.140625" style="417" customWidth="1"/>
    <col min="771" max="771" width="20.5703125" style="417" customWidth="1"/>
    <col min="772" max="772" width="15.85546875" style="417" customWidth="1"/>
    <col min="773" max="773" width="20.140625" style="417" customWidth="1"/>
    <col min="774" max="774" width="15.140625" style="417" customWidth="1"/>
    <col min="775" max="775" width="21.42578125" style="417" customWidth="1"/>
    <col min="776" max="776" width="20" style="417" customWidth="1"/>
    <col min="777" max="777" width="21.140625" style="417" customWidth="1"/>
    <col min="778" max="778" width="19.42578125" style="417" customWidth="1"/>
    <col min="779" max="779" width="20.85546875" style="417" customWidth="1"/>
    <col min="780" max="780" width="17.42578125" style="417" customWidth="1"/>
    <col min="781" max="781" width="17.85546875" style="417" customWidth="1"/>
    <col min="782" max="782" width="18.7109375" style="417" customWidth="1"/>
    <col min="783" max="783" width="17.5703125" style="417" customWidth="1"/>
    <col min="784" max="784" width="17.28515625" style="417" customWidth="1"/>
    <col min="785" max="785" width="20" style="417" customWidth="1"/>
    <col min="786" max="786" width="18.28515625" style="417" customWidth="1"/>
    <col min="787" max="787" width="18" style="417" customWidth="1"/>
    <col min="788" max="788" width="21.28515625" style="417" customWidth="1"/>
    <col min="789" max="789" width="14.7109375" style="417" customWidth="1"/>
    <col min="790" max="790" width="17.140625" style="417" customWidth="1"/>
    <col min="791" max="791" width="19.7109375" style="417" customWidth="1"/>
    <col min="792" max="792" width="18.5703125" style="417" customWidth="1"/>
    <col min="793" max="793" width="14.42578125" style="417" customWidth="1"/>
    <col min="794" max="794" width="14.140625" style="417" customWidth="1"/>
    <col min="795" max="795" width="11.42578125" style="417"/>
    <col min="796" max="796" width="13.42578125" style="417" customWidth="1"/>
    <col min="797" max="797" width="15.28515625" style="417" customWidth="1"/>
    <col min="798" max="798" width="31.85546875" style="417" customWidth="1"/>
    <col min="799" max="799" width="5" style="417" bestFit="1" customWidth="1"/>
    <col min="800" max="800" width="6.42578125" style="417" bestFit="1" customWidth="1"/>
    <col min="801" max="801" width="5.42578125" style="417" bestFit="1" customWidth="1"/>
    <col min="802" max="802" width="4.28515625" style="417" bestFit="1" customWidth="1"/>
    <col min="803" max="803" width="5" style="417" bestFit="1" customWidth="1"/>
    <col min="804" max="804" width="4.5703125" style="417" bestFit="1" customWidth="1"/>
    <col min="805" max="805" width="4.140625" style="417" bestFit="1" customWidth="1"/>
    <col min="806" max="806" width="5.85546875" style="417" bestFit="1" customWidth="1"/>
    <col min="807" max="807" width="9.140625" style="417" bestFit="1" customWidth="1"/>
    <col min="808" max="808" width="6.5703125" style="417" bestFit="1" customWidth="1"/>
    <col min="809" max="809" width="8.85546875" style="417" bestFit="1" customWidth="1"/>
    <col min="810" max="810" width="8.28515625" style="417" bestFit="1" customWidth="1"/>
    <col min="811" max="1024" width="11.42578125" style="417"/>
    <col min="1025" max="1025" width="14.42578125" style="417" customWidth="1"/>
    <col min="1026" max="1026" width="23.140625" style="417" customWidth="1"/>
    <col min="1027" max="1027" width="20.5703125" style="417" customWidth="1"/>
    <col min="1028" max="1028" width="15.85546875" style="417" customWidth="1"/>
    <col min="1029" max="1029" width="20.140625" style="417" customWidth="1"/>
    <col min="1030" max="1030" width="15.140625" style="417" customWidth="1"/>
    <col min="1031" max="1031" width="21.42578125" style="417" customWidth="1"/>
    <col min="1032" max="1032" width="20" style="417" customWidth="1"/>
    <col min="1033" max="1033" width="21.140625" style="417" customWidth="1"/>
    <col min="1034" max="1034" width="19.42578125" style="417" customWidth="1"/>
    <col min="1035" max="1035" width="20.85546875" style="417" customWidth="1"/>
    <col min="1036" max="1036" width="17.42578125" style="417" customWidth="1"/>
    <col min="1037" max="1037" width="17.85546875" style="417" customWidth="1"/>
    <col min="1038" max="1038" width="18.7109375" style="417" customWidth="1"/>
    <col min="1039" max="1039" width="17.5703125" style="417" customWidth="1"/>
    <col min="1040" max="1040" width="17.28515625" style="417" customWidth="1"/>
    <col min="1041" max="1041" width="20" style="417" customWidth="1"/>
    <col min="1042" max="1042" width="18.28515625" style="417" customWidth="1"/>
    <col min="1043" max="1043" width="18" style="417" customWidth="1"/>
    <col min="1044" max="1044" width="21.28515625" style="417" customWidth="1"/>
    <col min="1045" max="1045" width="14.7109375" style="417" customWidth="1"/>
    <col min="1046" max="1046" width="17.140625" style="417" customWidth="1"/>
    <col min="1047" max="1047" width="19.7109375" style="417" customWidth="1"/>
    <col min="1048" max="1048" width="18.5703125" style="417" customWidth="1"/>
    <col min="1049" max="1049" width="14.42578125" style="417" customWidth="1"/>
    <col min="1050" max="1050" width="14.140625" style="417" customWidth="1"/>
    <col min="1051" max="1051" width="11.42578125" style="417"/>
    <col min="1052" max="1052" width="13.42578125" style="417" customWidth="1"/>
    <col min="1053" max="1053" width="15.28515625" style="417" customWidth="1"/>
    <col min="1054" max="1054" width="31.85546875" style="417" customWidth="1"/>
    <col min="1055" max="1055" width="5" style="417" bestFit="1" customWidth="1"/>
    <col min="1056" max="1056" width="6.42578125" style="417" bestFit="1" customWidth="1"/>
    <col min="1057" max="1057" width="5.42578125" style="417" bestFit="1" customWidth="1"/>
    <col min="1058" max="1058" width="4.28515625" style="417" bestFit="1" customWidth="1"/>
    <col min="1059" max="1059" width="5" style="417" bestFit="1" customWidth="1"/>
    <col min="1060" max="1060" width="4.5703125" style="417" bestFit="1" customWidth="1"/>
    <col min="1061" max="1061" width="4.140625" style="417" bestFit="1" customWidth="1"/>
    <col min="1062" max="1062" width="5.85546875" style="417" bestFit="1" customWidth="1"/>
    <col min="1063" max="1063" width="9.140625" style="417" bestFit="1" customWidth="1"/>
    <col min="1064" max="1064" width="6.5703125" style="417" bestFit="1" customWidth="1"/>
    <col min="1065" max="1065" width="8.85546875" style="417" bestFit="1" customWidth="1"/>
    <col min="1066" max="1066" width="8.28515625" style="417" bestFit="1" customWidth="1"/>
    <col min="1067" max="1280" width="11.42578125" style="417"/>
    <col min="1281" max="1281" width="14.42578125" style="417" customWidth="1"/>
    <col min="1282" max="1282" width="23.140625" style="417" customWidth="1"/>
    <col min="1283" max="1283" width="20.5703125" style="417" customWidth="1"/>
    <col min="1284" max="1284" width="15.85546875" style="417" customWidth="1"/>
    <col min="1285" max="1285" width="20.140625" style="417" customWidth="1"/>
    <col min="1286" max="1286" width="15.140625" style="417" customWidth="1"/>
    <col min="1287" max="1287" width="21.42578125" style="417" customWidth="1"/>
    <col min="1288" max="1288" width="20" style="417" customWidth="1"/>
    <col min="1289" max="1289" width="21.140625" style="417" customWidth="1"/>
    <col min="1290" max="1290" width="19.42578125" style="417" customWidth="1"/>
    <col min="1291" max="1291" width="20.85546875" style="417" customWidth="1"/>
    <col min="1292" max="1292" width="17.42578125" style="417" customWidth="1"/>
    <col min="1293" max="1293" width="17.85546875" style="417" customWidth="1"/>
    <col min="1294" max="1294" width="18.7109375" style="417" customWidth="1"/>
    <col min="1295" max="1295" width="17.5703125" style="417" customWidth="1"/>
    <col min="1296" max="1296" width="17.28515625" style="417" customWidth="1"/>
    <col min="1297" max="1297" width="20" style="417" customWidth="1"/>
    <col min="1298" max="1298" width="18.28515625" style="417" customWidth="1"/>
    <col min="1299" max="1299" width="18" style="417" customWidth="1"/>
    <col min="1300" max="1300" width="21.28515625" style="417" customWidth="1"/>
    <col min="1301" max="1301" width="14.7109375" style="417" customWidth="1"/>
    <col min="1302" max="1302" width="17.140625" style="417" customWidth="1"/>
    <col min="1303" max="1303" width="19.7109375" style="417" customWidth="1"/>
    <col min="1304" max="1304" width="18.5703125" style="417" customWidth="1"/>
    <col min="1305" max="1305" width="14.42578125" style="417" customWidth="1"/>
    <col min="1306" max="1306" width="14.140625" style="417" customWidth="1"/>
    <col min="1307" max="1307" width="11.42578125" style="417"/>
    <col min="1308" max="1308" width="13.42578125" style="417" customWidth="1"/>
    <col min="1309" max="1309" width="15.28515625" style="417" customWidth="1"/>
    <col min="1310" max="1310" width="31.85546875" style="417" customWidth="1"/>
    <col min="1311" max="1311" width="5" style="417" bestFit="1" customWidth="1"/>
    <col min="1312" max="1312" width="6.42578125" style="417" bestFit="1" customWidth="1"/>
    <col min="1313" max="1313" width="5.42578125" style="417" bestFit="1" customWidth="1"/>
    <col min="1314" max="1314" width="4.28515625" style="417" bestFit="1" customWidth="1"/>
    <col min="1315" max="1315" width="5" style="417" bestFit="1" customWidth="1"/>
    <col min="1316" max="1316" width="4.5703125" style="417" bestFit="1" customWidth="1"/>
    <col min="1317" max="1317" width="4.140625" style="417" bestFit="1" customWidth="1"/>
    <col min="1318" max="1318" width="5.85546875" style="417" bestFit="1" customWidth="1"/>
    <col min="1319" max="1319" width="9.140625" style="417" bestFit="1" customWidth="1"/>
    <col min="1320" max="1320" width="6.5703125" style="417" bestFit="1" customWidth="1"/>
    <col min="1321" max="1321" width="8.85546875" style="417" bestFit="1" customWidth="1"/>
    <col min="1322" max="1322" width="8.28515625" style="417" bestFit="1" customWidth="1"/>
    <col min="1323" max="1536" width="11.42578125" style="417"/>
    <col min="1537" max="1537" width="14.42578125" style="417" customWidth="1"/>
    <col min="1538" max="1538" width="23.140625" style="417" customWidth="1"/>
    <col min="1539" max="1539" width="20.5703125" style="417" customWidth="1"/>
    <col min="1540" max="1540" width="15.85546875" style="417" customWidth="1"/>
    <col min="1541" max="1541" width="20.140625" style="417" customWidth="1"/>
    <col min="1542" max="1542" width="15.140625" style="417" customWidth="1"/>
    <col min="1543" max="1543" width="21.42578125" style="417" customWidth="1"/>
    <col min="1544" max="1544" width="20" style="417" customWidth="1"/>
    <col min="1545" max="1545" width="21.140625" style="417" customWidth="1"/>
    <col min="1546" max="1546" width="19.42578125" style="417" customWidth="1"/>
    <col min="1547" max="1547" width="20.85546875" style="417" customWidth="1"/>
    <col min="1548" max="1548" width="17.42578125" style="417" customWidth="1"/>
    <col min="1549" max="1549" width="17.85546875" style="417" customWidth="1"/>
    <col min="1550" max="1550" width="18.7109375" style="417" customWidth="1"/>
    <col min="1551" max="1551" width="17.5703125" style="417" customWidth="1"/>
    <col min="1552" max="1552" width="17.28515625" style="417" customWidth="1"/>
    <col min="1553" max="1553" width="20" style="417" customWidth="1"/>
    <col min="1554" max="1554" width="18.28515625" style="417" customWidth="1"/>
    <col min="1555" max="1555" width="18" style="417" customWidth="1"/>
    <col min="1556" max="1556" width="21.28515625" style="417" customWidth="1"/>
    <col min="1557" max="1557" width="14.7109375" style="417" customWidth="1"/>
    <col min="1558" max="1558" width="17.140625" style="417" customWidth="1"/>
    <col min="1559" max="1559" width="19.7109375" style="417" customWidth="1"/>
    <col min="1560" max="1560" width="18.5703125" style="417" customWidth="1"/>
    <col min="1561" max="1561" width="14.42578125" style="417" customWidth="1"/>
    <col min="1562" max="1562" width="14.140625" style="417" customWidth="1"/>
    <col min="1563" max="1563" width="11.42578125" style="417"/>
    <col min="1564" max="1564" width="13.42578125" style="417" customWidth="1"/>
    <col min="1565" max="1565" width="15.28515625" style="417" customWidth="1"/>
    <col min="1566" max="1566" width="31.85546875" style="417" customWidth="1"/>
    <col min="1567" max="1567" width="5" style="417" bestFit="1" customWidth="1"/>
    <col min="1568" max="1568" width="6.42578125" style="417" bestFit="1" customWidth="1"/>
    <col min="1569" max="1569" width="5.42578125" style="417" bestFit="1" customWidth="1"/>
    <col min="1570" max="1570" width="4.28515625" style="417" bestFit="1" customWidth="1"/>
    <col min="1571" max="1571" width="5" style="417" bestFit="1" customWidth="1"/>
    <col min="1572" max="1572" width="4.5703125" style="417" bestFit="1" customWidth="1"/>
    <col min="1573" max="1573" width="4.140625" style="417" bestFit="1" customWidth="1"/>
    <col min="1574" max="1574" width="5.85546875" style="417" bestFit="1" customWidth="1"/>
    <col min="1575" max="1575" width="9.140625" style="417" bestFit="1" customWidth="1"/>
    <col min="1576" max="1576" width="6.5703125" style="417" bestFit="1" customWidth="1"/>
    <col min="1577" max="1577" width="8.85546875" style="417" bestFit="1" customWidth="1"/>
    <col min="1578" max="1578" width="8.28515625" style="417" bestFit="1" customWidth="1"/>
    <col min="1579" max="1792" width="11.42578125" style="417"/>
    <col min="1793" max="1793" width="14.42578125" style="417" customWidth="1"/>
    <col min="1794" max="1794" width="23.140625" style="417" customWidth="1"/>
    <col min="1795" max="1795" width="20.5703125" style="417" customWidth="1"/>
    <col min="1796" max="1796" width="15.85546875" style="417" customWidth="1"/>
    <col min="1797" max="1797" width="20.140625" style="417" customWidth="1"/>
    <col min="1798" max="1798" width="15.140625" style="417" customWidth="1"/>
    <col min="1799" max="1799" width="21.42578125" style="417" customWidth="1"/>
    <col min="1800" max="1800" width="20" style="417" customWidth="1"/>
    <col min="1801" max="1801" width="21.140625" style="417" customWidth="1"/>
    <col min="1802" max="1802" width="19.42578125" style="417" customWidth="1"/>
    <col min="1803" max="1803" width="20.85546875" style="417" customWidth="1"/>
    <col min="1804" max="1804" width="17.42578125" style="417" customWidth="1"/>
    <col min="1805" max="1805" width="17.85546875" style="417" customWidth="1"/>
    <col min="1806" max="1806" width="18.7109375" style="417" customWidth="1"/>
    <col min="1807" max="1807" width="17.5703125" style="417" customWidth="1"/>
    <col min="1808" max="1808" width="17.28515625" style="417" customWidth="1"/>
    <col min="1809" max="1809" width="20" style="417" customWidth="1"/>
    <col min="1810" max="1810" width="18.28515625" style="417" customWidth="1"/>
    <col min="1811" max="1811" width="18" style="417" customWidth="1"/>
    <col min="1812" max="1812" width="21.28515625" style="417" customWidth="1"/>
    <col min="1813" max="1813" width="14.7109375" style="417" customWidth="1"/>
    <col min="1814" max="1814" width="17.140625" style="417" customWidth="1"/>
    <col min="1815" max="1815" width="19.7109375" style="417" customWidth="1"/>
    <col min="1816" max="1816" width="18.5703125" style="417" customWidth="1"/>
    <col min="1817" max="1817" width="14.42578125" style="417" customWidth="1"/>
    <col min="1818" max="1818" width="14.140625" style="417" customWidth="1"/>
    <col min="1819" max="1819" width="11.42578125" style="417"/>
    <col min="1820" max="1820" width="13.42578125" style="417" customWidth="1"/>
    <col min="1821" max="1821" width="15.28515625" style="417" customWidth="1"/>
    <col min="1822" max="1822" width="31.85546875" style="417" customWidth="1"/>
    <col min="1823" max="1823" width="5" style="417" bestFit="1" customWidth="1"/>
    <col min="1824" max="1824" width="6.42578125" style="417" bestFit="1" customWidth="1"/>
    <col min="1825" max="1825" width="5.42578125" style="417" bestFit="1" customWidth="1"/>
    <col min="1826" max="1826" width="4.28515625" style="417" bestFit="1" customWidth="1"/>
    <col min="1827" max="1827" width="5" style="417" bestFit="1" customWidth="1"/>
    <col min="1828" max="1828" width="4.5703125" style="417" bestFit="1" customWidth="1"/>
    <col min="1829" max="1829" width="4.140625" style="417" bestFit="1" customWidth="1"/>
    <col min="1830" max="1830" width="5.85546875" style="417" bestFit="1" customWidth="1"/>
    <col min="1831" max="1831" width="9.140625" style="417" bestFit="1" customWidth="1"/>
    <col min="1832" max="1832" width="6.5703125" style="417" bestFit="1" customWidth="1"/>
    <col min="1833" max="1833" width="8.85546875" style="417" bestFit="1" customWidth="1"/>
    <col min="1834" max="1834" width="8.28515625" style="417" bestFit="1" customWidth="1"/>
    <col min="1835" max="2048" width="11.42578125" style="417"/>
    <col min="2049" max="2049" width="14.42578125" style="417" customWidth="1"/>
    <col min="2050" max="2050" width="23.140625" style="417" customWidth="1"/>
    <col min="2051" max="2051" width="20.5703125" style="417" customWidth="1"/>
    <col min="2052" max="2052" width="15.85546875" style="417" customWidth="1"/>
    <col min="2053" max="2053" width="20.140625" style="417" customWidth="1"/>
    <col min="2054" max="2054" width="15.140625" style="417" customWidth="1"/>
    <col min="2055" max="2055" width="21.42578125" style="417" customWidth="1"/>
    <col min="2056" max="2056" width="20" style="417" customWidth="1"/>
    <col min="2057" max="2057" width="21.140625" style="417" customWidth="1"/>
    <col min="2058" max="2058" width="19.42578125" style="417" customWidth="1"/>
    <col min="2059" max="2059" width="20.85546875" style="417" customWidth="1"/>
    <col min="2060" max="2060" width="17.42578125" style="417" customWidth="1"/>
    <col min="2061" max="2061" width="17.85546875" style="417" customWidth="1"/>
    <col min="2062" max="2062" width="18.7109375" style="417" customWidth="1"/>
    <col min="2063" max="2063" width="17.5703125" style="417" customWidth="1"/>
    <col min="2064" max="2064" width="17.28515625" style="417" customWidth="1"/>
    <col min="2065" max="2065" width="20" style="417" customWidth="1"/>
    <col min="2066" max="2066" width="18.28515625" style="417" customWidth="1"/>
    <col min="2067" max="2067" width="18" style="417" customWidth="1"/>
    <col min="2068" max="2068" width="21.28515625" style="417" customWidth="1"/>
    <col min="2069" max="2069" width="14.7109375" style="417" customWidth="1"/>
    <col min="2070" max="2070" width="17.140625" style="417" customWidth="1"/>
    <col min="2071" max="2071" width="19.7109375" style="417" customWidth="1"/>
    <col min="2072" max="2072" width="18.5703125" style="417" customWidth="1"/>
    <col min="2073" max="2073" width="14.42578125" style="417" customWidth="1"/>
    <col min="2074" max="2074" width="14.140625" style="417" customWidth="1"/>
    <col min="2075" max="2075" width="11.42578125" style="417"/>
    <col min="2076" max="2076" width="13.42578125" style="417" customWidth="1"/>
    <col min="2077" max="2077" width="15.28515625" style="417" customWidth="1"/>
    <col min="2078" max="2078" width="31.85546875" style="417" customWidth="1"/>
    <col min="2079" max="2079" width="5" style="417" bestFit="1" customWidth="1"/>
    <col min="2080" max="2080" width="6.42578125" style="417" bestFit="1" customWidth="1"/>
    <col min="2081" max="2081" width="5.42578125" style="417" bestFit="1" customWidth="1"/>
    <col min="2082" max="2082" width="4.28515625" style="417" bestFit="1" customWidth="1"/>
    <col min="2083" max="2083" width="5" style="417" bestFit="1" customWidth="1"/>
    <col min="2084" max="2084" width="4.5703125" style="417" bestFit="1" customWidth="1"/>
    <col min="2085" max="2085" width="4.140625" style="417" bestFit="1" customWidth="1"/>
    <col min="2086" max="2086" width="5.85546875" style="417" bestFit="1" customWidth="1"/>
    <col min="2087" max="2087" width="9.140625" style="417" bestFit="1" customWidth="1"/>
    <col min="2088" max="2088" width="6.5703125" style="417" bestFit="1" customWidth="1"/>
    <col min="2089" max="2089" width="8.85546875" style="417" bestFit="1" customWidth="1"/>
    <col min="2090" max="2090" width="8.28515625" style="417" bestFit="1" customWidth="1"/>
    <col min="2091" max="2304" width="11.42578125" style="417"/>
    <col min="2305" max="2305" width="14.42578125" style="417" customWidth="1"/>
    <col min="2306" max="2306" width="23.140625" style="417" customWidth="1"/>
    <col min="2307" max="2307" width="20.5703125" style="417" customWidth="1"/>
    <col min="2308" max="2308" width="15.85546875" style="417" customWidth="1"/>
    <col min="2309" max="2309" width="20.140625" style="417" customWidth="1"/>
    <col min="2310" max="2310" width="15.140625" style="417" customWidth="1"/>
    <col min="2311" max="2311" width="21.42578125" style="417" customWidth="1"/>
    <col min="2312" max="2312" width="20" style="417" customWidth="1"/>
    <col min="2313" max="2313" width="21.140625" style="417" customWidth="1"/>
    <col min="2314" max="2314" width="19.42578125" style="417" customWidth="1"/>
    <col min="2315" max="2315" width="20.85546875" style="417" customWidth="1"/>
    <col min="2316" max="2316" width="17.42578125" style="417" customWidth="1"/>
    <col min="2317" max="2317" width="17.85546875" style="417" customWidth="1"/>
    <col min="2318" max="2318" width="18.7109375" style="417" customWidth="1"/>
    <col min="2319" max="2319" width="17.5703125" style="417" customWidth="1"/>
    <col min="2320" max="2320" width="17.28515625" style="417" customWidth="1"/>
    <col min="2321" max="2321" width="20" style="417" customWidth="1"/>
    <col min="2322" max="2322" width="18.28515625" style="417" customWidth="1"/>
    <col min="2323" max="2323" width="18" style="417" customWidth="1"/>
    <col min="2324" max="2324" width="21.28515625" style="417" customWidth="1"/>
    <col min="2325" max="2325" width="14.7109375" style="417" customWidth="1"/>
    <col min="2326" max="2326" width="17.140625" style="417" customWidth="1"/>
    <col min="2327" max="2327" width="19.7109375" style="417" customWidth="1"/>
    <col min="2328" max="2328" width="18.5703125" style="417" customWidth="1"/>
    <col min="2329" max="2329" width="14.42578125" style="417" customWidth="1"/>
    <col min="2330" max="2330" width="14.140625" style="417" customWidth="1"/>
    <col min="2331" max="2331" width="11.42578125" style="417"/>
    <col min="2332" max="2332" width="13.42578125" style="417" customWidth="1"/>
    <col min="2333" max="2333" width="15.28515625" style="417" customWidth="1"/>
    <col min="2334" max="2334" width="31.85546875" style="417" customWidth="1"/>
    <col min="2335" max="2335" width="5" style="417" bestFit="1" customWidth="1"/>
    <col min="2336" max="2336" width="6.42578125" style="417" bestFit="1" customWidth="1"/>
    <col min="2337" max="2337" width="5.42578125" style="417" bestFit="1" customWidth="1"/>
    <col min="2338" max="2338" width="4.28515625" style="417" bestFit="1" customWidth="1"/>
    <col min="2339" max="2339" width="5" style="417" bestFit="1" customWidth="1"/>
    <col min="2340" max="2340" width="4.5703125" style="417" bestFit="1" customWidth="1"/>
    <col min="2341" max="2341" width="4.140625" style="417" bestFit="1" customWidth="1"/>
    <col min="2342" max="2342" width="5.85546875" style="417" bestFit="1" customWidth="1"/>
    <col min="2343" max="2343" width="9.140625" style="417" bestFit="1" customWidth="1"/>
    <col min="2344" max="2344" width="6.5703125" style="417" bestFit="1" customWidth="1"/>
    <col min="2345" max="2345" width="8.85546875" style="417" bestFit="1" customWidth="1"/>
    <col min="2346" max="2346" width="8.28515625" style="417" bestFit="1" customWidth="1"/>
    <col min="2347" max="2560" width="11.42578125" style="417"/>
    <col min="2561" max="2561" width="14.42578125" style="417" customWidth="1"/>
    <col min="2562" max="2562" width="23.140625" style="417" customWidth="1"/>
    <col min="2563" max="2563" width="20.5703125" style="417" customWidth="1"/>
    <col min="2564" max="2564" width="15.85546875" style="417" customWidth="1"/>
    <col min="2565" max="2565" width="20.140625" style="417" customWidth="1"/>
    <col min="2566" max="2566" width="15.140625" style="417" customWidth="1"/>
    <col min="2567" max="2567" width="21.42578125" style="417" customWidth="1"/>
    <col min="2568" max="2568" width="20" style="417" customWidth="1"/>
    <col min="2569" max="2569" width="21.140625" style="417" customWidth="1"/>
    <col min="2570" max="2570" width="19.42578125" style="417" customWidth="1"/>
    <col min="2571" max="2571" width="20.85546875" style="417" customWidth="1"/>
    <col min="2572" max="2572" width="17.42578125" style="417" customWidth="1"/>
    <col min="2573" max="2573" width="17.85546875" style="417" customWidth="1"/>
    <col min="2574" max="2574" width="18.7109375" style="417" customWidth="1"/>
    <col min="2575" max="2575" width="17.5703125" style="417" customWidth="1"/>
    <col min="2576" max="2576" width="17.28515625" style="417" customWidth="1"/>
    <col min="2577" max="2577" width="20" style="417" customWidth="1"/>
    <col min="2578" max="2578" width="18.28515625" style="417" customWidth="1"/>
    <col min="2579" max="2579" width="18" style="417" customWidth="1"/>
    <col min="2580" max="2580" width="21.28515625" style="417" customWidth="1"/>
    <col min="2581" max="2581" width="14.7109375" style="417" customWidth="1"/>
    <col min="2582" max="2582" width="17.140625" style="417" customWidth="1"/>
    <col min="2583" max="2583" width="19.7109375" style="417" customWidth="1"/>
    <col min="2584" max="2584" width="18.5703125" style="417" customWidth="1"/>
    <col min="2585" max="2585" width="14.42578125" style="417" customWidth="1"/>
    <col min="2586" max="2586" width="14.140625" style="417" customWidth="1"/>
    <col min="2587" max="2587" width="11.42578125" style="417"/>
    <col min="2588" max="2588" width="13.42578125" style="417" customWidth="1"/>
    <col min="2589" max="2589" width="15.28515625" style="417" customWidth="1"/>
    <col min="2590" max="2590" width="31.85546875" style="417" customWidth="1"/>
    <col min="2591" max="2591" width="5" style="417" bestFit="1" customWidth="1"/>
    <col min="2592" max="2592" width="6.42578125" style="417" bestFit="1" customWidth="1"/>
    <col min="2593" max="2593" width="5.42578125" style="417" bestFit="1" customWidth="1"/>
    <col min="2594" max="2594" width="4.28515625" style="417" bestFit="1" customWidth="1"/>
    <col min="2595" max="2595" width="5" style="417" bestFit="1" customWidth="1"/>
    <col min="2596" max="2596" width="4.5703125" style="417" bestFit="1" customWidth="1"/>
    <col min="2597" max="2597" width="4.140625" style="417" bestFit="1" customWidth="1"/>
    <col min="2598" max="2598" width="5.85546875" style="417" bestFit="1" customWidth="1"/>
    <col min="2599" max="2599" width="9.140625" style="417" bestFit="1" customWidth="1"/>
    <col min="2600" max="2600" width="6.5703125" style="417" bestFit="1" customWidth="1"/>
    <col min="2601" max="2601" width="8.85546875" style="417" bestFit="1" customWidth="1"/>
    <col min="2602" max="2602" width="8.28515625" style="417" bestFit="1" customWidth="1"/>
    <col min="2603" max="2816" width="11.42578125" style="417"/>
    <col min="2817" max="2817" width="14.42578125" style="417" customWidth="1"/>
    <col min="2818" max="2818" width="23.140625" style="417" customWidth="1"/>
    <col min="2819" max="2819" width="20.5703125" style="417" customWidth="1"/>
    <col min="2820" max="2820" width="15.85546875" style="417" customWidth="1"/>
    <col min="2821" max="2821" width="20.140625" style="417" customWidth="1"/>
    <col min="2822" max="2822" width="15.140625" style="417" customWidth="1"/>
    <col min="2823" max="2823" width="21.42578125" style="417" customWidth="1"/>
    <col min="2824" max="2824" width="20" style="417" customWidth="1"/>
    <col min="2825" max="2825" width="21.140625" style="417" customWidth="1"/>
    <col min="2826" max="2826" width="19.42578125" style="417" customWidth="1"/>
    <col min="2827" max="2827" width="20.85546875" style="417" customWidth="1"/>
    <col min="2828" max="2828" width="17.42578125" style="417" customWidth="1"/>
    <col min="2829" max="2829" width="17.85546875" style="417" customWidth="1"/>
    <col min="2830" max="2830" width="18.7109375" style="417" customWidth="1"/>
    <col min="2831" max="2831" width="17.5703125" style="417" customWidth="1"/>
    <col min="2832" max="2832" width="17.28515625" style="417" customWidth="1"/>
    <col min="2833" max="2833" width="20" style="417" customWidth="1"/>
    <col min="2834" max="2834" width="18.28515625" style="417" customWidth="1"/>
    <col min="2835" max="2835" width="18" style="417" customWidth="1"/>
    <col min="2836" max="2836" width="21.28515625" style="417" customWidth="1"/>
    <col min="2837" max="2837" width="14.7109375" style="417" customWidth="1"/>
    <col min="2838" max="2838" width="17.140625" style="417" customWidth="1"/>
    <col min="2839" max="2839" width="19.7109375" style="417" customWidth="1"/>
    <col min="2840" max="2840" width="18.5703125" style="417" customWidth="1"/>
    <col min="2841" max="2841" width="14.42578125" style="417" customWidth="1"/>
    <col min="2842" max="2842" width="14.140625" style="417" customWidth="1"/>
    <col min="2843" max="2843" width="11.42578125" style="417"/>
    <col min="2844" max="2844" width="13.42578125" style="417" customWidth="1"/>
    <col min="2845" max="2845" width="15.28515625" style="417" customWidth="1"/>
    <col min="2846" max="2846" width="31.85546875" style="417" customWidth="1"/>
    <col min="2847" max="2847" width="5" style="417" bestFit="1" customWidth="1"/>
    <col min="2848" max="2848" width="6.42578125" style="417" bestFit="1" customWidth="1"/>
    <col min="2849" max="2849" width="5.42578125" style="417" bestFit="1" customWidth="1"/>
    <col min="2850" max="2850" width="4.28515625" style="417" bestFit="1" customWidth="1"/>
    <col min="2851" max="2851" width="5" style="417" bestFit="1" customWidth="1"/>
    <col min="2852" max="2852" width="4.5703125" style="417" bestFit="1" customWidth="1"/>
    <col min="2853" max="2853" width="4.140625" style="417" bestFit="1" customWidth="1"/>
    <col min="2854" max="2854" width="5.85546875" style="417" bestFit="1" customWidth="1"/>
    <col min="2855" max="2855" width="9.140625" style="417" bestFit="1" customWidth="1"/>
    <col min="2856" max="2856" width="6.5703125" style="417" bestFit="1" customWidth="1"/>
    <col min="2857" max="2857" width="8.85546875" style="417" bestFit="1" customWidth="1"/>
    <col min="2858" max="2858" width="8.28515625" style="417" bestFit="1" customWidth="1"/>
    <col min="2859" max="3072" width="11.42578125" style="417"/>
    <col min="3073" max="3073" width="14.42578125" style="417" customWidth="1"/>
    <col min="3074" max="3074" width="23.140625" style="417" customWidth="1"/>
    <col min="3075" max="3075" width="20.5703125" style="417" customWidth="1"/>
    <col min="3076" max="3076" width="15.85546875" style="417" customWidth="1"/>
    <col min="3077" max="3077" width="20.140625" style="417" customWidth="1"/>
    <col min="3078" max="3078" width="15.140625" style="417" customWidth="1"/>
    <col min="3079" max="3079" width="21.42578125" style="417" customWidth="1"/>
    <col min="3080" max="3080" width="20" style="417" customWidth="1"/>
    <col min="3081" max="3081" width="21.140625" style="417" customWidth="1"/>
    <col min="3082" max="3082" width="19.42578125" style="417" customWidth="1"/>
    <col min="3083" max="3083" width="20.85546875" style="417" customWidth="1"/>
    <col min="3084" max="3084" width="17.42578125" style="417" customWidth="1"/>
    <col min="3085" max="3085" width="17.85546875" style="417" customWidth="1"/>
    <col min="3086" max="3086" width="18.7109375" style="417" customWidth="1"/>
    <col min="3087" max="3087" width="17.5703125" style="417" customWidth="1"/>
    <col min="3088" max="3088" width="17.28515625" style="417" customWidth="1"/>
    <col min="3089" max="3089" width="20" style="417" customWidth="1"/>
    <col min="3090" max="3090" width="18.28515625" style="417" customWidth="1"/>
    <col min="3091" max="3091" width="18" style="417" customWidth="1"/>
    <col min="3092" max="3092" width="21.28515625" style="417" customWidth="1"/>
    <col min="3093" max="3093" width="14.7109375" style="417" customWidth="1"/>
    <col min="3094" max="3094" width="17.140625" style="417" customWidth="1"/>
    <col min="3095" max="3095" width="19.7109375" style="417" customWidth="1"/>
    <col min="3096" max="3096" width="18.5703125" style="417" customWidth="1"/>
    <col min="3097" max="3097" width="14.42578125" style="417" customWidth="1"/>
    <col min="3098" max="3098" width="14.140625" style="417" customWidth="1"/>
    <col min="3099" max="3099" width="11.42578125" style="417"/>
    <col min="3100" max="3100" width="13.42578125" style="417" customWidth="1"/>
    <col min="3101" max="3101" width="15.28515625" style="417" customWidth="1"/>
    <col min="3102" max="3102" width="31.85546875" style="417" customWidth="1"/>
    <col min="3103" max="3103" width="5" style="417" bestFit="1" customWidth="1"/>
    <col min="3104" max="3104" width="6.42578125" style="417" bestFit="1" customWidth="1"/>
    <col min="3105" max="3105" width="5.42578125" style="417" bestFit="1" customWidth="1"/>
    <col min="3106" max="3106" width="4.28515625" style="417" bestFit="1" customWidth="1"/>
    <col min="3107" max="3107" width="5" style="417" bestFit="1" customWidth="1"/>
    <col min="3108" max="3108" width="4.5703125" style="417" bestFit="1" customWidth="1"/>
    <col min="3109" max="3109" width="4.140625" style="417" bestFit="1" customWidth="1"/>
    <col min="3110" max="3110" width="5.85546875" style="417" bestFit="1" customWidth="1"/>
    <col min="3111" max="3111" width="9.140625" style="417" bestFit="1" customWidth="1"/>
    <col min="3112" max="3112" width="6.5703125" style="417" bestFit="1" customWidth="1"/>
    <col min="3113" max="3113" width="8.85546875" style="417" bestFit="1" customWidth="1"/>
    <col min="3114" max="3114" width="8.28515625" style="417" bestFit="1" customWidth="1"/>
    <col min="3115" max="3328" width="11.42578125" style="417"/>
    <col min="3329" max="3329" width="14.42578125" style="417" customWidth="1"/>
    <col min="3330" max="3330" width="23.140625" style="417" customWidth="1"/>
    <col min="3331" max="3331" width="20.5703125" style="417" customWidth="1"/>
    <col min="3332" max="3332" width="15.85546875" style="417" customWidth="1"/>
    <col min="3333" max="3333" width="20.140625" style="417" customWidth="1"/>
    <col min="3334" max="3334" width="15.140625" style="417" customWidth="1"/>
    <col min="3335" max="3335" width="21.42578125" style="417" customWidth="1"/>
    <col min="3336" max="3336" width="20" style="417" customWidth="1"/>
    <col min="3337" max="3337" width="21.140625" style="417" customWidth="1"/>
    <col min="3338" max="3338" width="19.42578125" style="417" customWidth="1"/>
    <col min="3339" max="3339" width="20.85546875" style="417" customWidth="1"/>
    <col min="3340" max="3340" width="17.42578125" style="417" customWidth="1"/>
    <col min="3341" max="3341" width="17.85546875" style="417" customWidth="1"/>
    <col min="3342" max="3342" width="18.7109375" style="417" customWidth="1"/>
    <col min="3343" max="3343" width="17.5703125" style="417" customWidth="1"/>
    <col min="3344" max="3344" width="17.28515625" style="417" customWidth="1"/>
    <col min="3345" max="3345" width="20" style="417" customWidth="1"/>
    <col min="3346" max="3346" width="18.28515625" style="417" customWidth="1"/>
    <col min="3347" max="3347" width="18" style="417" customWidth="1"/>
    <col min="3348" max="3348" width="21.28515625" style="417" customWidth="1"/>
    <col min="3349" max="3349" width="14.7109375" style="417" customWidth="1"/>
    <col min="3350" max="3350" width="17.140625" style="417" customWidth="1"/>
    <col min="3351" max="3351" width="19.7109375" style="417" customWidth="1"/>
    <col min="3352" max="3352" width="18.5703125" style="417" customWidth="1"/>
    <col min="3353" max="3353" width="14.42578125" style="417" customWidth="1"/>
    <col min="3354" max="3354" width="14.140625" style="417" customWidth="1"/>
    <col min="3355" max="3355" width="11.42578125" style="417"/>
    <col min="3356" max="3356" width="13.42578125" style="417" customWidth="1"/>
    <col min="3357" max="3357" width="15.28515625" style="417" customWidth="1"/>
    <col min="3358" max="3358" width="31.85546875" style="417" customWidth="1"/>
    <col min="3359" max="3359" width="5" style="417" bestFit="1" customWidth="1"/>
    <col min="3360" max="3360" width="6.42578125" style="417" bestFit="1" customWidth="1"/>
    <col min="3361" max="3361" width="5.42578125" style="417" bestFit="1" customWidth="1"/>
    <col min="3362" max="3362" width="4.28515625" style="417" bestFit="1" customWidth="1"/>
    <col min="3363" max="3363" width="5" style="417" bestFit="1" customWidth="1"/>
    <col min="3364" max="3364" width="4.5703125" style="417" bestFit="1" customWidth="1"/>
    <col min="3365" max="3365" width="4.140625" style="417" bestFit="1" customWidth="1"/>
    <col min="3366" max="3366" width="5.85546875" style="417" bestFit="1" customWidth="1"/>
    <col min="3367" max="3367" width="9.140625" style="417" bestFit="1" customWidth="1"/>
    <col min="3368" max="3368" width="6.5703125" style="417" bestFit="1" customWidth="1"/>
    <col min="3369" max="3369" width="8.85546875" style="417" bestFit="1" customWidth="1"/>
    <col min="3370" max="3370" width="8.28515625" style="417" bestFit="1" customWidth="1"/>
    <col min="3371" max="3584" width="11.42578125" style="417"/>
    <col min="3585" max="3585" width="14.42578125" style="417" customWidth="1"/>
    <col min="3586" max="3586" width="23.140625" style="417" customWidth="1"/>
    <col min="3587" max="3587" width="20.5703125" style="417" customWidth="1"/>
    <col min="3588" max="3588" width="15.85546875" style="417" customWidth="1"/>
    <col min="3589" max="3589" width="20.140625" style="417" customWidth="1"/>
    <col min="3590" max="3590" width="15.140625" style="417" customWidth="1"/>
    <col min="3591" max="3591" width="21.42578125" style="417" customWidth="1"/>
    <col min="3592" max="3592" width="20" style="417" customWidth="1"/>
    <col min="3593" max="3593" width="21.140625" style="417" customWidth="1"/>
    <col min="3594" max="3594" width="19.42578125" style="417" customWidth="1"/>
    <col min="3595" max="3595" width="20.85546875" style="417" customWidth="1"/>
    <col min="3596" max="3596" width="17.42578125" style="417" customWidth="1"/>
    <col min="3597" max="3597" width="17.85546875" style="417" customWidth="1"/>
    <col min="3598" max="3598" width="18.7109375" style="417" customWidth="1"/>
    <col min="3599" max="3599" width="17.5703125" style="417" customWidth="1"/>
    <col min="3600" max="3600" width="17.28515625" style="417" customWidth="1"/>
    <col min="3601" max="3601" width="20" style="417" customWidth="1"/>
    <col min="3602" max="3602" width="18.28515625" style="417" customWidth="1"/>
    <col min="3603" max="3603" width="18" style="417" customWidth="1"/>
    <col min="3604" max="3604" width="21.28515625" style="417" customWidth="1"/>
    <col min="3605" max="3605" width="14.7109375" style="417" customWidth="1"/>
    <col min="3606" max="3606" width="17.140625" style="417" customWidth="1"/>
    <col min="3607" max="3607" width="19.7109375" style="417" customWidth="1"/>
    <col min="3608" max="3608" width="18.5703125" style="417" customWidth="1"/>
    <col min="3609" max="3609" width="14.42578125" style="417" customWidth="1"/>
    <col min="3610" max="3610" width="14.140625" style="417" customWidth="1"/>
    <col min="3611" max="3611" width="11.42578125" style="417"/>
    <col min="3612" max="3612" width="13.42578125" style="417" customWidth="1"/>
    <col min="3613" max="3613" width="15.28515625" style="417" customWidth="1"/>
    <col min="3614" max="3614" width="31.85546875" style="417" customWidth="1"/>
    <col min="3615" max="3615" width="5" style="417" bestFit="1" customWidth="1"/>
    <col min="3616" max="3616" width="6.42578125" style="417" bestFit="1" customWidth="1"/>
    <col min="3617" max="3617" width="5.42578125" style="417" bestFit="1" customWidth="1"/>
    <col min="3618" max="3618" width="4.28515625" style="417" bestFit="1" customWidth="1"/>
    <col min="3619" max="3619" width="5" style="417" bestFit="1" customWidth="1"/>
    <col min="3620" max="3620" width="4.5703125" style="417" bestFit="1" customWidth="1"/>
    <col min="3621" max="3621" width="4.140625" style="417" bestFit="1" customWidth="1"/>
    <col min="3622" max="3622" width="5.85546875" style="417" bestFit="1" customWidth="1"/>
    <col min="3623" max="3623" width="9.140625" style="417" bestFit="1" customWidth="1"/>
    <col min="3624" max="3624" width="6.5703125" style="417" bestFit="1" customWidth="1"/>
    <col min="3625" max="3625" width="8.85546875" style="417" bestFit="1" customWidth="1"/>
    <col min="3626" max="3626" width="8.28515625" style="417" bestFit="1" customWidth="1"/>
    <col min="3627" max="3840" width="11.42578125" style="417"/>
    <col min="3841" max="3841" width="14.42578125" style="417" customWidth="1"/>
    <col min="3842" max="3842" width="23.140625" style="417" customWidth="1"/>
    <col min="3843" max="3843" width="20.5703125" style="417" customWidth="1"/>
    <col min="3844" max="3844" width="15.85546875" style="417" customWidth="1"/>
    <col min="3845" max="3845" width="20.140625" style="417" customWidth="1"/>
    <col min="3846" max="3846" width="15.140625" style="417" customWidth="1"/>
    <col min="3847" max="3847" width="21.42578125" style="417" customWidth="1"/>
    <col min="3848" max="3848" width="20" style="417" customWidth="1"/>
    <col min="3849" max="3849" width="21.140625" style="417" customWidth="1"/>
    <col min="3850" max="3850" width="19.42578125" style="417" customWidth="1"/>
    <col min="3851" max="3851" width="20.85546875" style="417" customWidth="1"/>
    <col min="3852" max="3852" width="17.42578125" style="417" customWidth="1"/>
    <col min="3853" max="3853" width="17.85546875" style="417" customWidth="1"/>
    <col min="3854" max="3854" width="18.7109375" style="417" customWidth="1"/>
    <col min="3855" max="3855" width="17.5703125" style="417" customWidth="1"/>
    <col min="3856" max="3856" width="17.28515625" style="417" customWidth="1"/>
    <col min="3857" max="3857" width="20" style="417" customWidth="1"/>
    <col min="3858" max="3858" width="18.28515625" style="417" customWidth="1"/>
    <col min="3859" max="3859" width="18" style="417" customWidth="1"/>
    <col min="3860" max="3860" width="21.28515625" style="417" customWidth="1"/>
    <col min="3861" max="3861" width="14.7109375" style="417" customWidth="1"/>
    <col min="3862" max="3862" width="17.140625" style="417" customWidth="1"/>
    <col min="3863" max="3863" width="19.7109375" style="417" customWidth="1"/>
    <col min="3864" max="3864" width="18.5703125" style="417" customWidth="1"/>
    <col min="3865" max="3865" width="14.42578125" style="417" customWidth="1"/>
    <col min="3866" max="3866" width="14.140625" style="417" customWidth="1"/>
    <col min="3867" max="3867" width="11.42578125" style="417"/>
    <col min="3868" max="3868" width="13.42578125" style="417" customWidth="1"/>
    <col min="3869" max="3869" width="15.28515625" style="417" customWidth="1"/>
    <col min="3870" max="3870" width="31.85546875" style="417" customWidth="1"/>
    <col min="3871" max="3871" width="5" style="417" bestFit="1" customWidth="1"/>
    <col min="3872" max="3872" width="6.42578125" style="417" bestFit="1" customWidth="1"/>
    <col min="3873" max="3873" width="5.42578125" style="417" bestFit="1" customWidth="1"/>
    <col min="3874" max="3874" width="4.28515625" style="417" bestFit="1" customWidth="1"/>
    <col min="3875" max="3875" width="5" style="417" bestFit="1" customWidth="1"/>
    <col min="3876" max="3876" width="4.5703125" style="417" bestFit="1" customWidth="1"/>
    <col min="3877" max="3877" width="4.140625" style="417" bestFit="1" customWidth="1"/>
    <col min="3878" max="3878" width="5.85546875" style="417" bestFit="1" customWidth="1"/>
    <col min="3879" max="3879" width="9.140625" style="417" bestFit="1" customWidth="1"/>
    <col min="3880" max="3880" width="6.5703125" style="417" bestFit="1" customWidth="1"/>
    <col min="3881" max="3881" width="8.85546875" style="417" bestFit="1" customWidth="1"/>
    <col min="3882" max="3882" width="8.28515625" style="417" bestFit="1" customWidth="1"/>
    <col min="3883" max="4096" width="11.42578125" style="417"/>
    <col min="4097" max="4097" width="14.42578125" style="417" customWidth="1"/>
    <col min="4098" max="4098" width="23.140625" style="417" customWidth="1"/>
    <col min="4099" max="4099" width="20.5703125" style="417" customWidth="1"/>
    <col min="4100" max="4100" width="15.85546875" style="417" customWidth="1"/>
    <col min="4101" max="4101" width="20.140625" style="417" customWidth="1"/>
    <col min="4102" max="4102" width="15.140625" style="417" customWidth="1"/>
    <col min="4103" max="4103" width="21.42578125" style="417" customWidth="1"/>
    <col min="4104" max="4104" width="20" style="417" customWidth="1"/>
    <col min="4105" max="4105" width="21.140625" style="417" customWidth="1"/>
    <col min="4106" max="4106" width="19.42578125" style="417" customWidth="1"/>
    <col min="4107" max="4107" width="20.85546875" style="417" customWidth="1"/>
    <col min="4108" max="4108" width="17.42578125" style="417" customWidth="1"/>
    <col min="4109" max="4109" width="17.85546875" style="417" customWidth="1"/>
    <col min="4110" max="4110" width="18.7109375" style="417" customWidth="1"/>
    <col min="4111" max="4111" width="17.5703125" style="417" customWidth="1"/>
    <col min="4112" max="4112" width="17.28515625" style="417" customWidth="1"/>
    <col min="4113" max="4113" width="20" style="417" customWidth="1"/>
    <col min="4114" max="4114" width="18.28515625" style="417" customWidth="1"/>
    <col min="4115" max="4115" width="18" style="417" customWidth="1"/>
    <col min="4116" max="4116" width="21.28515625" style="417" customWidth="1"/>
    <col min="4117" max="4117" width="14.7109375" style="417" customWidth="1"/>
    <col min="4118" max="4118" width="17.140625" style="417" customWidth="1"/>
    <col min="4119" max="4119" width="19.7109375" style="417" customWidth="1"/>
    <col min="4120" max="4120" width="18.5703125" style="417" customWidth="1"/>
    <col min="4121" max="4121" width="14.42578125" style="417" customWidth="1"/>
    <col min="4122" max="4122" width="14.140625" style="417" customWidth="1"/>
    <col min="4123" max="4123" width="11.42578125" style="417"/>
    <col min="4124" max="4124" width="13.42578125" style="417" customWidth="1"/>
    <col min="4125" max="4125" width="15.28515625" style="417" customWidth="1"/>
    <col min="4126" max="4126" width="31.85546875" style="417" customWidth="1"/>
    <col min="4127" max="4127" width="5" style="417" bestFit="1" customWidth="1"/>
    <col min="4128" max="4128" width="6.42578125" style="417" bestFit="1" customWidth="1"/>
    <col min="4129" max="4129" width="5.42578125" style="417" bestFit="1" customWidth="1"/>
    <col min="4130" max="4130" width="4.28515625" style="417" bestFit="1" customWidth="1"/>
    <col min="4131" max="4131" width="5" style="417" bestFit="1" customWidth="1"/>
    <col min="4132" max="4132" width="4.5703125" style="417" bestFit="1" customWidth="1"/>
    <col min="4133" max="4133" width="4.140625" style="417" bestFit="1" customWidth="1"/>
    <col min="4134" max="4134" width="5.85546875" style="417" bestFit="1" customWidth="1"/>
    <col min="4135" max="4135" width="9.140625" style="417" bestFit="1" customWidth="1"/>
    <col min="4136" max="4136" width="6.5703125" style="417" bestFit="1" customWidth="1"/>
    <col min="4137" max="4137" width="8.85546875" style="417" bestFit="1" customWidth="1"/>
    <col min="4138" max="4138" width="8.28515625" style="417" bestFit="1" customWidth="1"/>
    <col min="4139" max="4352" width="11.42578125" style="417"/>
    <col min="4353" max="4353" width="14.42578125" style="417" customWidth="1"/>
    <col min="4354" max="4354" width="23.140625" style="417" customWidth="1"/>
    <col min="4355" max="4355" width="20.5703125" style="417" customWidth="1"/>
    <col min="4356" max="4356" width="15.85546875" style="417" customWidth="1"/>
    <col min="4357" max="4357" width="20.140625" style="417" customWidth="1"/>
    <col min="4358" max="4358" width="15.140625" style="417" customWidth="1"/>
    <col min="4359" max="4359" width="21.42578125" style="417" customWidth="1"/>
    <col min="4360" max="4360" width="20" style="417" customWidth="1"/>
    <col min="4361" max="4361" width="21.140625" style="417" customWidth="1"/>
    <col min="4362" max="4362" width="19.42578125" style="417" customWidth="1"/>
    <col min="4363" max="4363" width="20.85546875" style="417" customWidth="1"/>
    <col min="4364" max="4364" width="17.42578125" style="417" customWidth="1"/>
    <col min="4365" max="4365" width="17.85546875" style="417" customWidth="1"/>
    <col min="4366" max="4366" width="18.7109375" style="417" customWidth="1"/>
    <col min="4367" max="4367" width="17.5703125" style="417" customWidth="1"/>
    <col min="4368" max="4368" width="17.28515625" style="417" customWidth="1"/>
    <col min="4369" max="4369" width="20" style="417" customWidth="1"/>
    <col min="4370" max="4370" width="18.28515625" style="417" customWidth="1"/>
    <col min="4371" max="4371" width="18" style="417" customWidth="1"/>
    <col min="4372" max="4372" width="21.28515625" style="417" customWidth="1"/>
    <col min="4373" max="4373" width="14.7109375" style="417" customWidth="1"/>
    <col min="4374" max="4374" width="17.140625" style="417" customWidth="1"/>
    <col min="4375" max="4375" width="19.7109375" style="417" customWidth="1"/>
    <col min="4376" max="4376" width="18.5703125" style="417" customWidth="1"/>
    <col min="4377" max="4377" width="14.42578125" style="417" customWidth="1"/>
    <col min="4378" max="4378" width="14.140625" style="417" customWidth="1"/>
    <col min="4379" max="4379" width="11.42578125" style="417"/>
    <col min="4380" max="4380" width="13.42578125" style="417" customWidth="1"/>
    <col min="4381" max="4381" width="15.28515625" style="417" customWidth="1"/>
    <col min="4382" max="4382" width="31.85546875" style="417" customWidth="1"/>
    <col min="4383" max="4383" width="5" style="417" bestFit="1" customWidth="1"/>
    <col min="4384" max="4384" width="6.42578125" style="417" bestFit="1" customWidth="1"/>
    <col min="4385" max="4385" width="5.42578125" style="417" bestFit="1" customWidth="1"/>
    <col min="4386" max="4386" width="4.28515625" style="417" bestFit="1" customWidth="1"/>
    <col min="4387" max="4387" width="5" style="417" bestFit="1" customWidth="1"/>
    <col min="4388" max="4388" width="4.5703125" style="417" bestFit="1" customWidth="1"/>
    <col min="4389" max="4389" width="4.140625" style="417" bestFit="1" customWidth="1"/>
    <col min="4390" max="4390" width="5.85546875" style="417" bestFit="1" customWidth="1"/>
    <col min="4391" max="4391" width="9.140625" style="417" bestFit="1" customWidth="1"/>
    <col min="4392" max="4392" width="6.5703125" style="417" bestFit="1" customWidth="1"/>
    <col min="4393" max="4393" width="8.85546875" style="417" bestFit="1" customWidth="1"/>
    <col min="4394" max="4394" width="8.28515625" style="417" bestFit="1" customWidth="1"/>
    <col min="4395" max="4608" width="11.42578125" style="417"/>
    <col min="4609" max="4609" width="14.42578125" style="417" customWidth="1"/>
    <col min="4610" max="4610" width="23.140625" style="417" customWidth="1"/>
    <col min="4611" max="4611" width="20.5703125" style="417" customWidth="1"/>
    <col min="4612" max="4612" width="15.85546875" style="417" customWidth="1"/>
    <col min="4613" max="4613" width="20.140625" style="417" customWidth="1"/>
    <col min="4614" max="4614" width="15.140625" style="417" customWidth="1"/>
    <col min="4615" max="4615" width="21.42578125" style="417" customWidth="1"/>
    <col min="4616" max="4616" width="20" style="417" customWidth="1"/>
    <col min="4617" max="4617" width="21.140625" style="417" customWidth="1"/>
    <col min="4618" max="4618" width="19.42578125" style="417" customWidth="1"/>
    <col min="4619" max="4619" width="20.85546875" style="417" customWidth="1"/>
    <col min="4620" max="4620" width="17.42578125" style="417" customWidth="1"/>
    <col min="4621" max="4621" width="17.85546875" style="417" customWidth="1"/>
    <col min="4622" max="4622" width="18.7109375" style="417" customWidth="1"/>
    <col min="4623" max="4623" width="17.5703125" style="417" customWidth="1"/>
    <col min="4624" max="4624" width="17.28515625" style="417" customWidth="1"/>
    <col min="4625" max="4625" width="20" style="417" customWidth="1"/>
    <col min="4626" max="4626" width="18.28515625" style="417" customWidth="1"/>
    <col min="4627" max="4627" width="18" style="417" customWidth="1"/>
    <col min="4628" max="4628" width="21.28515625" style="417" customWidth="1"/>
    <col min="4629" max="4629" width="14.7109375" style="417" customWidth="1"/>
    <col min="4630" max="4630" width="17.140625" style="417" customWidth="1"/>
    <col min="4631" max="4631" width="19.7109375" style="417" customWidth="1"/>
    <col min="4632" max="4632" width="18.5703125" style="417" customWidth="1"/>
    <col min="4633" max="4633" width="14.42578125" style="417" customWidth="1"/>
    <col min="4634" max="4634" width="14.140625" style="417" customWidth="1"/>
    <col min="4635" max="4635" width="11.42578125" style="417"/>
    <col min="4636" max="4636" width="13.42578125" style="417" customWidth="1"/>
    <col min="4637" max="4637" width="15.28515625" style="417" customWidth="1"/>
    <col min="4638" max="4638" width="31.85546875" style="417" customWidth="1"/>
    <col min="4639" max="4639" width="5" style="417" bestFit="1" customWidth="1"/>
    <col min="4640" max="4640" width="6.42578125" style="417" bestFit="1" customWidth="1"/>
    <col min="4641" max="4641" width="5.42578125" style="417" bestFit="1" customWidth="1"/>
    <col min="4642" max="4642" width="4.28515625" style="417" bestFit="1" customWidth="1"/>
    <col min="4643" max="4643" width="5" style="417" bestFit="1" customWidth="1"/>
    <col min="4644" max="4644" width="4.5703125" style="417" bestFit="1" customWidth="1"/>
    <col min="4645" max="4645" width="4.140625" style="417" bestFit="1" customWidth="1"/>
    <col min="4646" max="4646" width="5.85546875" style="417" bestFit="1" customWidth="1"/>
    <col min="4647" max="4647" width="9.140625" style="417" bestFit="1" customWidth="1"/>
    <col min="4648" max="4648" width="6.5703125" style="417" bestFit="1" customWidth="1"/>
    <col min="4649" max="4649" width="8.85546875" style="417" bestFit="1" customWidth="1"/>
    <col min="4650" max="4650" width="8.28515625" style="417" bestFit="1" customWidth="1"/>
    <col min="4651" max="4864" width="11.42578125" style="417"/>
    <col min="4865" max="4865" width="14.42578125" style="417" customWidth="1"/>
    <col min="4866" max="4866" width="23.140625" style="417" customWidth="1"/>
    <col min="4867" max="4867" width="20.5703125" style="417" customWidth="1"/>
    <col min="4868" max="4868" width="15.85546875" style="417" customWidth="1"/>
    <col min="4869" max="4869" width="20.140625" style="417" customWidth="1"/>
    <col min="4870" max="4870" width="15.140625" style="417" customWidth="1"/>
    <col min="4871" max="4871" width="21.42578125" style="417" customWidth="1"/>
    <col min="4872" max="4872" width="20" style="417" customWidth="1"/>
    <col min="4873" max="4873" width="21.140625" style="417" customWidth="1"/>
    <col min="4874" max="4874" width="19.42578125" style="417" customWidth="1"/>
    <col min="4875" max="4875" width="20.85546875" style="417" customWidth="1"/>
    <col min="4876" max="4876" width="17.42578125" style="417" customWidth="1"/>
    <col min="4877" max="4877" width="17.85546875" style="417" customWidth="1"/>
    <col min="4878" max="4878" width="18.7109375" style="417" customWidth="1"/>
    <col min="4879" max="4879" width="17.5703125" style="417" customWidth="1"/>
    <col min="4880" max="4880" width="17.28515625" style="417" customWidth="1"/>
    <col min="4881" max="4881" width="20" style="417" customWidth="1"/>
    <col min="4882" max="4882" width="18.28515625" style="417" customWidth="1"/>
    <col min="4883" max="4883" width="18" style="417" customWidth="1"/>
    <col min="4884" max="4884" width="21.28515625" style="417" customWidth="1"/>
    <col min="4885" max="4885" width="14.7109375" style="417" customWidth="1"/>
    <col min="4886" max="4886" width="17.140625" style="417" customWidth="1"/>
    <col min="4887" max="4887" width="19.7109375" style="417" customWidth="1"/>
    <col min="4888" max="4888" width="18.5703125" style="417" customWidth="1"/>
    <col min="4889" max="4889" width="14.42578125" style="417" customWidth="1"/>
    <col min="4890" max="4890" width="14.140625" style="417" customWidth="1"/>
    <col min="4891" max="4891" width="11.42578125" style="417"/>
    <col min="4892" max="4892" width="13.42578125" style="417" customWidth="1"/>
    <col min="4893" max="4893" width="15.28515625" style="417" customWidth="1"/>
    <col min="4894" max="4894" width="31.85546875" style="417" customWidth="1"/>
    <col min="4895" max="4895" width="5" style="417" bestFit="1" customWidth="1"/>
    <col min="4896" max="4896" width="6.42578125" style="417" bestFit="1" customWidth="1"/>
    <col min="4897" max="4897" width="5.42578125" style="417" bestFit="1" customWidth="1"/>
    <col min="4898" max="4898" width="4.28515625" style="417" bestFit="1" customWidth="1"/>
    <col min="4899" max="4899" width="5" style="417" bestFit="1" customWidth="1"/>
    <col min="4900" max="4900" width="4.5703125" style="417" bestFit="1" customWidth="1"/>
    <col min="4901" max="4901" width="4.140625" style="417" bestFit="1" customWidth="1"/>
    <col min="4902" max="4902" width="5.85546875" style="417" bestFit="1" customWidth="1"/>
    <col min="4903" max="4903" width="9.140625" style="417" bestFit="1" customWidth="1"/>
    <col min="4904" max="4904" width="6.5703125" style="417" bestFit="1" customWidth="1"/>
    <col min="4905" max="4905" width="8.85546875" style="417" bestFit="1" customWidth="1"/>
    <col min="4906" max="4906" width="8.28515625" style="417" bestFit="1" customWidth="1"/>
    <col min="4907" max="5120" width="11.42578125" style="417"/>
    <col min="5121" max="5121" width="14.42578125" style="417" customWidth="1"/>
    <col min="5122" max="5122" width="23.140625" style="417" customWidth="1"/>
    <col min="5123" max="5123" width="20.5703125" style="417" customWidth="1"/>
    <col min="5124" max="5124" width="15.85546875" style="417" customWidth="1"/>
    <col min="5125" max="5125" width="20.140625" style="417" customWidth="1"/>
    <col min="5126" max="5126" width="15.140625" style="417" customWidth="1"/>
    <col min="5127" max="5127" width="21.42578125" style="417" customWidth="1"/>
    <col min="5128" max="5128" width="20" style="417" customWidth="1"/>
    <col min="5129" max="5129" width="21.140625" style="417" customWidth="1"/>
    <col min="5130" max="5130" width="19.42578125" style="417" customWidth="1"/>
    <col min="5131" max="5131" width="20.85546875" style="417" customWidth="1"/>
    <col min="5132" max="5132" width="17.42578125" style="417" customWidth="1"/>
    <col min="5133" max="5133" width="17.85546875" style="417" customWidth="1"/>
    <col min="5134" max="5134" width="18.7109375" style="417" customWidth="1"/>
    <col min="5135" max="5135" width="17.5703125" style="417" customWidth="1"/>
    <col min="5136" max="5136" width="17.28515625" style="417" customWidth="1"/>
    <col min="5137" max="5137" width="20" style="417" customWidth="1"/>
    <col min="5138" max="5138" width="18.28515625" style="417" customWidth="1"/>
    <col min="5139" max="5139" width="18" style="417" customWidth="1"/>
    <col min="5140" max="5140" width="21.28515625" style="417" customWidth="1"/>
    <col min="5141" max="5141" width="14.7109375" style="417" customWidth="1"/>
    <col min="5142" max="5142" width="17.140625" style="417" customWidth="1"/>
    <col min="5143" max="5143" width="19.7109375" style="417" customWidth="1"/>
    <col min="5144" max="5144" width="18.5703125" style="417" customWidth="1"/>
    <col min="5145" max="5145" width="14.42578125" style="417" customWidth="1"/>
    <col min="5146" max="5146" width="14.140625" style="417" customWidth="1"/>
    <col min="5147" max="5147" width="11.42578125" style="417"/>
    <col min="5148" max="5148" width="13.42578125" style="417" customWidth="1"/>
    <col min="5149" max="5149" width="15.28515625" style="417" customWidth="1"/>
    <col min="5150" max="5150" width="31.85546875" style="417" customWidth="1"/>
    <col min="5151" max="5151" width="5" style="417" bestFit="1" customWidth="1"/>
    <col min="5152" max="5152" width="6.42578125" style="417" bestFit="1" customWidth="1"/>
    <col min="5153" max="5153" width="5.42578125" style="417" bestFit="1" customWidth="1"/>
    <col min="5154" max="5154" width="4.28515625" style="417" bestFit="1" customWidth="1"/>
    <col min="5155" max="5155" width="5" style="417" bestFit="1" customWidth="1"/>
    <col min="5156" max="5156" width="4.5703125" style="417" bestFit="1" customWidth="1"/>
    <col min="5157" max="5157" width="4.140625" style="417" bestFit="1" customWidth="1"/>
    <col min="5158" max="5158" width="5.85546875" style="417" bestFit="1" customWidth="1"/>
    <col min="5159" max="5159" width="9.140625" style="417" bestFit="1" customWidth="1"/>
    <col min="5160" max="5160" width="6.5703125" style="417" bestFit="1" customWidth="1"/>
    <col min="5161" max="5161" width="8.85546875" style="417" bestFit="1" customWidth="1"/>
    <col min="5162" max="5162" width="8.28515625" style="417" bestFit="1" customWidth="1"/>
    <col min="5163" max="5376" width="11.42578125" style="417"/>
    <col min="5377" max="5377" width="14.42578125" style="417" customWidth="1"/>
    <col min="5378" max="5378" width="23.140625" style="417" customWidth="1"/>
    <col min="5379" max="5379" width="20.5703125" style="417" customWidth="1"/>
    <col min="5380" max="5380" width="15.85546875" style="417" customWidth="1"/>
    <col min="5381" max="5381" width="20.140625" style="417" customWidth="1"/>
    <col min="5382" max="5382" width="15.140625" style="417" customWidth="1"/>
    <col min="5383" max="5383" width="21.42578125" style="417" customWidth="1"/>
    <col min="5384" max="5384" width="20" style="417" customWidth="1"/>
    <col min="5385" max="5385" width="21.140625" style="417" customWidth="1"/>
    <col min="5386" max="5386" width="19.42578125" style="417" customWidth="1"/>
    <col min="5387" max="5387" width="20.85546875" style="417" customWidth="1"/>
    <col min="5388" max="5388" width="17.42578125" style="417" customWidth="1"/>
    <col min="5389" max="5389" width="17.85546875" style="417" customWidth="1"/>
    <col min="5390" max="5390" width="18.7109375" style="417" customWidth="1"/>
    <col min="5391" max="5391" width="17.5703125" style="417" customWidth="1"/>
    <col min="5392" max="5392" width="17.28515625" style="417" customWidth="1"/>
    <col min="5393" max="5393" width="20" style="417" customWidth="1"/>
    <col min="5394" max="5394" width="18.28515625" style="417" customWidth="1"/>
    <col min="5395" max="5395" width="18" style="417" customWidth="1"/>
    <col min="5396" max="5396" width="21.28515625" style="417" customWidth="1"/>
    <col min="5397" max="5397" width="14.7109375" style="417" customWidth="1"/>
    <col min="5398" max="5398" width="17.140625" style="417" customWidth="1"/>
    <col min="5399" max="5399" width="19.7109375" style="417" customWidth="1"/>
    <col min="5400" max="5400" width="18.5703125" style="417" customWidth="1"/>
    <col min="5401" max="5401" width="14.42578125" style="417" customWidth="1"/>
    <col min="5402" max="5402" width="14.140625" style="417" customWidth="1"/>
    <col min="5403" max="5403" width="11.42578125" style="417"/>
    <col min="5404" max="5404" width="13.42578125" style="417" customWidth="1"/>
    <col min="5405" max="5405" width="15.28515625" style="417" customWidth="1"/>
    <col min="5406" max="5406" width="31.85546875" style="417" customWidth="1"/>
    <col min="5407" max="5407" width="5" style="417" bestFit="1" customWidth="1"/>
    <col min="5408" max="5408" width="6.42578125" style="417" bestFit="1" customWidth="1"/>
    <col min="5409" max="5409" width="5.42578125" style="417" bestFit="1" customWidth="1"/>
    <col min="5410" max="5410" width="4.28515625" style="417" bestFit="1" customWidth="1"/>
    <col min="5411" max="5411" width="5" style="417" bestFit="1" customWidth="1"/>
    <col min="5412" max="5412" width="4.5703125" style="417" bestFit="1" customWidth="1"/>
    <col min="5413" max="5413" width="4.140625" style="417" bestFit="1" customWidth="1"/>
    <col min="5414" max="5414" width="5.85546875" style="417" bestFit="1" customWidth="1"/>
    <col min="5415" max="5415" width="9.140625" style="417" bestFit="1" customWidth="1"/>
    <col min="5416" max="5416" width="6.5703125" style="417" bestFit="1" customWidth="1"/>
    <col min="5417" max="5417" width="8.85546875" style="417" bestFit="1" customWidth="1"/>
    <col min="5418" max="5418" width="8.28515625" style="417" bestFit="1" customWidth="1"/>
    <col min="5419" max="5632" width="11.42578125" style="417"/>
    <col min="5633" max="5633" width="14.42578125" style="417" customWidth="1"/>
    <col min="5634" max="5634" width="23.140625" style="417" customWidth="1"/>
    <col min="5635" max="5635" width="20.5703125" style="417" customWidth="1"/>
    <col min="5636" max="5636" width="15.85546875" style="417" customWidth="1"/>
    <col min="5637" max="5637" width="20.140625" style="417" customWidth="1"/>
    <col min="5638" max="5638" width="15.140625" style="417" customWidth="1"/>
    <col min="5639" max="5639" width="21.42578125" style="417" customWidth="1"/>
    <col min="5640" max="5640" width="20" style="417" customWidth="1"/>
    <col min="5641" max="5641" width="21.140625" style="417" customWidth="1"/>
    <col min="5642" max="5642" width="19.42578125" style="417" customWidth="1"/>
    <col min="5643" max="5643" width="20.85546875" style="417" customWidth="1"/>
    <col min="5644" max="5644" width="17.42578125" style="417" customWidth="1"/>
    <col min="5645" max="5645" width="17.85546875" style="417" customWidth="1"/>
    <col min="5646" max="5646" width="18.7109375" style="417" customWidth="1"/>
    <col min="5647" max="5647" width="17.5703125" style="417" customWidth="1"/>
    <col min="5648" max="5648" width="17.28515625" style="417" customWidth="1"/>
    <col min="5649" max="5649" width="20" style="417" customWidth="1"/>
    <col min="5650" max="5650" width="18.28515625" style="417" customWidth="1"/>
    <col min="5651" max="5651" width="18" style="417" customWidth="1"/>
    <col min="5652" max="5652" width="21.28515625" style="417" customWidth="1"/>
    <col min="5653" max="5653" width="14.7109375" style="417" customWidth="1"/>
    <col min="5654" max="5654" width="17.140625" style="417" customWidth="1"/>
    <col min="5655" max="5655" width="19.7109375" style="417" customWidth="1"/>
    <col min="5656" max="5656" width="18.5703125" style="417" customWidth="1"/>
    <col min="5657" max="5657" width="14.42578125" style="417" customWidth="1"/>
    <col min="5658" max="5658" width="14.140625" style="417" customWidth="1"/>
    <col min="5659" max="5659" width="11.42578125" style="417"/>
    <col min="5660" max="5660" width="13.42578125" style="417" customWidth="1"/>
    <col min="5661" max="5661" width="15.28515625" style="417" customWidth="1"/>
    <col min="5662" max="5662" width="31.85546875" style="417" customWidth="1"/>
    <col min="5663" max="5663" width="5" style="417" bestFit="1" customWidth="1"/>
    <col min="5664" max="5664" width="6.42578125" style="417" bestFit="1" customWidth="1"/>
    <col min="5665" max="5665" width="5.42578125" style="417" bestFit="1" customWidth="1"/>
    <col min="5666" max="5666" width="4.28515625" style="417" bestFit="1" customWidth="1"/>
    <col min="5667" max="5667" width="5" style="417" bestFit="1" customWidth="1"/>
    <col min="5668" max="5668" width="4.5703125" style="417" bestFit="1" customWidth="1"/>
    <col min="5669" max="5669" width="4.140625" style="417" bestFit="1" customWidth="1"/>
    <col min="5670" max="5670" width="5.85546875" style="417" bestFit="1" customWidth="1"/>
    <col min="5671" max="5671" width="9.140625" style="417" bestFit="1" customWidth="1"/>
    <col min="5672" max="5672" width="6.5703125" style="417" bestFit="1" customWidth="1"/>
    <col min="5673" max="5673" width="8.85546875" style="417" bestFit="1" customWidth="1"/>
    <col min="5674" max="5674" width="8.28515625" style="417" bestFit="1" customWidth="1"/>
    <col min="5675" max="5888" width="11.42578125" style="417"/>
    <col min="5889" max="5889" width="14.42578125" style="417" customWidth="1"/>
    <col min="5890" max="5890" width="23.140625" style="417" customWidth="1"/>
    <col min="5891" max="5891" width="20.5703125" style="417" customWidth="1"/>
    <col min="5892" max="5892" width="15.85546875" style="417" customWidth="1"/>
    <col min="5893" max="5893" width="20.140625" style="417" customWidth="1"/>
    <col min="5894" max="5894" width="15.140625" style="417" customWidth="1"/>
    <col min="5895" max="5895" width="21.42578125" style="417" customWidth="1"/>
    <col min="5896" max="5896" width="20" style="417" customWidth="1"/>
    <col min="5897" max="5897" width="21.140625" style="417" customWidth="1"/>
    <col min="5898" max="5898" width="19.42578125" style="417" customWidth="1"/>
    <col min="5899" max="5899" width="20.85546875" style="417" customWidth="1"/>
    <col min="5900" max="5900" width="17.42578125" style="417" customWidth="1"/>
    <col min="5901" max="5901" width="17.85546875" style="417" customWidth="1"/>
    <col min="5902" max="5902" width="18.7109375" style="417" customWidth="1"/>
    <col min="5903" max="5903" width="17.5703125" style="417" customWidth="1"/>
    <col min="5904" max="5904" width="17.28515625" style="417" customWidth="1"/>
    <col min="5905" max="5905" width="20" style="417" customWidth="1"/>
    <col min="5906" max="5906" width="18.28515625" style="417" customWidth="1"/>
    <col min="5907" max="5907" width="18" style="417" customWidth="1"/>
    <col min="5908" max="5908" width="21.28515625" style="417" customWidth="1"/>
    <col min="5909" max="5909" width="14.7109375" style="417" customWidth="1"/>
    <col min="5910" max="5910" width="17.140625" style="417" customWidth="1"/>
    <col min="5911" max="5911" width="19.7109375" style="417" customWidth="1"/>
    <col min="5912" max="5912" width="18.5703125" style="417" customWidth="1"/>
    <col min="5913" max="5913" width="14.42578125" style="417" customWidth="1"/>
    <col min="5914" max="5914" width="14.140625" style="417" customWidth="1"/>
    <col min="5915" max="5915" width="11.42578125" style="417"/>
    <col min="5916" max="5916" width="13.42578125" style="417" customWidth="1"/>
    <col min="5917" max="5917" width="15.28515625" style="417" customWidth="1"/>
    <col min="5918" max="5918" width="31.85546875" style="417" customWidth="1"/>
    <col min="5919" max="5919" width="5" style="417" bestFit="1" customWidth="1"/>
    <col min="5920" max="5920" width="6.42578125" style="417" bestFit="1" customWidth="1"/>
    <col min="5921" max="5921" width="5.42578125" style="417" bestFit="1" customWidth="1"/>
    <col min="5922" max="5922" width="4.28515625" style="417" bestFit="1" customWidth="1"/>
    <col min="5923" max="5923" width="5" style="417" bestFit="1" customWidth="1"/>
    <col min="5924" max="5924" width="4.5703125" style="417" bestFit="1" customWidth="1"/>
    <col min="5925" max="5925" width="4.140625" style="417" bestFit="1" customWidth="1"/>
    <col min="5926" max="5926" width="5.85546875" style="417" bestFit="1" customWidth="1"/>
    <col min="5927" max="5927" width="9.140625" style="417" bestFit="1" customWidth="1"/>
    <col min="5928" max="5928" width="6.5703125" style="417" bestFit="1" customWidth="1"/>
    <col min="5929" max="5929" width="8.85546875" style="417" bestFit="1" customWidth="1"/>
    <col min="5930" max="5930" width="8.28515625" style="417" bestFit="1" customWidth="1"/>
    <col min="5931" max="6144" width="11.42578125" style="417"/>
    <col min="6145" max="6145" width="14.42578125" style="417" customWidth="1"/>
    <col min="6146" max="6146" width="23.140625" style="417" customWidth="1"/>
    <col min="6147" max="6147" width="20.5703125" style="417" customWidth="1"/>
    <col min="6148" max="6148" width="15.85546875" style="417" customWidth="1"/>
    <col min="6149" max="6149" width="20.140625" style="417" customWidth="1"/>
    <col min="6150" max="6150" width="15.140625" style="417" customWidth="1"/>
    <col min="6151" max="6151" width="21.42578125" style="417" customWidth="1"/>
    <col min="6152" max="6152" width="20" style="417" customWidth="1"/>
    <col min="6153" max="6153" width="21.140625" style="417" customWidth="1"/>
    <col min="6154" max="6154" width="19.42578125" style="417" customWidth="1"/>
    <col min="6155" max="6155" width="20.85546875" style="417" customWidth="1"/>
    <col min="6156" max="6156" width="17.42578125" style="417" customWidth="1"/>
    <col min="6157" max="6157" width="17.85546875" style="417" customWidth="1"/>
    <col min="6158" max="6158" width="18.7109375" style="417" customWidth="1"/>
    <col min="6159" max="6159" width="17.5703125" style="417" customWidth="1"/>
    <col min="6160" max="6160" width="17.28515625" style="417" customWidth="1"/>
    <col min="6161" max="6161" width="20" style="417" customWidth="1"/>
    <col min="6162" max="6162" width="18.28515625" style="417" customWidth="1"/>
    <col min="6163" max="6163" width="18" style="417" customWidth="1"/>
    <col min="6164" max="6164" width="21.28515625" style="417" customWidth="1"/>
    <col min="6165" max="6165" width="14.7109375" style="417" customWidth="1"/>
    <col min="6166" max="6166" width="17.140625" style="417" customWidth="1"/>
    <col min="6167" max="6167" width="19.7109375" style="417" customWidth="1"/>
    <col min="6168" max="6168" width="18.5703125" style="417" customWidth="1"/>
    <col min="6169" max="6169" width="14.42578125" style="417" customWidth="1"/>
    <col min="6170" max="6170" width="14.140625" style="417" customWidth="1"/>
    <col min="6171" max="6171" width="11.42578125" style="417"/>
    <col min="6172" max="6172" width="13.42578125" style="417" customWidth="1"/>
    <col min="6173" max="6173" width="15.28515625" style="417" customWidth="1"/>
    <col min="6174" max="6174" width="31.85546875" style="417" customWidth="1"/>
    <col min="6175" max="6175" width="5" style="417" bestFit="1" customWidth="1"/>
    <col min="6176" max="6176" width="6.42578125" style="417" bestFit="1" customWidth="1"/>
    <col min="6177" max="6177" width="5.42578125" style="417" bestFit="1" customWidth="1"/>
    <col min="6178" max="6178" width="4.28515625" style="417" bestFit="1" customWidth="1"/>
    <col min="6179" max="6179" width="5" style="417" bestFit="1" customWidth="1"/>
    <col min="6180" max="6180" width="4.5703125" style="417" bestFit="1" customWidth="1"/>
    <col min="6181" max="6181" width="4.140625" style="417" bestFit="1" customWidth="1"/>
    <col min="6182" max="6182" width="5.85546875" style="417" bestFit="1" customWidth="1"/>
    <col min="6183" max="6183" width="9.140625" style="417" bestFit="1" customWidth="1"/>
    <col min="6184" max="6184" width="6.5703125" style="417" bestFit="1" customWidth="1"/>
    <col min="6185" max="6185" width="8.85546875" style="417" bestFit="1" customWidth="1"/>
    <col min="6186" max="6186" width="8.28515625" style="417" bestFit="1" customWidth="1"/>
    <col min="6187" max="6400" width="11.42578125" style="417"/>
    <col min="6401" max="6401" width="14.42578125" style="417" customWidth="1"/>
    <col min="6402" max="6402" width="23.140625" style="417" customWidth="1"/>
    <col min="6403" max="6403" width="20.5703125" style="417" customWidth="1"/>
    <col min="6404" max="6404" width="15.85546875" style="417" customWidth="1"/>
    <col min="6405" max="6405" width="20.140625" style="417" customWidth="1"/>
    <col min="6406" max="6406" width="15.140625" style="417" customWidth="1"/>
    <col min="6407" max="6407" width="21.42578125" style="417" customWidth="1"/>
    <col min="6408" max="6408" width="20" style="417" customWidth="1"/>
    <col min="6409" max="6409" width="21.140625" style="417" customWidth="1"/>
    <col min="6410" max="6410" width="19.42578125" style="417" customWidth="1"/>
    <col min="6411" max="6411" width="20.85546875" style="417" customWidth="1"/>
    <col min="6412" max="6412" width="17.42578125" style="417" customWidth="1"/>
    <col min="6413" max="6413" width="17.85546875" style="417" customWidth="1"/>
    <col min="6414" max="6414" width="18.7109375" style="417" customWidth="1"/>
    <col min="6415" max="6415" width="17.5703125" style="417" customWidth="1"/>
    <col min="6416" max="6416" width="17.28515625" style="417" customWidth="1"/>
    <col min="6417" max="6417" width="20" style="417" customWidth="1"/>
    <col min="6418" max="6418" width="18.28515625" style="417" customWidth="1"/>
    <col min="6419" max="6419" width="18" style="417" customWidth="1"/>
    <col min="6420" max="6420" width="21.28515625" style="417" customWidth="1"/>
    <col min="6421" max="6421" width="14.7109375" style="417" customWidth="1"/>
    <col min="6422" max="6422" width="17.140625" style="417" customWidth="1"/>
    <col min="6423" max="6423" width="19.7109375" style="417" customWidth="1"/>
    <col min="6424" max="6424" width="18.5703125" style="417" customWidth="1"/>
    <col min="6425" max="6425" width="14.42578125" style="417" customWidth="1"/>
    <col min="6426" max="6426" width="14.140625" style="417" customWidth="1"/>
    <col min="6427" max="6427" width="11.42578125" style="417"/>
    <col min="6428" max="6428" width="13.42578125" style="417" customWidth="1"/>
    <col min="6429" max="6429" width="15.28515625" style="417" customWidth="1"/>
    <col min="6430" max="6430" width="31.85546875" style="417" customWidth="1"/>
    <col min="6431" max="6431" width="5" style="417" bestFit="1" customWidth="1"/>
    <col min="6432" max="6432" width="6.42578125" style="417" bestFit="1" customWidth="1"/>
    <col min="6433" max="6433" width="5.42578125" style="417" bestFit="1" customWidth="1"/>
    <col min="6434" max="6434" width="4.28515625" style="417" bestFit="1" customWidth="1"/>
    <col min="6435" max="6435" width="5" style="417" bestFit="1" customWidth="1"/>
    <col min="6436" max="6436" width="4.5703125" style="417" bestFit="1" customWidth="1"/>
    <col min="6437" max="6437" width="4.140625" style="417" bestFit="1" customWidth="1"/>
    <col min="6438" max="6438" width="5.85546875" style="417" bestFit="1" customWidth="1"/>
    <col min="6439" max="6439" width="9.140625" style="417" bestFit="1" customWidth="1"/>
    <col min="6440" max="6440" width="6.5703125" style="417" bestFit="1" customWidth="1"/>
    <col min="6441" max="6441" width="8.85546875" style="417" bestFit="1" customWidth="1"/>
    <col min="6442" max="6442" width="8.28515625" style="417" bestFit="1" customWidth="1"/>
    <col min="6443" max="6656" width="11.42578125" style="417"/>
    <col min="6657" max="6657" width="14.42578125" style="417" customWidth="1"/>
    <col min="6658" max="6658" width="23.140625" style="417" customWidth="1"/>
    <col min="6659" max="6659" width="20.5703125" style="417" customWidth="1"/>
    <col min="6660" max="6660" width="15.85546875" style="417" customWidth="1"/>
    <col min="6661" max="6661" width="20.140625" style="417" customWidth="1"/>
    <col min="6662" max="6662" width="15.140625" style="417" customWidth="1"/>
    <col min="6663" max="6663" width="21.42578125" style="417" customWidth="1"/>
    <col min="6664" max="6664" width="20" style="417" customWidth="1"/>
    <col min="6665" max="6665" width="21.140625" style="417" customWidth="1"/>
    <col min="6666" max="6666" width="19.42578125" style="417" customWidth="1"/>
    <col min="6667" max="6667" width="20.85546875" style="417" customWidth="1"/>
    <col min="6668" max="6668" width="17.42578125" style="417" customWidth="1"/>
    <col min="6669" max="6669" width="17.85546875" style="417" customWidth="1"/>
    <col min="6670" max="6670" width="18.7109375" style="417" customWidth="1"/>
    <col min="6671" max="6671" width="17.5703125" style="417" customWidth="1"/>
    <col min="6672" max="6672" width="17.28515625" style="417" customWidth="1"/>
    <col min="6673" max="6673" width="20" style="417" customWidth="1"/>
    <col min="6674" max="6674" width="18.28515625" style="417" customWidth="1"/>
    <col min="6675" max="6675" width="18" style="417" customWidth="1"/>
    <col min="6676" max="6676" width="21.28515625" style="417" customWidth="1"/>
    <col min="6677" max="6677" width="14.7109375" style="417" customWidth="1"/>
    <col min="6678" max="6678" width="17.140625" style="417" customWidth="1"/>
    <col min="6679" max="6679" width="19.7109375" style="417" customWidth="1"/>
    <col min="6680" max="6680" width="18.5703125" style="417" customWidth="1"/>
    <col min="6681" max="6681" width="14.42578125" style="417" customWidth="1"/>
    <col min="6682" max="6682" width="14.140625" style="417" customWidth="1"/>
    <col min="6683" max="6683" width="11.42578125" style="417"/>
    <col min="6684" max="6684" width="13.42578125" style="417" customWidth="1"/>
    <col min="6685" max="6685" width="15.28515625" style="417" customWidth="1"/>
    <col min="6686" max="6686" width="31.85546875" style="417" customWidth="1"/>
    <col min="6687" max="6687" width="5" style="417" bestFit="1" customWidth="1"/>
    <col min="6688" max="6688" width="6.42578125" style="417" bestFit="1" customWidth="1"/>
    <col min="6689" max="6689" width="5.42578125" style="417" bestFit="1" customWidth="1"/>
    <col min="6690" max="6690" width="4.28515625" style="417" bestFit="1" customWidth="1"/>
    <col min="6691" max="6691" width="5" style="417" bestFit="1" customWidth="1"/>
    <col min="6692" max="6692" width="4.5703125" style="417" bestFit="1" customWidth="1"/>
    <col min="6693" max="6693" width="4.140625" style="417" bestFit="1" customWidth="1"/>
    <col min="6694" max="6694" width="5.85546875" style="417" bestFit="1" customWidth="1"/>
    <col min="6695" max="6695" width="9.140625" style="417" bestFit="1" customWidth="1"/>
    <col min="6696" max="6696" width="6.5703125" style="417" bestFit="1" customWidth="1"/>
    <col min="6697" max="6697" width="8.85546875" style="417" bestFit="1" customWidth="1"/>
    <col min="6698" max="6698" width="8.28515625" style="417" bestFit="1" customWidth="1"/>
    <col min="6699" max="6912" width="11.42578125" style="417"/>
    <col min="6913" max="6913" width="14.42578125" style="417" customWidth="1"/>
    <col min="6914" max="6914" width="23.140625" style="417" customWidth="1"/>
    <col min="6915" max="6915" width="20.5703125" style="417" customWidth="1"/>
    <col min="6916" max="6916" width="15.85546875" style="417" customWidth="1"/>
    <col min="6917" max="6917" width="20.140625" style="417" customWidth="1"/>
    <col min="6918" max="6918" width="15.140625" style="417" customWidth="1"/>
    <col min="6919" max="6919" width="21.42578125" style="417" customWidth="1"/>
    <col min="6920" max="6920" width="20" style="417" customWidth="1"/>
    <col min="6921" max="6921" width="21.140625" style="417" customWidth="1"/>
    <col min="6922" max="6922" width="19.42578125" style="417" customWidth="1"/>
    <col min="6923" max="6923" width="20.85546875" style="417" customWidth="1"/>
    <col min="6924" max="6924" width="17.42578125" style="417" customWidth="1"/>
    <col min="6925" max="6925" width="17.85546875" style="417" customWidth="1"/>
    <col min="6926" max="6926" width="18.7109375" style="417" customWidth="1"/>
    <col min="6927" max="6927" width="17.5703125" style="417" customWidth="1"/>
    <col min="6928" max="6928" width="17.28515625" style="417" customWidth="1"/>
    <col min="6929" max="6929" width="20" style="417" customWidth="1"/>
    <col min="6930" max="6930" width="18.28515625" style="417" customWidth="1"/>
    <col min="6931" max="6931" width="18" style="417" customWidth="1"/>
    <col min="6932" max="6932" width="21.28515625" style="417" customWidth="1"/>
    <col min="6933" max="6933" width="14.7109375" style="417" customWidth="1"/>
    <col min="6934" max="6934" width="17.140625" style="417" customWidth="1"/>
    <col min="6935" max="6935" width="19.7109375" style="417" customWidth="1"/>
    <col min="6936" max="6936" width="18.5703125" style="417" customWidth="1"/>
    <col min="6937" max="6937" width="14.42578125" style="417" customWidth="1"/>
    <col min="6938" max="6938" width="14.140625" style="417" customWidth="1"/>
    <col min="6939" max="6939" width="11.42578125" style="417"/>
    <col min="6940" max="6940" width="13.42578125" style="417" customWidth="1"/>
    <col min="6941" max="6941" width="15.28515625" style="417" customWidth="1"/>
    <col min="6942" max="6942" width="31.85546875" style="417" customWidth="1"/>
    <col min="6943" max="6943" width="5" style="417" bestFit="1" customWidth="1"/>
    <col min="6944" max="6944" width="6.42578125" style="417" bestFit="1" customWidth="1"/>
    <col min="6945" max="6945" width="5.42578125" style="417" bestFit="1" customWidth="1"/>
    <col min="6946" max="6946" width="4.28515625" style="417" bestFit="1" customWidth="1"/>
    <col min="6947" max="6947" width="5" style="417" bestFit="1" customWidth="1"/>
    <col min="6948" max="6948" width="4.5703125" style="417" bestFit="1" customWidth="1"/>
    <col min="6949" max="6949" width="4.140625" style="417" bestFit="1" customWidth="1"/>
    <col min="6950" max="6950" width="5.85546875" style="417" bestFit="1" customWidth="1"/>
    <col min="6951" max="6951" width="9.140625" style="417" bestFit="1" customWidth="1"/>
    <col min="6952" max="6952" width="6.5703125" style="417" bestFit="1" customWidth="1"/>
    <col min="6953" max="6953" width="8.85546875" style="417" bestFit="1" customWidth="1"/>
    <col min="6954" max="6954" width="8.28515625" style="417" bestFit="1" customWidth="1"/>
    <col min="6955" max="7168" width="11.42578125" style="417"/>
    <col min="7169" max="7169" width="14.42578125" style="417" customWidth="1"/>
    <col min="7170" max="7170" width="23.140625" style="417" customWidth="1"/>
    <col min="7171" max="7171" width="20.5703125" style="417" customWidth="1"/>
    <col min="7172" max="7172" width="15.85546875" style="417" customWidth="1"/>
    <col min="7173" max="7173" width="20.140625" style="417" customWidth="1"/>
    <col min="7174" max="7174" width="15.140625" style="417" customWidth="1"/>
    <col min="7175" max="7175" width="21.42578125" style="417" customWidth="1"/>
    <col min="7176" max="7176" width="20" style="417" customWidth="1"/>
    <col min="7177" max="7177" width="21.140625" style="417" customWidth="1"/>
    <col min="7178" max="7178" width="19.42578125" style="417" customWidth="1"/>
    <col min="7179" max="7179" width="20.85546875" style="417" customWidth="1"/>
    <col min="7180" max="7180" width="17.42578125" style="417" customWidth="1"/>
    <col min="7181" max="7181" width="17.85546875" style="417" customWidth="1"/>
    <col min="7182" max="7182" width="18.7109375" style="417" customWidth="1"/>
    <col min="7183" max="7183" width="17.5703125" style="417" customWidth="1"/>
    <col min="7184" max="7184" width="17.28515625" style="417" customWidth="1"/>
    <col min="7185" max="7185" width="20" style="417" customWidth="1"/>
    <col min="7186" max="7186" width="18.28515625" style="417" customWidth="1"/>
    <col min="7187" max="7187" width="18" style="417" customWidth="1"/>
    <col min="7188" max="7188" width="21.28515625" style="417" customWidth="1"/>
    <col min="7189" max="7189" width="14.7109375" style="417" customWidth="1"/>
    <col min="7190" max="7190" width="17.140625" style="417" customWidth="1"/>
    <col min="7191" max="7191" width="19.7109375" style="417" customWidth="1"/>
    <col min="7192" max="7192" width="18.5703125" style="417" customWidth="1"/>
    <col min="7193" max="7193" width="14.42578125" style="417" customWidth="1"/>
    <col min="7194" max="7194" width="14.140625" style="417" customWidth="1"/>
    <col min="7195" max="7195" width="11.42578125" style="417"/>
    <col min="7196" max="7196" width="13.42578125" style="417" customWidth="1"/>
    <col min="7197" max="7197" width="15.28515625" style="417" customWidth="1"/>
    <col min="7198" max="7198" width="31.85546875" style="417" customWidth="1"/>
    <col min="7199" max="7199" width="5" style="417" bestFit="1" customWidth="1"/>
    <col min="7200" max="7200" width="6.42578125" style="417" bestFit="1" customWidth="1"/>
    <col min="7201" max="7201" width="5.42578125" style="417" bestFit="1" customWidth="1"/>
    <col min="7202" max="7202" width="4.28515625" style="417" bestFit="1" customWidth="1"/>
    <col min="7203" max="7203" width="5" style="417" bestFit="1" customWidth="1"/>
    <col min="7204" max="7204" width="4.5703125" style="417" bestFit="1" customWidth="1"/>
    <col min="7205" max="7205" width="4.140625" style="417" bestFit="1" customWidth="1"/>
    <col min="7206" max="7206" width="5.85546875" style="417" bestFit="1" customWidth="1"/>
    <col min="7207" max="7207" width="9.140625" style="417" bestFit="1" customWidth="1"/>
    <col min="7208" max="7208" width="6.5703125" style="417" bestFit="1" customWidth="1"/>
    <col min="7209" max="7209" width="8.85546875" style="417" bestFit="1" customWidth="1"/>
    <col min="7210" max="7210" width="8.28515625" style="417" bestFit="1" customWidth="1"/>
    <col min="7211" max="7424" width="11.42578125" style="417"/>
    <col min="7425" max="7425" width="14.42578125" style="417" customWidth="1"/>
    <col min="7426" max="7426" width="23.140625" style="417" customWidth="1"/>
    <col min="7427" max="7427" width="20.5703125" style="417" customWidth="1"/>
    <col min="7428" max="7428" width="15.85546875" style="417" customWidth="1"/>
    <col min="7429" max="7429" width="20.140625" style="417" customWidth="1"/>
    <col min="7430" max="7430" width="15.140625" style="417" customWidth="1"/>
    <col min="7431" max="7431" width="21.42578125" style="417" customWidth="1"/>
    <col min="7432" max="7432" width="20" style="417" customWidth="1"/>
    <col min="7433" max="7433" width="21.140625" style="417" customWidth="1"/>
    <col min="7434" max="7434" width="19.42578125" style="417" customWidth="1"/>
    <col min="7435" max="7435" width="20.85546875" style="417" customWidth="1"/>
    <col min="7436" max="7436" width="17.42578125" style="417" customWidth="1"/>
    <col min="7437" max="7437" width="17.85546875" style="417" customWidth="1"/>
    <col min="7438" max="7438" width="18.7109375" style="417" customWidth="1"/>
    <col min="7439" max="7439" width="17.5703125" style="417" customWidth="1"/>
    <col min="7440" max="7440" width="17.28515625" style="417" customWidth="1"/>
    <col min="7441" max="7441" width="20" style="417" customWidth="1"/>
    <col min="7442" max="7442" width="18.28515625" style="417" customWidth="1"/>
    <col min="7443" max="7443" width="18" style="417" customWidth="1"/>
    <col min="7444" max="7444" width="21.28515625" style="417" customWidth="1"/>
    <col min="7445" max="7445" width="14.7109375" style="417" customWidth="1"/>
    <col min="7446" max="7446" width="17.140625" style="417" customWidth="1"/>
    <col min="7447" max="7447" width="19.7109375" style="417" customWidth="1"/>
    <col min="7448" max="7448" width="18.5703125" style="417" customWidth="1"/>
    <col min="7449" max="7449" width="14.42578125" style="417" customWidth="1"/>
    <col min="7450" max="7450" width="14.140625" style="417" customWidth="1"/>
    <col min="7451" max="7451" width="11.42578125" style="417"/>
    <col min="7452" max="7452" width="13.42578125" style="417" customWidth="1"/>
    <col min="7453" max="7453" width="15.28515625" style="417" customWidth="1"/>
    <col min="7454" max="7454" width="31.85546875" style="417" customWidth="1"/>
    <col min="7455" max="7455" width="5" style="417" bestFit="1" customWidth="1"/>
    <col min="7456" max="7456" width="6.42578125" style="417" bestFit="1" customWidth="1"/>
    <col min="7457" max="7457" width="5.42578125" style="417" bestFit="1" customWidth="1"/>
    <col min="7458" max="7458" width="4.28515625" style="417" bestFit="1" customWidth="1"/>
    <col min="7459" max="7459" width="5" style="417" bestFit="1" customWidth="1"/>
    <col min="7460" max="7460" width="4.5703125" style="417" bestFit="1" customWidth="1"/>
    <col min="7461" max="7461" width="4.140625" style="417" bestFit="1" customWidth="1"/>
    <col min="7462" max="7462" width="5.85546875" style="417" bestFit="1" customWidth="1"/>
    <col min="7463" max="7463" width="9.140625" style="417" bestFit="1" customWidth="1"/>
    <col min="7464" max="7464" width="6.5703125" style="417" bestFit="1" customWidth="1"/>
    <col min="7465" max="7465" width="8.85546875" style="417" bestFit="1" customWidth="1"/>
    <col min="7466" max="7466" width="8.28515625" style="417" bestFit="1" customWidth="1"/>
    <col min="7467" max="7680" width="11.42578125" style="417"/>
    <col min="7681" max="7681" width="14.42578125" style="417" customWidth="1"/>
    <col min="7682" max="7682" width="23.140625" style="417" customWidth="1"/>
    <col min="7683" max="7683" width="20.5703125" style="417" customWidth="1"/>
    <col min="7684" max="7684" width="15.85546875" style="417" customWidth="1"/>
    <col min="7685" max="7685" width="20.140625" style="417" customWidth="1"/>
    <col min="7686" max="7686" width="15.140625" style="417" customWidth="1"/>
    <col min="7687" max="7687" width="21.42578125" style="417" customWidth="1"/>
    <col min="7688" max="7688" width="20" style="417" customWidth="1"/>
    <col min="7689" max="7689" width="21.140625" style="417" customWidth="1"/>
    <col min="7690" max="7690" width="19.42578125" style="417" customWidth="1"/>
    <col min="7691" max="7691" width="20.85546875" style="417" customWidth="1"/>
    <col min="7692" max="7692" width="17.42578125" style="417" customWidth="1"/>
    <col min="7693" max="7693" width="17.85546875" style="417" customWidth="1"/>
    <col min="7694" max="7694" width="18.7109375" style="417" customWidth="1"/>
    <col min="7695" max="7695" width="17.5703125" style="417" customWidth="1"/>
    <col min="7696" max="7696" width="17.28515625" style="417" customWidth="1"/>
    <col min="7697" max="7697" width="20" style="417" customWidth="1"/>
    <col min="7698" max="7698" width="18.28515625" style="417" customWidth="1"/>
    <col min="7699" max="7699" width="18" style="417" customWidth="1"/>
    <col min="7700" max="7700" width="21.28515625" style="417" customWidth="1"/>
    <col min="7701" max="7701" width="14.7109375" style="417" customWidth="1"/>
    <col min="7702" max="7702" width="17.140625" style="417" customWidth="1"/>
    <col min="7703" max="7703" width="19.7109375" style="417" customWidth="1"/>
    <col min="7704" max="7704" width="18.5703125" style="417" customWidth="1"/>
    <col min="7705" max="7705" width="14.42578125" style="417" customWidth="1"/>
    <col min="7706" max="7706" width="14.140625" style="417" customWidth="1"/>
    <col min="7707" max="7707" width="11.42578125" style="417"/>
    <col min="7708" max="7708" width="13.42578125" style="417" customWidth="1"/>
    <col min="7709" max="7709" width="15.28515625" style="417" customWidth="1"/>
    <col min="7710" max="7710" width="31.85546875" style="417" customWidth="1"/>
    <col min="7711" max="7711" width="5" style="417" bestFit="1" customWidth="1"/>
    <col min="7712" max="7712" width="6.42578125" style="417" bestFit="1" customWidth="1"/>
    <col min="7713" max="7713" width="5.42578125" style="417" bestFit="1" customWidth="1"/>
    <col min="7714" max="7714" width="4.28515625" style="417" bestFit="1" customWidth="1"/>
    <col min="7715" max="7715" width="5" style="417" bestFit="1" customWidth="1"/>
    <col min="7716" max="7716" width="4.5703125" style="417" bestFit="1" customWidth="1"/>
    <col min="7717" max="7717" width="4.140625" style="417" bestFit="1" customWidth="1"/>
    <col min="7718" max="7718" width="5.85546875" style="417" bestFit="1" customWidth="1"/>
    <col min="7719" max="7719" width="9.140625" style="417" bestFit="1" customWidth="1"/>
    <col min="7720" max="7720" width="6.5703125" style="417" bestFit="1" customWidth="1"/>
    <col min="7721" max="7721" width="8.85546875" style="417" bestFit="1" customWidth="1"/>
    <col min="7722" max="7722" width="8.28515625" style="417" bestFit="1" customWidth="1"/>
    <col min="7723" max="7936" width="11.42578125" style="417"/>
    <col min="7937" max="7937" width="14.42578125" style="417" customWidth="1"/>
    <col min="7938" max="7938" width="23.140625" style="417" customWidth="1"/>
    <col min="7939" max="7939" width="20.5703125" style="417" customWidth="1"/>
    <col min="7940" max="7940" width="15.85546875" style="417" customWidth="1"/>
    <col min="7941" max="7941" width="20.140625" style="417" customWidth="1"/>
    <col min="7942" max="7942" width="15.140625" style="417" customWidth="1"/>
    <col min="7943" max="7943" width="21.42578125" style="417" customWidth="1"/>
    <col min="7944" max="7944" width="20" style="417" customWidth="1"/>
    <col min="7945" max="7945" width="21.140625" style="417" customWidth="1"/>
    <col min="7946" max="7946" width="19.42578125" style="417" customWidth="1"/>
    <col min="7947" max="7947" width="20.85546875" style="417" customWidth="1"/>
    <col min="7948" max="7948" width="17.42578125" style="417" customWidth="1"/>
    <col min="7949" max="7949" width="17.85546875" style="417" customWidth="1"/>
    <col min="7950" max="7950" width="18.7109375" style="417" customWidth="1"/>
    <col min="7951" max="7951" width="17.5703125" style="417" customWidth="1"/>
    <col min="7952" max="7952" width="17.28515625" style="417" customWidth="1"/>
    <col min="7953" max="7953" width="20" style="417" customWidth="1"/>
    <col min="7954" max="7954" width="18.28515625" style="417" customWidth="1"/>
    <col min="7955" max="7955" width="18" style="417" customWidth="1"/>
    <col min="7956" max="7956" width="21.28515625" style="417" customWidth="1"/>
    <col min="7957" max="7957" width="14.7109375" style="417" customWidth="1"/>
    <col min="7958" max="7958" width="17.140625" style="417" customWidth="1"/>
    <col min="7959" max="7959" width="19.7109375" style="417" customWidth="1"/>
    <col min="7960" max="7960" width="18.5703125" style="417" customWidth="1"/>
    <col min="7961" max="7961" width="14.42578125" style="417" customWidth="1"/>
    <col min="7962" max="7962" width="14.140625" style="417" customWidth="1"/>
    <col min="7963" max="7963" width="11.42578125" style="417"/>
    <col min="7964" max="7964" width="13.42578125" style="417" customWidth="1"/>
    <col min="7965" max="7965" width="15.28515625" style="417" customWidth="1"/>
    <col min="7966" max="7966" width="31.85546875" style="417" customWidth="1"/>
    <col min="7967" max="7967" width="5" style="417" bestFit="1" customWidth="1"/>
    <col min="7968" max="7968" width="6.42578125" style="417" bestFit="1" customWidth="1"/>
    <col min="7969" max="7969" width="5.42578125" style="417" bestFit="1" customWidth="1"/>
    <col min="7970" max="7970" width="4.28515625" style="417" bestFit="1" customWidth="1"/>
    <col min="7971" max="7971" width="5" style="417" bestFit="1" customWidth="1"/>
    <col min="7972" max="7972" width="4.5703125" style="417" bestFit="1" customWidth="1"/>
    <col min="7973" max="7973" width="4.140625" style="417" bestFit="1" customWidth="1"/>
    <col min="7974" max="7974" width="5.85546875" style="417" bestFit="1" customWidth="1"/>
    <col min="7975" max="7975" width="9.140625" style="417" bestFit="1" customWidth="1"/>
    <col min="7976" max="7976" width="6.5703125" style="417" bestFit="1" customWidth="1"/>
    <col min="7977" max="7977" width="8.85546875" style="417" bestFit="1" customWidth="1"/>
    <col min="7978" max="7978" width="8.28515625" style="417" bestFit="1" customWidth="1"/>
    <col min="7979" max="8192" width="11.42578125" style="417"/>
    <col min="8193" max="8193" width="14.42578125" style="417" customWidth="1"/>
    <col min="8194" max="8194" width="23.140625" style="417" customWidth="1"/>
    <col min="8195" max="8195" width="20.5703125" style="417" customWidth="1"/>
    <col min="8196" max="8196" width="15.85546875" style="417" customWidth="1"/>
    <col min="8197" max="8197" width="20.140625" style="417" customWidth="1"/>
    <col min="8198" max="8198" width="15.140625" style="417" customWidth="1"/>
    <col min="8199" max="8199" width="21.42578125" style="417" customWidth="1"/>
    <col min="8200" max="8200" width="20" style="417" customWidth="1"/>
    <col min="8201" max="8201" width="21.140625" style="417" customWidth="1"/>
    <col min="8202" max="8202" width="19.42578125" style="417" customWidth="1"/>
    <col min="8203" max="8203" width="20.85546875" style="417" customWidth="1"/>
    <col min="8204" max="8204" width="17.42578125" style="417" customWidth="1"/>
    <col min="8205" max="8205" width="17.85546875" style="417" customWidth="1"/>
    <col min="8206" max="8206" width="18.7109375" style="417" customWidth="1"/>
    <col min="8207" max="8207" width="17.5703125" style="417" customWidth="1"/>
    <col min="8208" max="8208" width="17.28515625" style="417" customWidth="1"/>
    <col min="8209" max="8209" width="20" style="417" customWidth="1"/>
    <col min="8210" max="8210" width="18.28515625" style="417" customWidth="1"/>
    <col min="8211" max="8211" width="18" style="417" customWidth="1"/>
    <col min="8212" max="8212" width="21.28515625" style="417" customWidth="1"/>
    <col min="8213" max="8213" width="14.7109375" style="417" customWidth="1"/>
    <col min="8214" max="8214" width="17.140625" style="417" customWidth="1"/>
    <col min="8215" max="8215" width="19.7109375" style="417" customWidth="1"/>
    <col min="8216" max="8216" width="18.5703125" style="417" customWidth="1"/>
    <col min="8217" max="8217" width="14.42578125" style="417" customWidth="1"/>
    <col min="8218" max="8218" width="14.140625" style="417" customWidth="1"/>
    <col min="8219" max="8219" width="11.42578125" style="417"/>
    <col min="8220" max="8220" width="13.42578125" style="417" customWidth="1"/>
    <col min="8221" max="8221" width="15.28515625" style="417" customWidth="1"/>
    <col min="8222" max="8222" width="31.85546875" style="417" customWidth="1"/>
    <col min="8223" max="8223" width="5" style="417" bestFit="1" customWidth="1"/>
    <col min="8224" max="8224" width="6.42578125" style="417" bestFit="1" customWidth="1"/>
    <col min="8225" max="8225" width="5.42578125" style="417" bestFit="1" customWidth="1"/>
    <col min="8226" max="8226" width="4.28515625" style="417" bestFit="1" customWidth="1"/>
    <col min="8227" max="8227" width="5" style="417" bestFit="1" customWidth="1"/>
    <col min="8228" max="8228" width="4.5703125" style="417" bestFit="1" customWidth="1"/>
    <col min="8229" max="8229" width="4.140625" style="417" bestFit="1" customWidth="1"/>
    <col min="8230" max="8230" width="5.85546875" style="417" bestFit="1" customWidth="1"/>
    <col min="8231" max="8231" width="9.140625" style="417" bestFit="1" customWidth="1"/>
    <col min="8232" max="8232" width="6.5703125" style="417" bestFit="1" customWidth="1"/>
    <col min="8233" max="8233" width="8.85546875" style="417" bestFit="1" customWidth="1"/>
    <col min="8234" max="8234" width="8.28515625" style="417" bestFit="1" customWidth="1"/>
    <col min="8235" max="8448" width="11.42578125" style="417"/>
    <col min="8449" max="8449" width="14.42578125" style="417" customWidth="1"/>
    <col min="8450" max="8450" width="23.140625" style="417" customWidth="1"/>
    <col min="8451" max="8451" width="20.5703125" style="417" customWidth="1"/>
    <col min="8452" max="8452" width="15.85546875" style="417" customWidth="1"/>
    <col min="8453" max="8453" width="20.140625" style="417" customWidth="1"/>
    <col min="8454" max="8454" width="15.140625" style="417" customWidth="1"/>
    <col min="8455" max="8455" width="21.42578125" style="417" customWidth="1"/>
    <col min="8456" max="8456" width="20" style="417" customWidth="1"/>
    <col min="8457" max="8457" width="21.140625" style="417" customWidth="1"/>
    <col min="8458" max="8458" width="19.42578125" style="417" customWidth="1"/>
    <col min="8459" max="8459" width="20.85546875" style="417" customWidth="1"/>
    <col min="8460" max="8460" width="17.42578125" style="417" customWidth="1"/>
    <col min="8461" max="8461" width="17.85546875" style="417" customWidth="1"/>
    <col min="8462" max="8462" width="18.7109375" style="417" customWidth="1"/>
    <col min="8463" max="8463" width="17.5703125" style="417" customWidth="1"/>
    <col min="8464" max="8464" width="17.28515625" style="417" customWidth="1"/>
    <col min="8465" max="8465" width="20" style="417" customWidth="1"/>
    <col min="8466" max="8466" width="18.28515625" style="417" customWidth="1"/>
    <col min="8467" max="8467" width="18" style="417" customWidth="1"/>
    <col min="8468" max="8468" width="21.28515625" style="417" customWidth="1"/>
    <col min="8469" max="8469" width="14.7109375" style="417" customWidth="1"/>
    <col min="8470" max="8470" width="17.140625" style="417" customWidth="1"/>
    <col min="8471" max="8471" width="19.7109375" style="417" customWidth="1"/>
    <col min="8472" max="8472" width="18.5703125" style="417" customWidth="1"/>
    <col min="8473" max="8473" width="14.42578125" style="417" customWidth="1"/>
    <col min="8474" max="8474" width="14.140625" style="417" customWidth="1"/>
    <col min="8475" max="8475" width="11.42578125" style="417"/>
    <col min="8476" max="8476" width="13.42578125" style="417" customWidth="1"/>
    <col min="8477" max="8477" width="15.28515625" style="417" customWidth="1"/>
    <col min="8478" max="8478" width="31.85546875" style="417" customWidth="1"/>
    <col min="8479" max="8479" width="5" style="417" bestFit="1" customWidth="1"/>
    <col min="8480" max="8480" width="6.42578125" style="417" bestFit="1" customWidth="1"/>
    <col min="8481" max="8481" width="5.42578125" style="417" bestFit="1" customWidth="1"/>
    <col min="8482" max="8482" width="4.28515625" style="417" bestFit="1" customWidth="1"/>
    <col min="8483" max="8483" width="5" style="417" bestFit="1" customWidth="1"/>
    <col min="8484" max="8484" width="4.5703125" style="417" bestFit="1" customWidth="1"/>
    <col min="8485" max="8485" width="4.140625" style="417" bestFit="1" customWidth="1"/>
    <col min="8486" max="8486" width="5.85546875" style="417" bestFit="1" customWidth="1"/>
    <col min="8487" max="8487" width="9.140625" style="417" bestFit="1" customWidth="1"/>
    <col min="8488" max="8488" width="6.5703125" style="417" bestFit="1" customWidth="1"/>
    <col min="8489" max="8489" width="8.85546875" style="417" bestFit="1" customWidth="1"/>
    <col min="8490" max="8490" width="8.28515625" style="417" bestFit="1" customWidth="1"/>
    <col min="8491" max="8704" width="11.42578125" style="417"/>
    <col min="8705" max="8705" width="14.42578125" style="417" customWidth="1"/>
    <col min="8706" max="8706" width="23.140625" style="417" customWidth="1"/>
    <col min="8707" max="8707" width="20.5703125" style="417" customWidth="1"/>
    <col min="8708" max="8708" width="15.85546875" style="417" customWidth="1"/>
    <col min="8709" max="8709" width="20.140625" style="417" customWidth="1"/>
    <col min="8710" max="8710" width="15.140625" style="417" customWidth="1"/>
    <col min="8711" max="8711" width="21.42578125" style="417" customWidth="1"/>
    <col min="8712" max="8712" width="20" style="417" customWidth="1"/>
    <col min="8713" max="8713" width="21.140625" style="417" customWidth="1"/>
    <col min="8714" max="8714" width="19.42578125" style="417" customWidth="1"/>
    <col min="8715" max="8715" width="20.85546875" style="417" customWidth="1"/>
    <col min="8716" max="8716" width="17.42578125" style="417" customWidth="1"/>
    <col min="8717" max="8717" width="17.85546875" style="417" customWidth="1"/>
    <col min="8718" max="8718" width="18.7109375" style="417" customWidth="1"/>
    <col min="8719" max="8719" width="17.5703125" style="417" customWidth="1"/>
    <col min="8720" max="8720" width="17.28515625" style="417" customWidth="1"/>
    <col min="8721" max="8721" width="20" style="417" customWidth="1"/>
    <col min="8722" max="8722" width="18.28515625" style="417" customWidth="1"/>
    <col min="8723" max="8723" width="18" style="417" customWidth="1"/>
    <col min="8724" max="8724" width="21.28515625" style="417" customWidth="1"/>
    <col min="8725" max="8725" width="14.7109375" style="417" customWidth="1"/>
    <col min="8726" max="8726" width="17.140625" style="417" customWidth="1"/>
    <col min="8727" max="8727" width="19.7109375" style="417" customWidth="1"/>
    <col min="8728" max="8728" width="18.5703125" style="417" customWidth="1"/>
    <col min="8729" max="8729" width="14.42578125" style="417" customWidth="1"/>
    <col min="8730" max="8730" width="14.140625" style="417" customWidth="1"/>
    <col min="8731" max="8731" width="11.42578125" style="417"/>
    <col min="8732" max="8732" width="13.42578125" style="417" customWidth="1"/>
    <col min="8733" max="8733" width="15.28515625" style="417" customWidth="1"/>
    <col min="8734" max="8734" width="31.85546875" style="417" customWidth="1"/>
    <col min="8735" max="8735" width="5" style="417" bestFit="1" customWidth="1"/>
    <col min="8736" max="8736" width="6.42578125" style="417" bestFit="1" customWidth="1"/>
    <col min="8737" max="8737" width="5.42578125" style="417" bestFit="1" customWidth="1"/>
    <col min="8738" max="8738" width="4.28515625" style="417" bestFit="1" customWidth="1"/>
    <col min="8739" max="8739" width="5" style="417" bestFit="1" customWidth="1"/>
    <col min="8740" max="8740" width="4.5703125" style="417" bestFit="1" customWidth="1"/>
    <col min="8741" max="8741" width="4.140625" style="417" bestFit="1" customWidth="1"/>
    <col min="8742" max="8742" width="5.85546875" style="417" bestFit="1" customWidth="1"/>
    <col min="8743" max="8743" width="9.140625" style="417" bestFit="1" customWidth="1"/>
    <col min="8744" max="8744" width="6.5703125" style="417" bestFit="1" customWidth="1"/>
    <col min="8745" max="8745" width="8.85546875" style="417" bestFit="1" customWidth="1"/>
    <col min="8746" max="8746" width="8.28515625" style="417" bestFit="1" customWidth="1"/>
    <col min="8747" max="8960" width="11.42578125" style="417"/>
    <col min="8961" max="8961" width="14.42578125" style="417" customWidth="1"/>
    <col min="8962" max="8962" width="23.140625" style="417" customWidth="1"/>
    <col min="8963" max="8963" width="20.5703125" style="417" customWidth="1"/>
    <col min="8964" max="8964" width="15.85546875" style="417" customWidth="1"/>
    <col min="8965" max="8965" width="20.140625" style="417" customWidth="1"/>
    <col min="8966" max="8966" width="15.140625" style="417" customWidth="1"/>
    <col min="8967" max="8967" width="21.42578125" style="417" customWidth="1"/>
    <col min="8968" max="8968" width="20" style="417" customWidth="1"/>
    <col min="8969" max="8969" width="21.140625" style="417" customWidth="1"/>
    <col min="8970" max="8970" width="19.42578125" style="417" customWidth="1"/>
    <col min="8971" max="8971" width="20.85546875" style="417" customWidth="1"/>
    <col min="8972" max="8972" width="17.42578125" style="417" customWidth="1"/>
    <col min="8973" max="8973" width="17.85546875" style="417" customWidth="1"/>
    <col min="8974" max="8974" width="18.7109375" style="417" customWidth="1"/>
    <col min="8975" max="8975" width="17.5703125" style="417" customWidth="1"/>
    <col min="8976" max="8976" width="17.28515625" style="417" customWidth="1"/>
    <col min="8977" max="8977" width="20" style="417" customWidth="1"/>
    <col min="8978" max="8978" width="18.28515625" style="417" customWidth="1"/>
    <col min="8979" max="8979" width="18" style="417" customWidth="1"/>
    <col min="8980" max="8980" width="21.28515625" style="417" customWidth="1"/>
    <col min="8981" max="8981" width="14.7109375" style="417" customWidth="1"/>
    <col min="8982" max="8982" width="17.140625" style="417" customWidth="1"/>
    <col min="8983" max="8983" width="19.7109375" style="417" customWidth="1"/>
    <col min="8984" max="8984" width="18.5703125" style="417" customWidth="1"/>
    <col min="8985" max="8985" width="14.42578125" style="417" customWidth="1"/>
    <col min="8986" max="8986" width="14.140625" style="417" customWidth="1"/>
    <col min="8987" max="8987" width="11.42578125" style="417"/>
    <col min="8988" max="8988" width="13.42578125" style="417" customWidth="1"/>
    <col min="8989" max="8989" width="15.28515625" style="417" customWidth="1"/>
    <col min="8990" max="8990" width="31.85546875" style="417" customWidth="1"/>
    <col min="8991" max="8991" width="5" style="417" bestFit="1" customWidth="1"/>
    <col min="8992" max="8992" width="6.42578125" style="417" bestFit="1" customWidth="1"/>
    <col min="8993" max="8993" width="5.42578125" style="417" bestFit="1" customWidth="1"/>
    <col min="8994" max="8994" width="4.28515625" style="417" bestFit="1" customWidth="1"/>
    <col min="8995" max="8995" width="5" style="417" bestFit="1" customWidth="1"/>
    <col min="8996" max="8996" width="4.5703125" style="417" bestFit="1" customWidth="1"/>
    <col min="8997" max="8997" width="4.140625" style="417" bestFit="1" customWidth="1"/>
    <col min="8998" max="8998" width="5.85546875" style="417" bestFit="1" customWidth="1"/>
    <col min="8999" max="8999" width="9.140625" style="417" bestFit="1" customWidth="1"/>
    <col min="9000" max="9000" width="6.5703125" style="417" bestFit="1" customWidth="1"/>
    <col min="9001" max="9001" width="8.85546875" style="417" bestFit="1" customWidth="1"/>
    <col min="9002" max="9002" width="8.28515625" style="417" bestFit="1" customWidth="1"/>
    <col min="9003" max="9216" width="11.42578125" style="417"/>
    <col min="9217" max="9217" width="14.42578125" style="417" customWidth="1"/>
    <col min="9218" max="9218" width="23.140625" style="417" customWidth="1"/>
    <col min="9219" max="9219" width="20.5703125" style="417" customWidth="1"/>
    <col min="9220" max="9220" width="15.85546875" style="417" customWidth="1"/>
    <col min="9221" max="9221" width="20.140625" style="417" customWidth="1"/>
    <col min="9222" max="9222" width="15.140625" style="417" customWidth="1"/>
    <col min="9223" max="9223" width="21.42578125" style="417" customWidth="1"/>
    <col min="9224" max="9224" width="20" style="417" customWidth="1"/>
    <col min="9225" max="9225" width="21.140625" style="417" customWidth="1"/>
    <col min="9226" max="9226" width="19.42578125" style="417" customWidth="1"/>
    <col min="9227" max="9227" width="20.85546875" style="417" customWidth="1"/>
    <col min="9228" max="9228" width="17.42578125" style="417" customWidth="1"/>
    <col min="9229" max="9229" width="17.85546875" style="417" customWidth="1"/>
    <col min="9230" max="9230" width="18.7109375" style="417" customWidth="1"/>
    <col min="9231" max="9231" width="17.5703125" style="417" customWidth="1"/>
    <col min="9232" max="9232" width="17.28515625" style="417" customWidth="1"/>
    <col min="9233" max="9233" width="20" style="417" customWidth="1"/>
    <col min="9234" max="9234" width="18.28515625" style="417" customWidth="1"/>
    <col min="9235" max="9235" width="18" style="417" customWidth="1"/>
    <col min="9236" max="9236" width="21.28515625" style="417" customWidth="1"/>
    <col min="9237" max="9237" width="14.7109375" style="417" customWidth="1"/>
    <col min="9238" max="9238" width="17.140625" style="417" customWidth="1"/>
    <col min="9239" max="9239" width="19.7109375" style="417" customWidth="1"/>
    <col min="9240" max="9240" width="18.5703125" style="417" customWidth="1"/>
    <col min="9241" max="9241" width="14.42578125" style="417" customWidth="1"/>
    <col min="9242" max="9242" width="14.140625" style="417" customWidth="1"/>
    <col min="9243" max="9243" width="11.42578125" style="417"/>
    <col min="9244" max="9244" width="13.42578125" style="417" customWidth="1"/>
    <col min="9245" max="9245" width="15.28515625" style="417" customWidth="1"/>
    <col min="9246" max="9246" width="31.85546875" style="417" customWidth="1"/>
    <col min="9247" max="9247" width="5" style="417" bestFit="1" customWidth="1"/>
    <col min="9248" max="9248" width="6.42578125" style="417" bestFit="1" customWidth="1"/>
    <col min="9249" max="9249" width="5.42578125" style="417" bestFit="1" customWidth="1"/>
    <col min="9250" max="9250" width="4.28515625" style="417" bestFit="1" customWidth="1"/>
    <col min="9251" max="9251" width="5" style="417" bestFit="1" customWidth="1"/>
    <col min="9252" max="9252" width="4.5703125" style="417" bestFit="1" customWidth="1"/>
    <col min="9253" max="9253" width="4.140625" style="417" bestFit="1" customWidth="1"/>
    <col min="9254" max="9254" width="5.85546875" style="417" bestFit="1" customWidth="1"/>
    <col min="9255" max="9255" width="9.140625" style="417" bestFit="1" customWidth="1"/>
    <col min="9256" max="9256" width="6.5703125" style="417" bestFit="1" customWidth="1"/>
    <col min="9257" max="9257" width="8.85546875" style="417" bestFit="1" customWidth="1"/>
    <col min="9258" max="9258" width="8.28515625" style="417" bestFit="1" customWidth="1"/>
    <col min="9259" max="9472" width="11.42578125" style="417"/>
    <col min="9473" max="9473" width="14.42578125" style="417" customWidth="1"/>
    <col min="9474" max="9474" width="23.140625" style="417" customWidth="1"/>
    <col min="9475" max="9475" width="20.5703125" style="417" customWidth="1"/>
    <col min="9476" max="9476" width="15.85546875" style="417" customWidth="1"/>
    <col min="9477" max="9477" width="20.140625" style="417" customWidth="1"/>
    <col min="9478" max="9478" width="15.140625" style="417" customWidth="1"/>
    <col min="9479" max="9479" width="21.42578125" style="417" customWidth="1"/>
    <col min="9480" max="9480" width="20" style="417" customWidth="1"/>
    <col min="9481" max="9481" width="21.140625" style="417" customWidth="1"/>
    <col min="9482" max="9482" width="19.42578125" style="417" customWidth="1"/>
    <col min="9483" max="9483" width="20.85546875" style="417" customWidth="1"/>
    <col min="9484" max="9484" width="17.42578125" style="417" customWidth="1"/>
    <col min="9485" max="9485" width="17.85546875" style="417" customWidth="1"/>
    <col min="9486" max="9486" width="18.7109375" style="417" customWidth="1"/>
    <col min="9487" max="9487" width="17.5703125" style="417" customWidth="1"/>
    <col min="9488" max="9488" width="17.28515625" style="417" customWidth="1"/>
    <col min="9489" max="9489" width="20" style="417" customWidth="1"/>
    <col min="9490" max="9490" width="18.28515625" style="417" customWidth="1"/>
    <col min="9491" max="9491" width="18" style="417" customWidth="1"/>
    <col min="9492" max="9492" width="21.28515625" style="417" customWidth="1"/>
    <col min="9493" max="9493" width="14.7109375" style="417" customWidth="1"/>
    <col min="9494" max="9494" width="17.140625" style="417" customWidth="1"/>
    <col min="9495" max="9495" width="19.7109375" style="417" customWidth="1"/>
    <col min="9496" max="9496" width="18.5703125" style="417" customWidth="1"/>
    <col min="9497" max="9497" width="14.42578125" style="417" customWidth="1"/>
    <col min="9498" max="9498" width="14.140625" style="417" customWidth="1"/>
    <col min="9499" max="9499" width="11.42578125" style="417"/>
    <col min="9500" max="9500" width="13.42578125" style="417" customWidth="1"/>
    <col min="9501" max="9501" width="15.28515625" style="417" customWidth="1"/>
    <col min="9502" max="9502" width="31.85546875" style="417" customWidth="1"/>
    <col min="9503" max="9503" width="5" style="417" bestFit="1" customWidth="1"/>
    <col min="9504" max="9504" width="6.42578125" style="417" bestFit="1" customWidth="1"/>
    <col min="9505" max="9505" width="5.42578125" style="417" bestFit="1" customWidth="1"/>
    <col min="9506" max="9506" width="4.28515625" style="417" bestFit="1" customWidth="1"/>
    <col min="9507" max="9507" width="5" style="417" bestFit="1" customWidth="1"/>
    <col min="9508" max="9508" width="4.5703125" style="417" bestFit="1" customWidth="1"/>
    <col min="9509" max="9509" width="4.140625" style="417" bestFit="1" customWidth="1"/>
    <col min="9510" max="9510" width="5.85546875" style="417" bestFit="1" customWidth="1"/>
    <col min="9511" max="9511" width="9.140625" style="417" bestFit="1" customWidth="1"/>
    <col min="9512" max="9512" width="6.5703125" style="417" bestFit="1" customWidth="1"/>
    <col min="9513" max="9513" width="8.85546875" style="417" bestFit="1" customWidth="1"/>
    <col min="9514" max="9514" width="8.28515625" style="417" bestFit="1" customWidth="1"/>
    <col min="9515" max="9728" width="11.42578125" style="417"/>
    <col min="9729" max="9729" width="14.42578125" style="417" customWidth="1"/>
    <col min="9730" max="9730" width="23.140625" style="417" customWidth="1"/>
    <col min="9731" max="9731" width="20.5703125" style="417" customWidth="1"/>
    <col min="9732" max="9732" width="15.85546875" style="417" customWidth="1"/>
    <col min="9733" max="9733" width="20.140625" style="417" customWidth="1"/>
    <col min="9734" max="9734" width="15.140625" style="417" customWidth="1"/>
    <col min="9735" max="9735" width="21.42578125" style="417" customWidth="1"/>
    <col min="9736" max="9736" width="20" style="417" customWidth="1"/>
    <col min="9737" max="9737" width="21.140625" style="417" customWidth="1"/>
    <col min="9738" max="9738" width="19.42578125" style="417" customWidth="1"/>
    <col min="9739" max="9739" width="20.85546875" style="417" customWidth="1"/>
    <col min="9740" max="9740" width="17.42578125" style="417" customWidth="1"/>
    <col min="9741" max="9741" width="17.85546875" style="417" customWidth="1"/>
    <col min="9742" max="9742" width="18.7109375" style="417" customWidth="1"/>
    <col min="9743" max="9743" width="17.5703125" style="417" customWidth="1"/>
    <col min="9744" max="9744" width="17.28515625" style="417" customWidth="1"/>
    <col min="9745" max="9745" width="20" style="417" customWidth="1"/>
    <col min="9746" max="9746" width="18.28515625" style="417" customWidth="1"/>
    <col min="9747" max="9747" width="18" style="417" customWidth="1"/>
    <col min="9748" max="9748" width="21.28515625" style="417" customWidth="1"/>
    <col min="9749" max="9749" width="14.7109375" style="417" customWidth="1"/>
    <col min="9750" max="9750" width="17.140625" style="417" customWidth="1"/>
    <col min="9751" max="9751" width="19.7109375" style="417" customWidth="1"/>
    <col min="9752" max="9752" width="18.5703125" style="417" customWidth="1"/>
    <col min="9753" max="9753" width="14.42578125" style="417" customWidth="1"/>
    <col min="9754" max="9754" width="14.140625" style="417" customWidth="1"/>
    <col min="9755" max="9755" width="11.42578125" style="417"/>
    <col min="9756" max="9756" width="13.42578125" style="417" customWidth="1"/>
    <col min="9757" max="9757" width="15.28515625" style="417" customWidth="1"/>
    <col min="9758" max="9758" width="31.85546875" style="417" customWidth="1"/>
    <col min="9759" max="9759" width="5" style="417" bestFit="1" customWidth="1"/>
    <col min="9760" max="9760" width="6.42578125" style="417" bestFit="1" customWidth="1"/>
    <col min="9761" max="9761" width="5.42578125" style="417" bestFit="1" customWidth="1"/>
    <col min="9762" max="9762" width="4.28515625" style="417" bestFit="1" customWidth="1"/>
    <col min="9763" max="9763" width="5" style="417" bestFit="1" customWidth="1"/>
    <col min="9764" max="9764" width="4.5703125" style="417" bestFit="1" customWidth="1"/>
    <col min="9765" max="9765" width="4.140625" style="417" bestFit="1" customWidth="1"/>
    <col min="9766" max="9766" width="5.85546875" style="417" bestFit="1" customWidth="1"/>
    <col min="9767" max="9767" width="9.140625" style="417" bestFit="1" customWidth="1"/>
    <col min="9768" max="9768" width="6.5703125" style="417" bestFit="1" customWidth="1"/>
    <col min="9769" max="9769" width="8.85546875" style="417" bestFit="1" customWidth="1"/>
    <col min="9770" max="9770" width="8.28515625" style="417" bestFit="1" customWidth="1"/>
    <col min="9771" max="9984" width="11.42578125" style="417"/>
    <col min="9985" max="9985" width="14.42578125" style="417" customWidth="1"/>
    <col min="9986" max="9986" width="23.140625" style="417" customWidth="1"/>
    <col min="9987" max="9987" width="20.5703125" style="417" customWidth="1"/>
    <col min="9988" max="9988" width="15.85546875" style="417" customWidth="1"/>
    <col min="9989" max="9989" width="20.140625" style="417" customWidth="1"/>
    <col min="9990" max="9990" width="15.140625" style="417" customWidth="1"/>
    <col min="9991" max="9991" width="21.42578125" style="417" customWidth="1"/>
    <col min="9992" max="9992" width="20" style="417" customWidth="1"/>
    <col min="9993" max="9993" width="21.140625" style="417" customWidth="1"/>
    <col min="9994" max="9994" width="19.42578125" style="417" customWidth="1"/>
    <col min="9995" max="9995" width="20.85546875" style="417" customWidth="1"/>
    <col min="9996" max="9996" width="17.42578125" style="417" customWidth="1"/>
    <col min="9997" max="9997" width="17.85546875" style="417" customWidth="1"/>
    <col min="9998" max="9998" width="18.7109375" style="417" customWidth="1"/>
    <col min="9999" max="9999" width="17.5703125" style="417" customWidth="1"/>
    <col min="10000" max="10000" width="17.28515625" style="417" customWidth="1"/>
    <col min="10001" max="10001" width="20" style="417" customWidth="1"/>
    <col min="10002" max="10002" width="18.28515625" style="417" customWidth="1"/>
    <col min="10003" max="10003" width="18" style="417" customWidth="1"/>
    <col min="10004" max="10004" width="21.28515625" style="417" customWidth="1"/>
    <col min="10005" max="10005" width="14.7109375" style="417" customWidth="1"/>
    <col min="10006" max="10006" width="17.140625" style="417" customWidth="1"/>
    <col min="10007" max="10007" width="19.7109375" style="417" customWidth="1"/>
    <col min="10008" max="10008" width="18.5703125" style="417" customWidth="1"/>
    <col min="10009" max="10009" width="14.42578125" style="417" customWidth="1"/>
    <col min="10010" max="10010" width="14.140625" style="417" customWidth="1"/>
    <col min="10011" max="10011" width="11.42578125" style="417"/>
    <col min="10012" max="10012" width="13.42578125" style="417" customWidth="1"/>
    <col min="10013" max="10013" width="15.28515625" style="417" customWidth="1"/>
    <col min="10014" max="10014" width="31.85546875" style="417" customWidth="1"/>
    <col min="10015" max="10015" width="5" style="417" bestFit="1" customWidth="1"/>
    <col min="10016" max="10016" width="6.42578125" style="417" bestFit="1" customWidth="1"/>
    <col min="10017" max="10017" width="5.42578125" style="417" bestFit="1" customWidth="1"/>
    <col min="10018" max="10018" width="4.28515625" style="417" bestFit="1" customWidth="1"/>
    <col min="10019" max="10019" width="5" style="417" bestFit="1" customWidth="1"/>
    <col min="10020" max="10020" width="4.5703125" style="417" bestFit="1" customWidth="1"/>
    <col min="10021" max="10021" width="4.140625" style="417" bestFit="1" customWidth="1"/>
    <col min="10022" max="10022" width="5.85546875" style="417" bestFit="1" customWidth="1"/>
    <col min="10023" max="10023" width="9.140625" style="417" bestFit="1" customWidth="1"/>
    <col min="10024" max="10024" width="6.5703125" style="417" bestFit="1" customWidth="1"/>
    <col min="10025" max="10025" width="8.85546875" style="417" bestFit="1" customWidth="1"/>
    <col min="10026" max="10026" width="8.28515625" style="417" bestFit="1" customWidth="1"/>
    <col min="10027" max="10240" width="11.42578125" style="417"/>
    <col min="10241" max="10241" width="14.42578125" style="417" customWidth="1"/>
    <col min="10242" max="10242" width="23.140625" style="417" customWidth="1"/>
    <col min="10243" max="10243" width="20.5703125" style="417" customWidth="1"/>
    <col min="10244" max="10244" width="15.85546875" style="417" customWidth="1"/>
    <col min="10245" max="10245" width="20.140625" style="417" customWidth="1"/>
    <col min="10246" max="10246" width="15.140625" style="417" customWidth="1"/>
    <col min="10247" max="10247" width="21.42578125" style="417" customWidth="1"/>
    <col min="10248" max="10248" width="20" style="417" customWidth="1"/>
    <col min="10249" max="10249" width="21.140625" style="417" customWidth="1"/>
    <col min="10250" max="10250" width="19.42578125" style="417" customWidth="1"/>
    <col min="10251" max="10251" width="20.85546875" style="417" customWidth="1"/>
    <col min="10252" max="10252" width="17.42578125" style="417" customWidth="1"/>
    <col min="10253" max="10253" width="17.85546875" style="417" customWidth="1"/>
    <col min="10254" max="10254" width="18.7109375" style="417" customWidth="1"/>
    <col min="10255" max="10255" width="17.5703125" style="417" customWidth="1"/>
    <col min="10256" max="10256" width="17.28515625" style="417" customWidth="1"/>
    <col min="10257" max="10257" width="20" style="417" customWidth="1"/>
    <col min="10258" max="10258" width="18.28515625" style="417" customWidth="1"/>
    <col min="10259" max="10259" width="18" style="417" customWidth="1"/>
    <col min="10260" max="10260" width="21.28515625" style="417" customWidth="1"/>
    <col min="10261" max="10261" width="14.7109375" style="417" customWidth="1"/>
    <col min="10262" max="10262" width="17.140625" style="417" customWidth="1"/>
    <col min="10263" max="10263" width="19.7109375" style="417" customWidth="1"/>
    <col min="10264" max="10264" width="18.5703125" style="417" customWidth="1"/>
    <col min="10265" max="10265" width="14.42578125" style="417" customWidth="1"/>
    <col min="10266" max="10266" width="14.140625" style="417" customWidth="1"/>
    <col min="10267" max="10267" width="11.42578125" style="417"/>
    <col min="10268" max="10268" width="13.42578125" style="417" customWidth="1"/>
    <col min="10269" max="10269" width="15.28515625" style="417" customWidth="1"/>
    <col min="10270" max="10270" width="31.85546875" style="417" customWidth="1"/>
    <col min="10271" max="10271" width="5" style="417" bestFit="1" customWidth="1"/>
    <col min="10272" max="10272" width="6.42578125" style="417" bestFit="1" customWidth="1"/>
    <col min="10273" max="10273" width="5.42578125" style="417" bestFit="1" customWidth="1"/>
    <col min="10274" max="10274" width="4.28515625" style="417" bestFit="1" customWidth="1"/>
    <col min="10275" max="10275" width="5" style="417" bestFit="1" customWidth="1"/>
    <col min="10276" max="10276" width="4.5703125" style="417" bestFit="1" customWidth="1"/>
    <col min="10277" max="10277" width="4.140625" style="417" bestFit="1" customWidth="1"/>
    <col min="10278" max="10278" width="5.85546875" style="417" bestFit="1" customWidth="1"/>
    <col min="10279" max="10279" width="9.140625" style="417" bestFit="1" customWidth="1"/>
    <col min="10280" max="10280" width="6.5703125" style="417" bestFit="1" customWidth="1"/>
    <col min="10281" max="10281" width="8.85546875" style="417" bestFit="1" customWidth="1"/>
    <col min="10282" max="10282" width="8.28515625" style="417" bestFit="1" customWidth="1"/>
    <col min="10283" max="10496" width="11.42578125" style="417"/>
    <col min="10497" max="10497" width="14.42578125" style="417" customWidth="1"/>
    <col min="10498" max="10498" width="23.140625" style="417" customWidth="1"/>
    <col min="10499" max="10499" width="20.5703125" style="417" customWidth="1"/>
    <col min="10500" max="10500" width="15.85546875" style="417" customWidth="1"/>
    <col min="10501" max="10501" width="20.140625" style="417" customWidth="1"/>
    <col min="10502" max="10502" width="15.140625" style="417" customWidth="1"/>
    <col min="10503" max="10503" width="21.42578125" style="417" customWidth="1"/>
    <col min="10504" max="10504" width="20" style="417" customWidth="1"/>
    <col min="10505" max="10505" width="21.140625" style="417" customWidth="1"/>
    <col min="10506" max="10506" width="19.42578125" style="417" customWidth="1"/>
    <col min="10507" max="10507" width="20.85546875" style="417" customWidth="1"/>
    <col min="10508" max="10508" width="17.42578125" style="417" customWidth="1"/>
    <col min="10509" max="10509" width="17.85546875" style="417" customWidth="1"/>
    <col min="10510" max="10510" width="18.7109375" style="417" customWidth="1"/>
    <col min="10511" max="10511" width="17.5703125" style="417" customWidth="1"/>
    <col min="10512" max="10512" width="17.28515625" style="417" customWidth="1"/>
    <col min="10513" max="10513" width="20" style="417" customWidth="1"/>
    <col min="10514" max="10514" width="18.28515625" style="417" customWidth="1"/>
    <col min="10515" max="10515" width="18" style="417" customWidth="1"/>
    <col min="10516" max="10516" width="21.28515625" style="417" customWidth="1"/>
    <col min="10517" max="10517" width="14.7109375" style="417" customWidth="1"/>
    <col min="10518" max="10518" width="17.140625" style="417" customWidth="1"/>
    <col min="10519" max="10519" width="19.7109375" style="417" customWidth="1"/>
    <col min="10520" max="10520" width="18.5703125" style="417" customWidth="1"/>
    <col min="10521" max="10521" width="14.42578125" style="417" customWidth="1"/>
    <col min="10522" max="10522" width="14.140625" style="417" customWidth="1"/>
    <col min="10523" max="10523" width="11.42578125" style="417"/>
    <col min="10524" max="10524" width="13.42578125" style="417" customWidth="1"/>
    <col min="10525" max="10525" width="15.28515625" style="417" customWidth="1"/>
    <col min="10526" max="10526" width="31.85546875" style="417" customWidth="1"/>
    <col min="10527" max="10527" width="5" style="417" bestFit="1" customWidth="1"/>
    <col min="10528" max="10528" width="6.42578125" style="417" bestFit="1" customWidth="1"/>
    <col min="10529" max="10529" width="5.42578125" style="417" bestFit="1" customWidth="1"/>
    <col min="10530" max="10530" width="4.28515625" style="417" bestFit="1" customWidth="1"/>
    <col min="10531" max="10531" width="5" style="417" bestFit="1" customWidth="1"/>
    <col min="10532" max="10532" width="4.5703125" style="417" bestFit="1" customWidth="1"/>
    <col min="10533" max="10533" width="4.140625" style="417" bestFit="1" customWidth="1"/>
    <col min="10534" max="10534" width="5.85546875" style="417" bestFit="1" customWidth="1"/>
    <col min="10535" max="10535" width="9.140625" style="417" bestFit="1" customWidth="1"/>
    <col min="10536" max="10536" width="6.5703125" style="417" bestFit="1" customWidth="1"/>
    <col min="10537" max="10537" width="8.85546875" style="417" bestFit="1" customWidth="1"/>
    <col min="10538" max="10538" width="8.28515625" style="417" bestFit="1" customWidth="1"/>
    <col min="10539" max="10752" width="11.42578125" style="417"/>
    <col min="10753" max="10753" width="14.42578125" style="417" customWidth="1"/>
    <col min="10754" max="10754" width="23.140625" style="417" customWidth="1"/>
    <col min="10755" max="10755" width="20.5703125" style="417" customWidth="1"/>
    <col min="10756" max="10756" width="15.85546875" style="417" customWidth="1"/>
    <col min="10757" max="10757" width="20.140625" style="417" customWidth="1"/>
    <col min="10758" max="10758" width="15.140625" style="417" customWidth="1"/>
    <col min="10759" max="10759" width="21.42578125" style="417" customWidth="1"/>
    <col min="10760" max="10760" width="20" style="417" customWidth="1"/>
    <col min="10761" max="10761" width="21.140625" style="417" customWidth="1"/>
    <col min="10762" max="10762" width="19.42578125" style="417" customWidth="1"/>
    <col min="10763" max="10763" width="20.85546875" style="417" customWidth="1"/>
    <col min="10764" max="10764" width="17.42578125" style="417" customWidth="1"/>
    <col min="10765" max="10765" width="17.85546875" style="417" customWidth="1"/>
    <col min="10766" max="10766" width="18.7109375" style="417" customWidth="1"/>
    <col min="10767" max="10767" width="17.5703125" style="417" customWidth="1"/>
    <col min="10768" max="10768" width="17.28515625" style="417" customWidth="1"/>
    <col min="10769" max="10769" width="20" style="417" customWidth="1"/>
    <col min="10770" max="10770" width="18.28515625" style="417" customWidth="1"/>
    <col min="10771" max="10771" width="18" style="417" customWidth="1"/>
    <col min="10772" max="10772" width="21.28515625" style="417" customWidth="1"/>
    <col min="10773" max="10773" width="14.7109375" style="417" customWidth="1"/>
    <col min="10774" max="10774" width="17.140625" style="417" customWidth="1"/>
    <col min="10775" max="10775" width="19.7109375" style="417" customWidth="1"/>
    <col min="10776" max="10776" width="18.5703125" style="417" customWidth="1"/>
    <col min="10777" max="10777" width="14.42578125" style="417" customWidth="1"/>
    <col min="10778" max="10778" width="14.140625" style="417" customWidth="1"/>
    <col min="10779" max="10779" width="11.42578125" style="417"/>
    <col min="10780" max="10780" width="13.42578125" style="417" customWidth="1"/>
    <col min="10781" max="10781" width="15.28515625" style="417" customWidth="1"/>
    <col min="10782" max="10782" width="31.85546875" style="417" customWidth="1"/>
    <col min="10783" max="10783" width="5" style="417" bestFit="1" customWidth="1"/>
    <col min="10784" max="10784" width="6.42578125" style="417" bestFit="1" customWidth="1"/>
    <col min="10785" max="10785" width="5.42578125" style="417" bestFit="1" customWidth="1"/>
    <col min="10786" max="10786" width="4.28515625" style="417" bestFit="1" customWidth="1"/>
    <col min="10787" max="10787" width="5" style="417" bestFit="1" customWidth="1"/>
    <col min="10788" max="10788" width="4.5703125" style="417" bestFit="1" customWidth="1"/>
    <col min="10789" max="10789" width="4.140625" style="417" bestFit="1" customWidth="1"/>
    <col min="10790" max="10790" width="5.85546875" style="417" bestFit="1" customWidth="1"/>
    <col min="10791" max="10791" width="9.140625" style="417" bestFit="1" customWidth="1"/>
    <col min="10792" max="10792" width="6.5703125" style="417" bestFit="1" customWidth="1"/>
    <col min="10793" max="10793" width="8.85546875" style="417" bestFit="1" customWidth="1"/>
    <col min="10794" max="10794" width="8.28515625" style="417" bestFit="1" customWidth="1"/>
    <col min="10795" max="11008" width="11.42578125" style="417"/>
    <col min="11009" max="11009" width="14.42578125" style="417" customWidth="1"/>
    <col min="11010" max="11010" width="23.140625" style="417" customWidth="1"/>
    <col min="11011" max="11011" width="20.5703125" style="417" customWidth="1"/>
    <col min="11012" max="11012" width="15.85546875" style="417" customWidth="1"/>
    <col min="11013" max="11013" width="20.140625" style="417" customWidth="1"/>
    <col min="11014" max="11014" width="15.140625" style="417" customWidth="1"/>
    <col min="11015" max="11015" width="21.42578125" style="417" customWidth="1"/>
    <col min="11016" max="11016" width="20" style="417" customWidth="1"/>
    <col min="11017" max="11017" width="21.140625" style="417" customWidth="1"/>
    <col min="11018" max="11018" width="19.42578125" style="417" customWidth="1"/>
    <col min="11019" max="11019" width="20.85546875" style="417" customWidth="1"/>
    <col min="11020" max="11020" width="17.42578125" style="417" customWidth="1"/>
    <col min="11021" max="11021" width="17.85546875" style="417" customWidth="1"/>
    <col min="11022" max="11022" width="18.7109375" style="417" customWidth="1"/>
    <col min="11023" max="11023" width="17.5703125" style="417" customWidth="1"/>
    <col min="11024" max="11024" width="17.28515625" style="417" customWidth="1"/>
    <col min="11025" max="11025" width="20" style="417" customWidth="1"/>
    <col min="11026" max="11026" width="18.28515625" style="417" customWidth="1"/>
    <col min="11027" max="11027" width="18" style="417" customWidth="1"/>
    <col min="11028" max="11028" width="21.28515625" style="417" customWidth="1"/>
    <col min="11029" max="11029" width="14.7109375" style="417" customWidth="1"/>
    <col min="11030" max="11030" width="17.140625" style="417" customWidth="1"/>
    <col min="11031" max="11031" width="19.7109375" style="417" customWidth="1"/>
    <col min="11032" max="11032" width="18.5703125" style="417" customWidth="1"/>
    <col min="11033" max="11033" width="14.42578125" style="417" customWidth="1"/>
    <col min="11034" max="11034" width="14.140625" style="417" customWidth="1"/>
    <col min="11035" max="11035" width="11.42578125" style="417"/>
    <col min="11036" max="11036" width="13.42578125" style="417" customWidth="1"/>
    <col min="11037" max="11037" width="15.28515625" style="417" customWidth="1"/>
    <col min="11038" max="11038" width="31.85546875" style="417" customWidth="1"/>
    <col min="11039" max="11039" width="5" style="417" bestFit="1" customWidth="1"/>
    <col min="11040" max="11040" width="6.42578125" style="417" bestFit="1" customWidth="1"/>
    <col min="11041" max="11041" width="5.42578125" style="417" bestFit="1" customWidth="1"/>
    <col min="11042" max="11042" width="4.28515625" style="417" bestFit="1" customWidth="1"/>
    <col min="11043" max="11043" width="5" style="417" bestFit="1" customWidth="1"/>
    <col min="11044" max="11044" width="4.5703125" style="417" bestFit="1" customWidth="1"/>
    <col min="11045" max="11045" width="4.140625" style="417" bestFit="1" customWidth="1"/>
    <col min="11046" max="11046" width="5.85546875" style="417" bestFit="1" customWidth="1"/>
    <col min="11047" max="11047" width="9.140625" style="417" bestFit="1" customWidth="1"/>
    <col min="11048" max="11048" width="6.5703125" style="417" bestFit="1" customWidth="1"/>
    <col min="11049" max="11049" width="8.85546875" style="417" bestFit="1" customWidth="1"/>
    <col min="11050" max="11050" width="8.28515625" style="417" bestFit="1" customWidth="1"/>
    <col min="11051" max="11264" width="11.42578125" style="417"/>
    <col min="11265" max="11265" width="14.42578125" style="417" customWidth="1"/>
    <col min="11266" max="11266" width="23.140625" style="417" customWidth="1"/>
    <col min="11267" max="11267" width="20.5703125" style="417" customWidth="1"/>
    <col min="11268" max="11268" width="15.85546875" style="417" customWidth="1"/>
    <col min="11269" max="11269" width="20.140625" style="417" customWidth="1"/>
    <col min="11270" max="11270" width="15.140625" style="417" customWidth="1"/>
    <col min="11271" max="11271" width="21.42578125" style="417" customWidth="1"/>
    <col min="11272" max="11272" width="20" style="417" customWidth="1"/>
    <col min="11273" max="11273" width="21.140625" style="417" customWidth="1"/>
    <col min="11274" max="11274" width="19.42578125" style="417" customWidth="1"/>
    <col min="11275" max="11275" width="20.85546875" style="417" customWidth="1"/>
    <col min="11276" max="11276" width="17.42578125" style="417" customWidth="1"/>
    <col min="11277" max="11277" width="17.85546875" style="417" customWidth="1"/>
    <col min="11278" max="11278" width="18.7109375" style="417" customWidth="1"/>
    <col min="11279" max="11279" width="17.5703125" style="417" customWidth="1"/>
    <col min="11280" max="11280" width="17.28515625" style="417" customWidth="1"/>
    <col min="11281" max="11281" width="20" style="417" customWidth="1"/>
    <col min="11282" max="11282" width="18.28515625" style="417" customWidth="1"/>
    <col min="11283" max="11283" width="18" style="417" customWidth="1"/>
    <col min="11284" max="11284" width="21.28515625" style="417" customWidth="1"/>
    <col min="11285" max="11285" width="14.7109375" style="417" customWidth="1"/>
    <col min="11286" max="11286" width="17.140625" style="417" customWidth="1"/>
    <col min="11287" max="11287" width="19.7109375" style="417" customWidth="1"/>
    <col min="11288" max="11288" width="18.5703125" style="417" customWidth="1"/>
    <col min="11289" max="11289" width="14.42578125" style="417" customWidth="1"/>
    <col min="11290" max="11290" width="14.140625" style="417" customWidth="1"/>
    <col min="11291" max="11291" width="11.42578125" style="417"/>
    <col min="11292" max="11292" width="13.42578125" style="417" customWidth="1"/>
    <col min="11293" max="11293" width="15.28515625" style="417" customWidth="1"/>
    <col min="11294" max="11294" width="31.85546875" style="417" customWidth="1"/>
    <col min="11295" max="11295" width="5" style="417" bestFit="1" customWidth="1"/>
    <col min="11296" max="11296" width="6.42578125" style="417" bestFit="1" customWidth="1"/>
    <col min="11297" max="11297" width="5.42578125" style="417" bestFit="1" customWidth="1"/>
    <col min="11298" max="11298" width="4.28515625" style="417" bestFit="1" customWidth="1"/>
    <col min="11299" max="11299" width="5" style="417" bestFit="1" customWidth="1"/>
    <col min="11300" max="11300" width="4.5703125" style="417" bestFit="1" customWidth="1"/>
    <col min="11301" max="11301" width="4.140625" style="417" bestFit="1" customWidth="1"/>
    <col min="11302" max="11302" width="5.85546875" style="417" bestFit="1" customWidth="1"/>
    <col min="11303" max="11303" width="9.140625" style="417" bestFit="1" customWidth="1"/>
    <col min="11304" max="11304" width="6.5703125" style="417" bestFit="1" customWidth="1"/>
    <col min="11305" max="11305" width="8.85546875" style="417" bestFit="1" customWidth="1"/>
    <col min="11306" max="11306" width="8.28515625" style="417" bestFit="1" customWidth="1"/>
    <col min="11307" max="11520" width="11.42578125" style="417"/>
    <col min="11521" max="11521" width="14.42578125" style="417" customWidth="1"/>
    <col min="11522" max="11522" width="23.140625" style="417" customWidth="1"/>
    <col min="11523" max="11523" width="20.5703125" style="417" customWidth="1"/>
    <col min="11524" max="11524" width="15.85546875" style="417" customWidth="1"/>
    <col min="11525" max="11525" width="20.140625" style="417" customWidth="1"/>
    <col min="11526" max="11526" width="15.140625" style="417" customWidth="1"/>
    <col min="11527" max="11527" width="21.42578125" style="417" customWidth="1"/>
    <col min="11528" max="11528" width="20" style="417" customWidth="1"/>
    <col min="11529" max="11529" width="21.140625" style="417" customWidth="1"/>
    <col min="11530" max="11530" width="19.42578125" style="417" customWidth="1"/>
    <col min="11531" max="11531" width="20.85546875" style="417" customWidth="1"/>
    <col min="11532" max="11532" width="17.42578125" style="417" customWidth="1"/>
    <col min="11533" max="11533" width="17.85546875" style="417" customWidth="1"/>
    <col min="11534" max="11534" width="18.7109375" style="417" customWidth="1"/>
    <col min="11535" max="11535" width="17.5703125" style="417" customWidth="1"/>
    <col min="11536" max="11536" width="17.28515625" style="417" customWidth="1"/>
    <col min="11537" max="11537" width="20" style="417" customWidth="1"/>
    <col min="11538" max="11538" width="18.28515625" style="417" customWidth="1"/>
    <col min="11539" max="11539" width="18" style="417" customWidth="1"/>
    <col min="11540" max="11540" width="21.28515625" style="417" customWidth="1"/>
    <col min="11541" max="11541" width="14.7109375" style="417" customWidth="1"/>
    <col min="11542" max="11542" width="17.140625" style="417" customWidth="1"/>
    <col min="11543" max="11543" width="19.7109375" style="417" customWidth="1"/>
    <col min="11544" max="11544" width="18.5703125" style="417" customWidth="1"/>
    <col min="11545" max="11545" width="14.42578125" style="417" customWidth="1"/>
    <col min="11546" max="11546" width="14.140625" style="417" customWidth="1"/>
    <col min="11547" max="11547" width="11.42578125" style="417"/>
    <col min="11548" max="11548" width="13.42578125" style="417" customWidth="1"/>
    <col min="11549" max="11549" width="15.28515625" style="417" customWidth="1"/>
    <col min="11550" max="11550" width="31.85546875" style="417" customWidth="1"/>
    <col min="11551" max="11551" width="5" style="417" bestFit="1" customWidth="1"/>
    <col min="11552" max="11552" width="6.42578125" style="417" bestFit="1" customWidth="1"/>
    <col min="11553" max="11553" width="5.42578125" style="417" bestFit="1" customWidth="1"/>
    <col min="11554" max="11554" width="4.28515625" style="417" bestFit="1" customWidth="1"/>
    <col min="11555" max="11555" width="5" style="417" bestFit="1" customWidth="1"/>
    <col min="11556" max="11556" width="4.5703125" style="417" bestFit="1" customWidth="1"/>
    <col min="11557" max="11557" width="4.140625" style="417" bestFit="1" customWidth="1"/>
    <col min="11558" max="11558" width="5.85546875" style="417" bestFit="1" customWidth="1"/>
    <col min="11559" max="11559" width="9.140625" style="417" bestFit="1" customWidth="1"/>
    <col min="11560" max="11560" width="6.5703125" style="417" bestFit="1" customWidth="1"/>
    <col min="11561" max="11561" width="8.85546875" style="417" bestFit="1" customWidth="1"/>
    <col min="11562" max="11562" width="8.28515625" style="417" bestFit="1" customWidth="1"/>
    <col min="11563" max="11776" width="11.42578125" style="417"/>
    <col min="11777" max="11777" width="14.42578125" style="417" customWidth="1"/>
    <col min="11778" max="11778" width="23.140625" style="417" customWidth="1"/>
    <col min="11779" max="11779" width="20.5703125" style="417" customWidth="1"/>
    <col min="11780" max="11780" width="15.85546875" style="417" customWidth="1"/>
    <col min="11781" max="11781" width="20.140625" style="417" customWidth="1"/>
    <col min="11782" max="11782" width="15.140625" style="417" customWidth="1"/>
    <col min="11783" max="11783" width="21.42578125" style="417" customWidth="1"/>
    <col min="11784" max="11784" width="20" style="417" customWidth="1"/>
    <col min="11785" max="11785" width="21.140625" style="417" customWidth="1"/>
    <col min="11786" max="11786" width="19.42578125" style="417" customWidth="1"/>
    <col min="11787" max="11787" width="20.85546875" style="417" customWidth="1"/>
    <col min="11788" max="11788" width="17.42578125" style="417" customWidth="1"/>
    <col min="11789" max="11789" width="17.85546875" style="417" customWidth="1"/>
    <col min="11790" max="11790" width="18.7109375" style="417" customWidth="1"/>
    <col min="11791" max="11791" width="17.5703125" style="417" customWidth="1"/>
    <col min="11792" max="11792" width="17.28515625" style="417" customWidth="1"/>
    <col min="11793" max="11793" width="20" style="417" customWidth="1"/>
    <col min="11794" max="11794" width="18.28515625" style="417" customWidth="1"/>
    <col min="11795" max="11795" width="18" style="417" customWidth="1"/>
    <col min="11796" max="11796" width="21.28515625" style="417" customWidth="1"/>
    <col min="11797" max="11797" width="14.7109375" style="417" customWidth="1"/>
    <col min="11798" max="11798" width="17.140625" style="417" customWidth="1"/>
    <col min="11799" max="11799" width="19.7109375" style="417" customWidth="1"/>
    <col min="11800" max="11800" width="18.5703125" style="417" customWidth="1"/>
    <col min="11801" max="11801" width="14.42578125" style="417" customWidth="1"/>
    <col min="11802" max="11802" width="14.140625" style="417" customWidth="1"/>
    <col min="11803" max="11803" width="11.42578125" style="417"/>
    <col min="11804" max="11804" width="13.42578125" style="417" customWidth="1"/>
    <col min="11805" max="11805" width="15.28515625" style="417" customWidth="1"/>
    <col min="11806" max="11806" width="31.85546875" style="417" customWidth="1"/>
    <col min="11807" max="11807" width="5" style="417" bestFit="1" customWidth="1"/>
    <col min="11808" max="11808" width="6.42578125" style="417" bestFit="1" customWidth="1"/>
    <col min="11809" max="11809" width="5.42578125" style="417" bestFit="1" customWidth="1"/>
    <col min="11810" max="11810" width="4.28515625" style="417" bestFit="1" customWidth="1"/>
    <col min="11811" max="11811" width="5" style="417" bestFit="1" customWidth="1"/>
    <col min="11812" max="11812" width="4.5703125" style="417" bestFit="1" customWidth="1"/>
    <col min="11813" max="11813" width="4.140625" style="417" bestFit="1" customWidth="1"/>
    <col min="11814" max="11814" width="5.85546875" style="417" bestFit="1" customWidth="1"/>
    <col min="11815" max="11815" width="9.140625" style="417" bestFit="1" customWidth="1"/>
    <col min="11816" max="11816" width="6.5703125" style="417" bestFit="1" customWidth="1"/>
    <col min="11817" max="11817" width="8.85546875" style="417" bestFit="1" customWidth="1"/>
    <col min="11818" max="11818" width="8.28515625" style="417" bestFit="1" customWidth="1"/>
    <col min="11819" max="12032" width="11.42578125" style="417"/>
    <col min="12033" max="12033" width="14.42578125" style="417" customWidth="1"/>
    <col min="12034" max="12034" width="23.140625" style="417" customWidth="1"/>
    <col min="12035" max="12035" width="20.5703125" style="417" customWidth="1"/>
    <col min="12036" max="12036" width="15.85546875" style="417" customWidth="1"/>
    <col min="12037" max="12037" width="20.140625" style="417" customWidth="1"/>
    <col min="12038" max="12038" width="15.140625" style="417" customWidth="1"/>
    <col min="12039" max="12039" width="21.42578125" style="417" customWidth="1"/>
    <col min="12040" max="12040" width="20" style="417" customWidth="1"/>
    <col min="12041" max="12041" width="21.140625" style="417" customWidth="1"/>
    <col min="12042" max="12042" width="19.42578125" style="417" customWidth="1"/>
    <col min="12043" max="12043" width="20.85546875" style="417" customWidth="1"/>
    <col min="12044" max="12044" width="17.42578125" style="417" customWidth="1"/>
    <col min="12045" max="12045" width="17.85546875" style="417" customWidth="1"/>
    <col min="12046" max="12046" width="18.7109375" style="417" customWidth="1"/>
    <col min="12047" max="12047" width="17.5703125" style="417" customWidth="1"/>
    <col min="12048" max="12048" width="17.28515625" style="417" customWidth="1"/>
    <col min="12049" max="12049" width="20" style="417" customWidth="1"/>
    <col min="12050" max="12050" width="18.28515625" style="417" customWidth="1"/>
    <col min="12051" max="12051" width="18" style="417" customWidth="1"/>
    <col min="12052" max="12052" width="21.28515625" style="417" customWidth="1"/>
    <col min="12053" max="12053" width="14.7109375" style="417" customWidth="1"/>
    <col min="12054" max="12054" width="17.140625" style="417" customWidth="1"/>
    <col min="12055" max="12055" width="19.7109375" style="417" customWidth="1"/>
    <col min="12056" max="12056" width="18.5703125" style="417" customWidth="1"/>
    <col min="12057" max="12057" width="14.42578125" style="417" customWidth="1"/>
    <col min="12058" max="12058" width="14.140625" style="417" customWidth="1"/>
    <col min="12059" max="12059" width="11.42578125" style="417"/>
    <col min="12060" max="12060" width="13.42578125" style="417" customWidth="1"/>
    <col min="12061" max="12061" width="15.28515625" style="417" customWidth="1"/>
    <col min="12062" max="12062" width="31.85546875" style="417" customWidth="1"/>
    <col min="12063" max="12063" width="5" style="417" bestFit="1" customWidth="1"/>
    <col min="12064" max="12064" width="6.42578125" style="417" bestFit="1" customWidth="1"/>
    <col min="12065" max="12065" width="5.42578125" style="417" bestFit="1" customWidth="1"/>
    <col min="12066" max="12066" width="4.28515625" style="417" bestFit="1" customWidth="1"/>
    <col min="12067" max="12067" width="5" style="417" bestFit="1" customWidth="1"/>
    <col min="12068" max="12068" width="4.5703125" style="417" bestFit="1" customWidth="1"/>
    <col min="12069" max="12069" width="4.140625" style="417" bestFit="1" customWidth="1"/>
    <col min="12070" max="12070" width="5.85546875" style="417" bestFit="1" customWidth="1"/>
    <col min="12071" max="12071" width="9.140625" style="417" bestFit="1" customWidth="1"/>
    <col min="12072" max="12072" width="6.5703125" style="417" bestFit="1" customWidth="1"/>
    <col min="12073" max="12073" width="8.85546875" style="417" bestFit="1" customWidth="1"/>
    <col min="12074" max="12074" width="8.28515625" style="417" bestFit="1" customWidth="1"/>
    <col min="12075" max="12288" width="11.42578125" style="417"/>
    <col min="12289" max="12289" width="14.42578125" style="417" customWidth="1"/>
    <col min="12290" max="12290" width="23.140625" style="417" customWidth="1"/>
    <col min="12291" max="12291" width="20.5703125" style="417" customWidth="1"/>
    <col min="12292" max="12292" width="15.85546875" style="417" customWidth="1"/>
    <col min="12293" max="12293" width="20.140625" style="417" customWidth="1"/>
    <col min="12294" max="12294" width="15.140625" style="417" customWidth="1"/>
    <col min="12295" max="12295" width="21.42578125" style="417" customWidth="1"/>
    <col min="12296" max="12296" width="20" style="417" customWidth="1"/>
    <col min="12297" max="12297" width="21.140625" style="417" customWidth="1"/>
    <col min="12298" max="12298" width="19.42578125" style="417" customWidth="1"/>
    <col min="12299" max="12299" width="20.85546875" style="417" customWidth="1"/>
    <col min="12300" max="12300" width="17.42578125" style="417" customWidth="1"/>
    <col min="12301" max="12301" width="17.85546875" style="417" customWidth="1"/>
    <col min="12302" max="12302" width="18.7109375" style="417" customWidth="1"/>
    <col min="12303" max="12303" width="17.5703125" style="417" customWidth="1"/>
    <col min="12304" max="12304" width="17.28515625" style="417" customWidth="1"/>
    <col min="12305" max="12305" width="20" style="417" customWidth="1"/>
    <col min="12306" max="12306" width="18.28515625" style="417" customWidth="1"/>
    <col min="12307" max="12307" width="18" style="417" customWidth="1"/>
    <col min="12308" max="12308" width="21.28515625" style="417" customWidth="1"/>
    <col min="12309" max="12309" width="14.7109375" style="417" customWidth="1"/>
    <col min="12310" max="12310" width="17.140625" style="417" customWidth="1"/>
    <col min="12311" max="12311" width="19.7109375" style="417" customWidth="1"/>
    <col min="12312" max="12312" width="18.5703125" style="417" customWidth="1"/>
    <col min="12313" max="12313" width="14.42578125" style="417" customWidth="1"/>
    <col min="12314" max="12314" width="14.140625" style="417" customWidth="1"/>
    <col min="12315" max="12315" width="11.42578125" style="417"/>
    <col min="12316" max="12316" width="13.42578125" style="417" customWidth="1"/>
    <col min="12317" max="12317" width="15.28515625" style="417" customWidth="1"/>
    <col min="12318" max="12318" width="31.85546875" style="417" customWidth="1"/>
    <col min="12319" max="12319" width="5" style="417" bestFit="1" customWidth="1"/>
    <col min="12320" max="12320" width="6.42578125" style="417" bestFit="1" customWidth="1"/>
    <col min="12321" max="12321" width="5.42578125" style="417" bestFit="1" customWidth="1"/>
    <col min="12322" max="12322" width="4.28515625" style="417" bestFit="1" customWidth="1"/>
    <col min="12323" max="12323" width="5" style="417" bestFit="1" customWidth="1"/>
    <col min="12324" max="12324" width="4.5703125" style="417" bestFit="1" customWidth="1"/>
    <col min="12325" max="12325" width="4.140625" style="417" bestFit="1" customWidth="1"/>
    <col min="12326" max="12326" width="5.85546875" style="417" bestFit="1" customWidth="1"/>
    <col min="12327" max="12327" width="9.140625" style="417" bestFit="1" customWidth="1"/>
    <col min="12328" max="12328" width="6.5703125" style="417" bestFit="1" customWidth="1"/>
    <col min="12329" max="12329" width="8.85546875" style="417" bestFit="1" customWidth="1"/>
    <col min="12330" max="12330" width="8.28515625" style="417" bestFit="1" customWidth="1"/>
    <col min="12331" max="12544" width="11.42578125" style="417"/>
    <col min="12545" max="12545" width="14.42578125" style="417" customWidth="1"/>
    <col min="12546" max="12546" width="23.140625" style="417" customWidth="1"/>
    <col min="12547" max="12547" width="20.5703125" style="417" customWidth="1"/>
    <col min="12548" max="12548" width="15.85546875" style="417" customWidth="1"/>
    <col min="12549" max="12549" width="20.140625" style="417" customWidth="1"/>
    <col min="12550" max="12550" width="15.140625" style="417" customWidth="1"/>
    <col min="12551" max="12551" width="21.42578125" style="417" customWidth="1"/>
    <col min="12552" max="12552" width="20" style="417" customWidth="1"/>
    <col min="12553" max="12553" width="21.140625" style="417" customWidth="1"/>
    <col min="12554" max="12554" width="19.42578125" style="417" customWidth="1"/>
    <col min="12555" max="12555" width="20.85546875" style="417" customWidth="1"/>
    <col min="12556" max="12556" width="17.42578125" style="417" customWidth="1"/>
    <col min="12557" max="12557" width="17.85546875" style="417" customWidth="1"/>
    <col min="12558" max="12558" width="18.7109375" style="417" customWidth="1"/>
    <col min="12559" max="12559" width="17.5703125" style="417" customWidth="1"/>
    <col min="12560" max="12560" width="17.28515625" style="417" customWidth="1"/>
    <col min="12561" max="12561" width="20" style="417" customWidth="1"/>
    <col min="12562" max="12562" width="18.28515625" style="417" customWidth="1"/>
    <col min="12563" max="12563" width="18" style="417" customWidth="1"/>
    <col min="12564" max="12564" width="21.28515625" style="417" customWidth="1"/>
    <col min="12565" max="12565" width="14.7109375" style="417" customWidth="1"/>
    <col min="12566" max="12566" width="17.140625" style="417" customWidth="1"/>
    <col min="12567" max="12567" width="19.7109375" style="417" customWidth="1"/>
    <col min="12568" max="12568" width="18.5703125" style="417" customWidth="1"/>
    <col min="12569" max="12569" width="14.42578125" style="417" customWidth="1"/>
    <col min="12570" max="12570" width="14.140625" style="417" customWidth="1"/>
    <col min="12571" max="12571" width="11.42578125" style="417"/>
    <col min="12572" max="12572" width="13.42578125" style="417" customWidth="1"/>
    <col min="12573" max="12573" width="15.28515625" style="417" customWidth="1"/>
    <col min="12574" max="12574" width="31.85546875" style="417" customWidth="1"/>
    <col min="12575" max="12575" width="5" style="417" bestFit="1" customWidth="1"/>
    <col min="12576" max="12576" width="6.42578125" style="417" bestFit="1" customWidth="1"/>
    <col min="12577" max="12577" width="5.42578125" style="417" bestFit="1" customWidth="1"/>
    <col min="12578" max="12578" width="4.28515625" style="417" bestFit="1" customWidth="1"/>
    <col min="12579" max="12579" width="5" style="417" bestFit="1" customWidth="1"/>
    <col min="12580" max="12580" width="4.5703125" style="417" bestFit="1" customWidth="1"/>
    <col min="12581" max="12581" width="4.140625" style="417" bestFit="1" customWidth="1"/>
    <col min="12582" max="12582" width="5.85546875" style="417" bestFit="1" customWidth="1"/>
    <col min="12583" max="12583" width="9.140625" style="417" bestFit="1" customWidth="1"/>
    <col min="12584" max="12584" width="6.5703125" style="417" bestFit="1" customWidth="1"/>
    <col min="12585" max="12585" width="8.85546875" style="417" bestFit="1" customWidth="1"/>
    <col min="12586" max="12586" width="8.28515625" style="417" bestFit="1" customWidth="1"/>
    <col min="12587" max="12800" width="11.42578125" style="417"/>
    <col min="12801" max="12801" width="14.42578125" style="417" customWidth="1"/>
    <col min="12802" max="12802" width="23.140625" style="417" customWidth="1"/>
    <col min="12803" max="12803" width="20.5703125" style="417" customWidth="1"/>
    <col min="12804" max="12804" width="15.85546875" style="417" customWidth="1"/>
    <col min="12805" max="12805" width="20.140625" style="417" customWidth="1"/>
    <col min="12806" max="12806" width="15.140625" style="417" customWidth="1"/>
    <col min="12807" max="12807" width="21.42578125" style="417" customWidth="1"/>
    <col min="12808" max="12808" width="20" style="417" customWidth="1"/>
    <col min="12809" max="12809" width="21.140625" style="417" customWidth="1"/>
    <col min="12810" max="12810" width="19.42578125" style="417" customWidth="1"/>
    <col min="12811" max="12811" width="20.85546875" style="417" customWidth="1"/>
    <col min="12812" max="12812" width="17.42578125" style="417" customWidth="1"/>
    <col min="12813" max="12813" width="17.85546875" style="417" customWidth="1"/>
    <col min="12814" max="12814" width="18.7109375" style="417" customWidth="1"/>
    <col min="12815" max="12815" width="17.5703125" style="417" customWidth="1"/>
    <col min="12816" max="12816" width="17.28515625" style="417" customWidth="1"/>
    <col min="12817" max="12817" width="20" style="417" customWidth="1"/>
    <col min="12818" max="12818" width="18.28515625" style="417" customWidth="1"/>
    <col min="12819" max="12819" width="18" style="417" customWidth="1"/>
    <col min="12820" max="12820" width="21.28515625" style="417" customWidth="1"/>
    <col min="12821" max="12821" width="14.7109375" style="417" customWidth="1"/>
    <col min="12822" max="12822" width="17.140625" style="417" customWidth="1"/>
    <col min="12823" max="12823" width="19.7109375" style="417" customWidth="1"/>
    <col min="12824" max="12824" width="18.5703125" style="417" customWidth="1"/>
    <col min="12825" max="12825" width="14.42578125" style="417" customWidth="1"/>
    <col min="12826" max="12826" width="14.140625" style="417" customWidth="1"/>
    <col min="12827" max="12827" width="11.42578125" style="417"/>
    <col min="12828" max="12828" width="13.42578125" style="417" customWidth="1"/>
    <col min="12829" max="12829" width="15.28515625" style="417" customWidth="1"/>
    <col min="12830" max="12830" width="31.85546875" style="417" customWidth="1"/>
    <col min="12831" max="12831" width="5" style="417" bestFit="1" customWidth="1"/>
    <col min="12832" max="12832" width="6.42578125" style="417" bestFit="1" customWidth="1"/>
    <col min="12833" max="12833" width="5.42578125" style="417" bestFit="1" customWidth="1"/>
    <col min="12834" max="12834" width="4.28515625" style="417" bestFit="1" customWidth="1"/>
    <col min="12835" max="12835" width="5" style="417" bestFit="1" customWidth="1"/>
    <col min="12836" max="12836" width="4.5703125" style="417" bestFit="1" customWidth="1"/>
    <col min="12837" max="12837" width="4.140625" style="417" bestFit="1" customWidth="1"/>
    <col min="12838" max="12838" width="5.85546875" style="417" bestFit="1" customWidth="1"/>
    <col min="12839" max="12839" width="9.140625" style="417" bestFit="1" customWidth="1"/>
    <col min="12840" max="12840" width="6.5703125" style="417" bestFit="1" customWidth="1"/>
    <col min="12841" max="12841" width="8.85546875" style="417" bestFit="1" customWidth="1"/>
    <col min="12842" max="12842" width="8.28515625" style="417" bestFit="1" customWidth="1"/>
    <col min="12843" max="13056" width="11.42578125" style="417"/>
    <col min="13057" max="13057" width="14.42578125" style="417" customWidth="1"/>
    <col min="13058" max="13058" width="23.140625" style="417" customWidth="1"/>
    <col min="13059" max="13059" width="20.5703125" style="417" customWidth="1"/>
    <col min="13060" max="13060" width="15.85546875" style="417" customWidth="1"/>
    <col min="13061" max="13061" width="20.140625" style="417" customWidth="1"/>
    <col min="13062" max="13062" width="15.140625" style="417" customWidth="1"/>
    <col min="13063" max="13063" width="21.42578125" style="417" customWidth="1"/>
    <col min="13064" max="13064" width="20" style="417" customWidth="1"/>
    <col min="13065" max="13065" width="21.140625" style="417" customWidth="1"/>
    <col min="13066" max="13066" width="19.42578125" style="417" customWidth="1"/>
    <col min="13067" max="13067" width="20.85546875" style="417" customWidth="1"/>
    <col min="13068" max="13068" width="17.42578125" style="417" customWidth="1"/>
    <col min="13069" max="13069" width="17.85546875" style="417" customWidth="1"/>
    <col min="13070" max="13070" width="18.7109375" style="417" customWidth="1"/>
    <col min="13071" max="13071" width="17.5703125" style="417" customWidth="1"/>
    <col min="13072" max="13072" width="17.28515625" style="417" customWidth="1"/>
    <col min="13073" max="13073" width="20" style="417" customWidth="1"/>
    <col min="13074" max="13074" width="18.28515625" style="417" customWidth="1"/>
    <col min="13075" max="13075" width="18" style="417" customWidth="1"/>
    <col min="13076" max="13076" width="21.28515625" style="417" customWidth="1"/>
    <col min="13077" max="13077" width="14.7109375" style="417" customWidth="1"/>
    <col min="13078" max="13078" width="17.140625" style="417" customWidth="1"/>
    <col min="13079" max="13079" width="19.7109375" style="417" customWidth="1"/>
    <col min="13080" max="13080" width="18.5703125" style="417" customWidth="1"/>
    <col min="13081" max="13081" width="14.42578125" style="417" customWidth="1"/>
    <col min="13082" max="13082" width="14.140625" style="417" customWidth="1"/>
    <col min="13083" max="13083" width="11.42578125" style="417"/>
    <col min="13084" max="13084" width="13.42578125" style="417" customWidth="1"/>
    <col min="13085" max="13085" width="15.28515625" style="417" customWidth="1"/>
    <col min="13086" max="13086" width="31.85546875" style="417" customWidth="1"/>
    <col min="13087" max="13087" width="5" style="417" bestFit="1" customWidth="1"/>
    <col min="13088" max="13088" width="6.42578125" style="417" bestFit="1" customWidth="1"/>
    <col min="13089" max="13089" width="5.42578125" style="417" bestFit="1" customWidth="1"/>
    <col min="13090" max="13090" width="4.28515625" style="417" bestFit="1" customWidth="1"/>
    <col min="13091" max="13091" width="5" style="417" bestFit="1" customWidth="1"/>
    <col min="13092" max="13092" width="4.5703125" style="417" bestFit="1" customWidth="1"/>
    <col min="13093" max="13093" width="4.140625" style="417" bestFit="1" customWidth="1"/>
    <col min="13094" max="13094" width="5.85546875" style="417" bestFit="1" customWidth="1"/>
    <col min="13095" max="13095" width="9.140625" style="417" bestFit="1" customWidth="1"/>
    <col min="13096" max="13096" width="6.5703125" style="417" bestFit="1" customWidth="1"/>
    <col min="13097" max="13097" width="8.85546875" style="417" bestFit="1" customWidth="1"/>
    <col min="13098" max="13098" width="8.28515625" style="417" bestFit="1" customWidth="1"/>
    <col min="13099" max="13312" width="11.42578125" style="417"/>
    <col min="13313" max="13313" width="14.42578125" style="417" customWidth="1"/>
    <col min="13314" max="13314" width="23.140625" style="417" customWidth="1"/>
    <col min="13315" max="13315" width="20.5703125" style="417" customWidth="1"/>
    <col min="13316" max="13316" width="15.85546875" style="417" customWidth="1"/>
    <col min="13317" max="13317" width="20.140625" style="417" customWidth="1"/>
    <col min="13318" max="13318" width="15.140625" style="417" customWidth="1"/>
    <col min="13319" max="13319" width="21.42578125" style="417" customWidth="1"/>
    <col min="13320" max="13320" width="20" style="417" customWidth="1"/>
    <col min="13321" max="13321" width="21.140625" style="417" customWidth="1"/>
    <col min="13322" max="13322" width="19.42578125" style="417" customWidth="1"/>
    <col min="13323" max="13323" width="20.85546875" style="417" customWidth="1"/>
    <col min="13324" max="13324" width="17.42578125" style="417" customWidth="1"/>
    <col min="13325" max="13325" width="17.85546875" style="417" customWidth="1"/>
    <col min="13326" max="13326" width="18.7109375" style="417" customWidth="1"/>
    <col min="13327" max="13327" width="17.5703125" style="417" customWidth="1"/>
    <col min="13328" max="13328" width="17.28515625" style="417" customWidth="1"/>
    <col min="13329" max="13329" width="20" style="417" customWidth="1"/>
    <col min="13330" max="13330" width="18.28515625" style="417" customWidth="1"/>
    <col min="13331" max="13331" width="18" style="417" customWidth="1"/>
    <col min="13332" max="13332" width="21.28515625" style="417" customWidth="1"/>
    <col min="13333" max="13333" width="14.7109375" style="417" customWidth="1"/>
    <col min="13334" max="13334" width="17.140625" style="417" customWidth="1"/>
    <col min="13335" max="13335" width="19.7109375" style="417" customWidth="1"/>
    <col min="13336" max="13336" width="18.5703125" style="417" customWidth="1"/>
    <col min="13337" max="13337" width="14.42578125" style="417" customWidth="1"/>
    <col min="13338" max="13338" width="14.140625" style="417" customWidth="1"/>
    <col min="13339" max="13339" width="11.42578125" style="417"/>
    <col min="13340" max="13340" width="13.42578125" style="417" customWidth="1"/>
    <col min="13341" max="13341" width="15.28515625" style="417" customWidth="1"/>
    <col min="13342" max="13342" width="31.85546875" style="417" customWidth="1"/>
    <col min="13343" max="13343" width="5" style="417" bestFit="1" customWidth="1"/>
    <col min="13344" max="13344" width="6.42578125" style="417" bestFit="1" customWidth="1"/>
    <col min="13345" max="13345" width="5.42578125" style="417" bestFit="1" customWidth="1"/>
    <col min="13346" max="13346" width="4.28515625" style="417" bestFit="1" customWidth="1"/>
    <col min="13347" max="13347" width="5" style="417" bestFit="1" customWidth="1"/>
    <col min="13348" max="13348" width="4.5703125" style="417" bestFit="1" customWidth="1"/>
    <col min="13349" max="13349" width="4.140625" style="417" bestFit="1" customWidth="1"/>
    <col min="13350" max="13350" width="5.85546875" style="417" bestFit="1" customWidth="1"/>
    <col min="13351" max="13351" width="9.140625" style="417" bestFit="1" customWidth="1"/>
    <col min="13352" max="13352" width="6.5703125" style="417" bestFit="1" customWidth="1"/>
    <col min="13353" max="13353" width="8.85546875" style="417" bestFit="1" customWidth="1"/>
    <col min="13354" max="13354" width="8.28515625" style="417" bestFit="1" customWidth="1"/>
    <col min="13355" max="13568" width="11.42578125" style="417"/>
    <col min="13569" max="13569" width="14.42578125" style="417" customWidth="1"/>
    <col min="13570" max="13570" width="23.140625" style="417" customWidth="1"/>
    <col min="13571" max="13571" width="20.5703125" style="417" customWidth="1"/>
    <col min="13572" max="13572" width="15.85546875" style="417" customWidth="1"/>
    <col min="13573" max="13573" width="20.140625" style="417" customWidth="1"/>
    <col min="13574" max="13574" width="15.140625" style="417" customWidth="1"/>
    <col min="13575" max="13575" width="21.42578125" style="417" customWidth="1"/>
    <col min="13576" max="13576" width="20" style="417" customWidth="1"/>
    <col min="13577" max="13577" width="21.140625" style="417" customWidth="1"/>
    <col min="13578" max="13578" width="19.42578125" style="417" customWidth="1"/>
    <col min="13579" max="13579" width="20.85546875" style="417" customWidth="1"/>
    <col min="13580" max="13580" width="17.42578125" style="417" customWidth="1"/>
    <col min="13581" max="13581" width="17.85546875" style="417" customWidth="1"/>
    <col min="13582" max="13582" width="18.7109375" style="417" customWidth="1"/>
    <col min="13583" max="13583" width="17.5703125" style="417" customWidth="1"/>
    <col min="13584" max="13584" width="17.28515625" style="417" customWidth="1"/>
    <col min="13585" max="13585" width="20" style="417" customWidth="1"/>
    <col min="13586" max="13586" width="18.28515625" style="417" customWidth="1"/>
    <col min="13587" max="13587" width="18" style="417" customWidth="1"/>
    <col min="13588" max="13588" width="21.28515625" style="417" customWidth="1"/>
    <col min="13589" max="13589" width="14.7109375" style="417" customWidth="1"/>
    <col min="13590" max="13590" width="17.140625" style="417" customWidth="1"/>
    <col min="13591" max="13591" width="19.7109375" style="417" customWidth="1"/>
    <col min="13592" max="13592" width="18.5703125" style="417" customWidth="1"/>
    <col min="13593" max="13593" width="14.42578125" style="417" customWidth="1"/>
    <col min="13594" max="13594" width="14.140625" style="417" customWidth="1"/>
    <col min="13595" max="13595" width="11.42578125" style="417"/>
    <col min="13596" max="13596" width="13.42578125" style="417" customWidth="1"/>
    <col min="13597" max="13597" width="15.28515625" style="417" customWidth="1"/>
    <col min="13598" max="13598" width="31.85546875" style="417" customWidth="1"/>
    <col min="13599" max="13599" width="5" style="417" bestFit="1" customWidth="1"/>
    <col min="13600" max="13600" width="6.42578125" style="417" bestFit="1" customWidth="1"/>
    <col min="13601" max="13601" width="5.42578125" style="417" bestFit="1" customWidth="1"/>
    <col min="13602" max="13602" width="4.28515625" style="417" bestFit="1" customWidth="1"/>
    <col min="13603" max="13603" width="5" style="417" bestFit="1" customWidth="1"/>
    <col min="13604" max="13604" width="4.5703125" style="417" bestFit="1" customWidth="1"/>
    <col min="13605" max="13605" width="4.140625" style="417" bestFit="1" customWidth="1"/>
    <col min="13606" max="13606" width="5.85546875" style="417" bestFit="1" customWidth="1"/>
    <col min="13607" max="13607" width="9.140625" style="417" bestFit="1" customWidth="1"/>
    <col min="13608" max="13608" width="6.5703125" style="417" bestFit="1" customWidth="1"/>
    <col min="13609" max="13609" width="8.85546875" style="417" bestFit="1" customWidth="1"/>
    <col min="13610" max="13610" width="8.28515625" style="417" bestFit="1" customWidth="1"/>
    <col min="13611" max="13824" width="11.42578125" style="417"/>
    <col min="13825" max="13825" width="14.42578125" style="417" customWidth="1"/>
    <col min="13826" max="13826" width="23.140625" style="417" customWidth="1"/>
    <col min="13827" max="13827" width="20.5703125" style="417" customWidth="1"/>
    <col min="13828" max="13828" width="15.85546875" style="417" customWidth="1"/>
    <col min="13829" max="13829" width="20.140625" style="417" customWidth="1"/>
    <col min="13830" max="13830" width="15.140625" style="417" customWidth="1"/>
    <col min="13831" max="13831" width="21.42578125" style="417" customWidth="1"/>
    <col min="13832" max="13832" width="20" style="417" customWidth="1"/>
    <col min="13833" max="13833" width="21.140625" style="417" customWidth="1"/>
    <col min="13834" max="13834" width="19.42578125" style="417" customWidth="1"/>
    <col min="13835" max="13835" width="20.85546875" style="417" customWidth="1"/>
    <col min="13836" max="13836" width="17.42578125" style="417" customWidth="1"/>
    <col min="13837" max="13837" width="17.85546875" style="417" customWidth="1"/>
    <col min="13838" max="13838" width="18.7109375" style="417" customWidth="1"/>
    <col min="13839" max="13839" width="17.5703125" style="417" customWidth="1"/>
    <col min="13840" max="13840" width="17.28515625" style="417" customWidth="1"/>
    <col min="13841" max="13841" width="20" style="417" customWidth="1"/>
    <col min="13842" max="13842" width="18.28515625" style="417" customWidth="1"/>
    <col min="13843" max="13843" width="18" style="417" customWidth="1"/>
    <col min="13844" max="13844" width="21.28515625" style="417" customWidth="1"/>
    <col min="13845" max="13845" width="14.7109375" style="417" customWidth="1"/>
    <col min="13846" max="13846" width="17.140625" style="417" customWidth="1"/>
    <col min="13847" max="13847" width="19.7109375" style="417" customWidth="1"/>
    <col min="13848" max="13848" width="18.5703125" style="417" customWidth="1"/>
    <col min="13849" max="13849" width="14.42578125" style="417" customWidth="1"/>
    <col min="13850" max="13850" width="14.140625" style="417" customWidth="1"/>
    <col min="13851" max="13851" width="11.42578125" style="417"/>
    <col min="13852" max="13852" width="13.42578125" style="417" customWidth="1"/>
    <col min="13853" max="13853" width="15.28515625" style="417" customWidth="1"/>
    <col min="13854" max="13854" width="31.85546875" style="417" customWidth="1"/>
    <col min="13855" max="13855" width="5" style="417" bestFit="1" customWidth="1"/>
    <col min="13856" max="13856" width="6.42578125" style="417" bestFit="1" customWidth="1"/>
    <col min="13857" max="13857" width="5.42578125" style="417" bestFit="1" customWidth="1"/>
    <col min="13858" max="13858" width="4.28515625" style="417" bestFit="1" customWidth="1"/>
    <col min="13859" max="13859" width="5" style="417" bestFit="1" customWidth="1"/>
    <col min="13860" max="13860" width="4.5703125" style="417" bestFit="1" customWidth="1"/>
    <col min="13861" max="13861" width="4.140625" style="417" bestFit="1" customWidth="1"/>
    <col min="13862" max="13862" width="5.85546875" style="417" bestFit="1" customWidth="1"/>
    <col min="13863" max="13863" width="9.140625" style="417" bestFit="1" customWidth="1"/>
    <col min="13864" max="13864" width="6.5703125" style="417" bestFit="1" customWidth="1"/>
    <col min="13865" max="13865" width="8.85546875" style="417" bestFit="1" customWidth="1"/>
    <col min="13866" max="13866" width="8.28515625" style="417" bestFit="1" customWidth="1"/>
    <col min="13867" max="14080" width="11.42578125" style="417"/>
    <col min="14081" max="14081" width="14.42578125" style="417" customWidth="1"/>
    <col min="14082" max="14082" width="23.140625" style="417" customWidth="1"/>
    <col min="14083" max="14083" width="20.5703125" style="417" customWidth="1"/>
    <col min="14084" max="14084" width="15.85546875" style="417" customWidth="1"/>
    <col min="14085" max="14085" width="20.140625" style="417" customWidth="1"/>
    <col min="14086" max="14086" width="15.140625" style="417" customWidth="1"/>
    <col min="14087" max="14087" width="21.42578125" style="417" customWidth="1"/>
    <col min="14088" max="14088" width="20" style="417" customWidth="1"/>
    <col min="14089" max="14089" width="21.140625" style="417" customWidth="1"/>
    <col min="14090" max="14090" width="19.42578125" style="417" customWidth="1"/>
    <col min="14091" max="14091" width="20.85546875" style="417" customWidth="1"/>
    <col min="14092" max="14092" width="17.42578125" style="417" customWidth="1"/>
    <col min="14093" max="14093" width="17.85546875" style="417" customWidth="1"/>
    <col min="14094" max="14094" width="18.7109375" style="417" customWidth="1"/>
    <col min="14095" max="14095" width="17.5703125" style="417" customWidth="1"/>
    <col min="14096" max="14096" width="17.28515625" style="417" customWidth="1"/>
    <col min="14097" max="14097" width="20" style="417" customWidth="1"/>
    <col min="14098" max="14098" width="18.28515625" style="417" customWidth="1"/>
    <col min="14099" max="14099" width="18" style="417" customWidth="1"/>
    <col min="14100" max="14100" width="21.28515625" style="417" customWidth="1"/>
    <col min="14101" max="14101" width="14.7109375" style="417" customWidth="1"/>
    <col min="14102" max="14102" width="17.140625" style="417" customWidth="1"/>
    <col min="14103" max="14103" width="19.7109375" style="417" customWidth="1"/>
    <col min="14104" max="14104" width="18.5703125" style="417" customWidth="1"/>
    <col min="14105" max="14105" width="14.42578125" style="417" customWidth="1"/>
    <col min="14106" max="14106" width="14.140625" style="417" customWidth="1"/>
    <col min="14107" max="14107" width="11.42578125" style="417"/>
    <col min="14108" max="14108" width="13.42578125" style="417" customWidth="1"/>
    <col min="14109" max="14109" width="15.28515625" style="417" customWidth="1"/>
    <col min="14110" max="14110" width="31.85546875" style="417" customWidth="1"/>
    <col min="14111" max="14111" width="5" style="417" bestFit="1" customWidth="1"/>
    <col min="14112" max="14112" width="6.42578125" style="417" bestFit="1" customWidth="1"/>
    <col min="14113" max="14113" width="5.42578125" style="417" bestFit="1" customWidth="1"/>
    <col min="14114" max="14114" width="4.28515625" style="417" bestFit="1" customWidth="1"/>
    <col min="14115" max="14115" width="5" style="417" bestFit="1" customWidth="1"/>
    <col min="14116" max="14116" width="4.5703125" style="417" bestFit="1" customWidth="1"/>
    <col min="14117" max="14117" width="4.140625" style="417" bestFit="1" customWidth="1"/>
    <col min="14118" max="14118" width="5.85546875" style="417" bestFit="1" customWidth="1"/>
    <col min="14119" max="14119" width="9.140625" style="417" bestFit="1" customWidth="1"/>
    <col min="14120" max="14120" width="6.5703125" style="417" bestFit="1" customWidth="1"/>
    <col min="14121" max="14121" width="8.85546875" style="417" bestFit="1" customWidth="1"/>
    <col min="14122" max="14122" width="8.28515625" style="417" bestFit="1" customWidth="1"/>
    <col min="14123" max="14336" width="11.42578125" style="417"/>
    <col min="14337" max="14337" width="14.42578125" style="417" customWidth="1"/>
    <col min="14338" max="14338" width="23.140625" style="417" customWidth="1"/>
    <col min="14339" max="14339" width="20.5703125" style="417" customWidth="1"/>
    <col min="14340" max="14340" width="15.85546875" style="417" customWidth="1"/>
    <col min="14341" max="14341" width="20.140625" style="417" customWidth="1"/>
    <col min="14342" max="14342" width="15.140625" style="417" customWidth="1"/>
    <col min="14343" max="14343" width="21.42578125" style="417" customWidth="1"/>
    <col min="14344" max="14344" width="20" style="417" customWidth="1"/>
    <col min="14345" max="14345" width="21.140625" style="417" customWidth="1"/>
    <col min="14346" max="14346" width="19.42578125" style="417" customWidth="1"/>
    <col min="14347" max="14347" width="20.85546875" style="417" customWidth="1"/>
    <col min="14348" max="14348" width="17.42578125" style="417" customWidth="1"/>
    <col min="14349" max="14349" width="17.85546875" style="417" customWidth="1"/>
    <col min="14350" max="14350" width="18.7109375" style="417" customWidth="1"/>
    <col min="14351" max="14351" width="17.5703125" style="417" customWidth="1"/>
    <col min="14352" max="14352" width="17.28515625" style="417" customWidth="1"/>
    <col min="14353" max="14353" width="20" style="417" customWidth="1"/>
    <col min="14354" max="14354" width="18.28515625" style="417" customWidth="1"/>
    <col min="14355" max="14355" width="18" style="417" customWidth="1"/>
    <col min="14356" max="14356" width="21.28515625" style="417" customWidth="1"/>
    <col min="14357" max="14357" width="14.7109375" style="417" customWidth="1"/>
    <col min="14358" max="14358" width="17.140625" style="417" customWidth="1"/>
    <col min="14359" max="14359" width="19.7109375" style="417" customWidth="1"/>
    <col min="14360" max="14360" width="18.5703125" style="417" customWidth="1"/>
    <col min="14361" max="14361" width="14.42578125" style="417" customWidth="1"/>
    <col min="14362" max="14362" width="14.140625" style="417" customWidth="1"/>
    <col min="14363" max="14363" width="11.42578125" style="417"/>
    <col min="14364" max="14364" width="13.42578125" style="417" customWidth="1"/>
    <col min="14365" max="14365" width="15.28515625" style="417" customWidth="1"/>
    <col min="14366" max="14366" width="31.85546875" style="417" customWidth="1"/>
    <col min="14367" max="14367" width="5" style="417" bestFit="1" customWidth="1"/>
    <col min="14368" max="14368" width="6.42578125" style="417" bestFit="1" customWidth="1"/>
    <col min="14369" max="14369" width="5.42578125" style="417" bestFit="1" customWidth="1"/>
    <col min="14370" max="14370" width="4.28515625" style="417" bestFit="1" customWidth="1"/>
    <col min="14371" max="14371" width="5" style="417" bestFit="1" customWidth="1"/>
    <col min="14372" max="14372" width="4.5703125" style="417" bestFit="1" customWidth="1"/>
    <col min="14373" max="14373" width="4.140625" style="417" bestFit="1" customWidth="1"/>
    <col min="14374" max="14374" width="5.85546875" style="417" bestFit="1" customWidth="1"/>
    <col min="14375" max="14375" width="9.140625" style="417" bestFit="1" customWidth="1"/>
    <col min="14376" max="14376" width="6.5703125" style="417" bestFit="1" customWidth="1"/>
    <col min="14377" max="14377" width="8.85546875" style="417" bestFit="1" customWidth="1"/>
    <col min="14378" max="14378" width="8.28515625" style="417" bestFit="1" customWidth="1"/>
    <col min="14379" max="14592" width="11.42578125" style="417"/>
    <col min="14593" max="14593" width="14.42578125" style="417" customWidth="1"/>
    <col min="14594" max="14594" width="23.140625" style="417" customWidth="1"/>
    <col min="14595" max="14595" width="20.5703125" style="417" customWidth="1"/>
    <col min="14596" max="14596" width="15.85546875" style="417" customWidth="1"/>
    <col min="14597" max="14597" width="20.140625" style="417" customWidth="1"/>
    <col min="14598" max="14598" width="15.140625" style="417" customWidth="1"/>
    <col min="14599" max="14599" width="21.42578125" style="417" customWidth="1"/>
    <col min="14600" max="14600" width="20" style="417" customWidth="1"/>
    <col min="14601" max="14601" width="21.140625" style="417" customWidth="1"/>
    <col min="14602" max="14602" width="19.42578125" style="417" customWidth="1"/>
    <col min="14603" max="14603" width="20.85546875" style="417" customWidth="1"/>
    <col min="14604" max="14604" width="17.42578125" style="417" customWidth="1"/>
    <col min="14605" max="14605" width="17.85546875" style="417" customWidth="1"/>
    <col min="14606" max="14606" width="18.7109375" style="417" customWidth="1"/>
    <col min="14607" max="14607" width="17.5703125" style="417" customWidth="1"/>
    <col min="14608" max="14608" width="17.28515625" style="417" customWidth="1"/>
    <col min="14609" max="14609" width="20" style="417" customWidth="1"/>
    <col min="14610" max="14610" width="18.28515625" style="417" customWidth="1"/>
    <col min="14611" max="14611" width="18" style="417" customWidth="1"/>
    <col min="14612" max="14612" width="21.28515625" style="417" customWidth="1"/>
    <col min="14613" max="14613" width="14.7109375" style="417" customWidth="1"/>
    <col min="14614" max="14614" width="17.140625" style="417" customWidth="1"/>
    <col min="14615" max="14615" width="19.7109375" style="417" customWidth="1"/>
    <col min="14616" max="14616" width="18.5703125" style="417" customWidth="1"/>
    <col min="14617" max="14617" width="14.42578125" style="417" customWidth="1"/>
    <col min="14618" max="14618" width="14.140625" style="417" customWidth="1"/>
    <col min="14619" max="14619" width="11.42578125" style="417"/>
    <col min="14620" max="14620" width="13.42578125" style="417" customWidth="1"/>
    <col min="14621" max="14621" width="15.28515625" style="417" customWidth="1"/>
    <col min="14622" max="14622" width="31.85546875" style="417" customWidth="1"/>
    <col min="14623" max="14623" width="5" style="417" bestFit="1" customWidth="1"/>
    <col min="14624" max="14624" width="6.42578125" style="417" bestFit="1" customWidth="1"/>
    <col min="14625" max="14625" width="5.42578125" style="417" bestFit="1" customWidth="1"/>
    <col min="14626" max="14626" width="4.28515625" style="417" bestFit="1" customWidth="1"/>
    <col min="14627" max="14627" width="5" style="417" bestFit="1" customWidth="1"/>
    <col min="14628" max="14628" width="4.5703125" style="417" bestFit="1" customWidth="1"/>
    <col min="14629" max="14629" width="4.140625" style="417" bestFit="1" customWidth="1"/>
    <col min="14630" max="14630" width="5.85546875" style="417" bestFit="1" customWidth="1"/>
    <col min="14631" max="14631" width="9.140625" style="417" bestFit="1" customWidth="1"/>
    <col min="14632" max="14632" width="6.5703125" style="417" bestFit="1" customWidth="1"/>
    <col min="14633" max="14633" width="8.85546875" style="417" bestFit="1" customWidth="1"/>
    <col min="14634" max="14634" width="8.28515625" style="417" bestFit="1" customWidth="1"/>
    <col min="14635" max="14848" width="11.42578125" style="417"/>
    <col min="14849" max="14849" width="14.42578125" style="417" customWidth="1"/>
    <col min="14850" max="14850" width="23.140625" style="417" customWidth="1"/>
    <col min="14851" max="14851" width="20.5703125" style="417" customWidth="1"/>
    <col min="14852" max="14852" width="15.85546875" style="417" customWidth="1"/>
    <col min="14853" max="14853" width="20.140625" style="417" customWidth="1"/>
    <col min="14854" max="14854" width="15.140625" style="417" customWidth="1"/>
    <col min="14855" max="14855" width="21.42578125" style="417" customWidth="1"/>
    <col min="14856" max="14856" width="20" style="417" customWidth="1"/>
    <col min="14857" max="14857" width="21.140625" style="417" customWidth="1"/>
    <col min="14858" max="14858" width="19.42578125" style="417" customWidth="1"/>
    <col min="14859" max="14859" width="20.85546875" style="417" customWidth="1"/>
    <col min="14860" max="14860" width="17.42578125" style="417" customWidth="1"/>
    <col min="14861" max="14861" width="17.85546875" style="417" customWidth="1"/>
    <col min="14862" max="14862" width="18.7109375" style="417" customWidth="1"/>
    <col min="14863" max="14863" width="17.5703125" style="417" customWidth="1"/>
    <col min="14864" max="14864" width="17.28515625" style="417" customWidth="1"/>
    <col min="14865" max="14865" width="20" style="417" customWidth="1"/>
    <col min="14866" max="14866" width="18.28515625" style="417" customWidth="1"/>
    <col min="14867" max="14867" width="18" style="417" customWidth="1"/>
    <col min="14868" max="14868" width="21.28515625" style="417" customWidth="1"/>
    <col min="14869" max="14869" width="14.7109375" style="417" customWidth="1"/>
    <col min="14870" max="14870" width="17.140625" style="417" customWidth="1"/>
    <col min="14871" max="14871" width="19.7109375" style="417" customWidth="1"/>
    <col min="14872" max="14872" width="18.5703125" style="417" customWidth="1"/>
    <col min="14873" max="14873" width="14.42578125" style="417" customWidth="1"/>
    <col min="14874" max="14874" width="14.140625" style="417" customWidth="1"/>
    <col min="14875" max="14875" width="11.42578125" style="417"/>
    <col min="14876" max="14876" width="13.42578125" style="417" customWidth="1"/>
    <col min="14877" max="14877" width="15.28515625" style="417" customWidth="1"/>
    <col min="14878" max="14878" width="31.85546875" style="417" customWidth="1"/>
    <col min="14879" max="14879" width="5" style="417" bestFit="1" customWidth="1"/>
    <col min="14880" max="14880" width="6.42578125" style="417" bestFit="1" customWidth="1"/>
    <col min="14881" max="14881" width="5.42578125" style="417" bestFit="1" customWidth="1"/>
    <col min="14882" max="14882" width="4.28515625" style="417" bestFit="1" customWidth="1"/>
    <col min="14883" max="14883" width="5" style="417" bestFit="1" customWidth="1"/>
    <col min="14884" max="14884" width="4.5703125" style="417" bestFit="1" customWidth="1"/>
    <col min="14885" max="14885" width="4.140625" style="417" bestFit="1" customWidth="1"/>
    <col min="14886" max="14886" width="5.85546875" style="417" bestFit="1" customWidth="1"/>
    <col min="14887" max="14887" width="9.140625" style="417" bestFit="1" customWidth="1"/>
    <col min="14888" max="14888" width="6.5703125" style="417" bestFit="1" customWidth="1"/>
    <col min="14889" max="14889" width="8.85546875" style="417" bestFit="1" customWidth="1"/>
    <col min="14890" max="14890" width="8.28515625" style="417" bestFit="1" customWidth="1"/>
    <col min="14891" max="15104" width="11.42578125" style="417"/>
    <col min="15105" max="15105" width="14.42578125" style="417" customWidth="1"/>
    <col min="15106" max="15106" width="23.140625" style="417" customWidth="1"/>
    <col min="15107" max="15107" width="20.5703125" style="417" customWidth="1"/>
    <col min="15108" max="15108" width="15.85546875" style="417" customWidth="1"/>
    <col min="15109" max="15109" width="20.140625" style="417" customWidth="1"/>
    <col min="15110" max="15110" width="15.140625" style="417" customWidth="1"/>
    <col min="15111" max="15111" width="21.42578125" style="417" customWidth="1"/>
    <col min="15112" max="15112" width="20" style="417" customWidth="1"/>
    <col min="15113" max="15113" width="21.140625" style="417" customWidth="1"/>
    <col min="15114" max="15114" width="19.42578125" style="417" customWidth="1"/>
    <col min="15115" max="15115" width="20.85546875" style="417" customWidth="1"/>
    <col min="15116" max="15116" width="17.42578125" style="417" customWidth="1"/>
    <col min="15117" max="15117" width="17.85546875" style="417" customWidth="1"/>
    <col min="15118" max="15118" width="18.7109375" style="417" customWidth="1"/>
    <col min="15119" max="15119" width="17.5703125" style="417" customWidth="1"/>
    <col min="15120" max="15120" width="17.28515625" style="417" customWidth="1"/>
    <col min="15121" max="15121" width="20" style="417" customWidth="1"/>
    <col min="15122" max="15122" width="18.28515625" style="417" customWidth="1"/>
    <col min="15123" max="15123" width="18" style="417" customWidth="1"/>
    <col min="15124" max="15124" width="21.28515625" style="417" customWidth="1"/>
    <col min="15125" max="15125" width="14.7109375" style="417" customWidth="1"/>
    <col min="15126" max="15126" width="17.140625" style="417" customWidth="1"/>
    <col min="15127" max="15127" width="19.7109375" style="417" customWidth="1"/>
    <col min="15128" max="15128" width="18.5703125" style="417" customWidth="1"/>
    <col min="15129" max="15129" width="14.42578125" style="417" customWidth="1"/>
    <col min="15130" max="15130" width="14.140625" style="417" customWidth="1"/>
    <col min="15131" max="15131" width="11.42578125" style="417"/>
    <col min="15132" max="15132" width="13.42578125" style="417" customWidth="1"/>
    <col min="15133" max="15133" width="15.28515625" style="417" customWidth="1"/>
    <col min="15134" max="15134" width="31.85546875" style="417" customWidth="1"/>
    <col min="15135" max="15135" width="5" style="417" bestFit="1" customWidth="1"/>
    <col min="15136" max="15136" width="6.42578125" style="417" bestFit="1" customWidth="1"/>
    <col min="15137" max="15137" width="5.42578125" style="417" bestFit="1" customWidth="1"/>
    <col min="15138" max="15138" width="4.28515625" style="417" bestFit="1" customWidth="1"/>
    <col min="15139" max="15139" width="5" style="417" bestFit="1" customWidth="1"/>
    <col min="15140" max="15140" width="4.5703125" style="417" bestFit="1" customWidth="1"/>
    <col min="15141" max="15141" width="4.140625" style="417" bestFit="1" customWidth="1"/>
    <col min="15142" max="15142" width="5.85546875" style="417" bestFit="1" customWidth="1"/>
    <col min="15143" max="15143" width="9.140625" style="417" bestFit="1" customWidth="1"/>
    <col min="15144" max="15144" width="6.5703125" style="417" bestFit="1" customWidth="1"/>
    <col min="15145" max="15145" width="8.85546875" style="417" bestFit="1" customWidth="1"/>
    <col min="15146" max="15146" width="8.28515625" style="417" bestFit="1" customWidth="1"/>
    <col min="15147" max="15360" width="11.42578125" style="417"/>
    <col min="15361" max="15361" width="14.42578125" style="417" customWidth="1"/>
    <col min="15362" max="15362" width="23.140625" style="417" customWidth="1"/>
    <col min="15363" max="15363" width="20.5703125" style="417" customWidth="1"/>
    <col min="15364" max="15364" width="15.85546875" style="417" customWidth="1"/>
    <col min="15365" max="15365" width="20.140625" style="417" customWidth="1"/>
    <col min="15366" max="15366" width="15.140625" style="417" customWidth="1"/>
    <col min="15367" max="15367" width="21.42578125" style="417" customWidth="1"/>
    <col min="15368" max="15368" width="20" style="417" customWidth="1"/>
    <col min="15369" max="15369" width="21.140625" style="417" customWidth="1"/>
    <col min="15370" max="15370" width="19.42578125" style="417" customWidth="1"/>
    <col min="15371" max="15371" width="20.85546875" style="417" customWidth="1"/>
    <col min="15372" max="15372" width="17.42578125" style="417" customWidth="1"/>
    <col min="15373" max="15373" width="17.85546875" style="417" customWidth="1"/>
    <col min="15374" max="15374" width="18.7109375" style="417" customWidth="1"/>
    <col min="15375" max="15375" width="17.5703125" style="417" customWidth="1"/>
    <col min="15376" max="15376" width="17.28515625" style="417" customWidth="1"/>
    <col min="15377" max="15377" width="20" style="417" customWidth="1"/>
    <col min="15378" max="15378" width="18.28515625" style="417" customWidth="1"/>
    <col min="15379" max="15379" width="18" style="417" customWidth="1"/>
    <col min="15380" max="15380" width="21.28515625" style="417" customWidth="1"/>
    <col min="15381" max="15381" width="14.7109375" style="417" customWidth="1"/>
    <col min="15382" max="15382" width="17.140625" style="417" customWidth="1"/>
    <col min="15383" max="15383" width="19.7109375" style="417" customWidth="1"/>
    <col min="15384" max="15384" width="18.5703125" style="417" customWidth="1"/>
    <col min="15385" max="15385" width="14.42578125" style="417" customWidth="1"/>
    <col min="15386" max="15386" width="14.140625" style="417" customWidth="1"/>
    <col min="15387" max="15387" width="11.42578125" style="417"/>
    <col min="15388" max="15388" width="13.42578125" style="417" customWidth="1"/>
    <col min="15389" max="15389" width="15.28515625" style="417" customWidth="1"/>
    <col min="15390" max="15390" width="31.85546875" style="417" customWidth="1"/>
    <col min="15391" max="15391" width="5" style="417" bestFit="1" customWidth="1"/>
    <col min="15392" max="15392" width="6.42578125" style="417" bestFit="1" customWidth="1"/>
    <col min="15393" max="15393" width="5.42578125" style="417" bestFit="1" customWidth="1"/>
    <col min="15394" max="15394" width="4.28515625" style="417" bestFit="1" customWidth="1"/>
    <col min="15395" max="15395" width="5" style="417" bestFit="1" customWidth="1"/>
    <col min="15396" max="15396" width="4.5703125" style="417" bestFit="1" customWidth="1"/>
    <col min="15397" max="15397" width="4.140625" style="417" bestFit="1" customWidth="1"/>
    <col min="15398" max="15398" width="5.85546875" style="417" bestFit="1" customWidth="1"/>
    <col min="15399" max="15399" width="9.140625" style="417" bestFit="1" customWidth="1"/>
    <col min="15400" max="15400" width="6.5703125" style="417" bestFit="1" customWidth="1"/>
    <col min="15401" max="15401" width="8.85546875" style="417" bestFit="1" customWidth="1"/>
    <col min="15402" max="15402" width="8.28515625" style="417" bestFit="1" customWidth="1"/>
    <col min="15403" max="15616" width="11.42578125" style="417"/>
    <col min="15617" max="15617" width="14.42578125" style="417" customWidth="1"/>
    <col min="15618" max="15618" width="23.140625" style="417" customWidth="1"/>
    <col min="15619" max="15619" width="20.5703125" style="417" customWidth="1"/>
    <col min="15620" max="15620" width="15.85546875" style="417" customWidth="1"/>
    <col min="15621" max="15621" width="20.140625" style="417" customWidth="1"/>
    <col min="15622" max="15622" width="15.140625" style="417" customWidth="1"/>
    <col min="15623" max="15623" width="21.42578125" style="417" customWidth="1"/>
    <col min="15624" max="15624" width="20" style="417" customWidth="1"/>
    <col min="15625" max="15625" width="21.140625" style="417" customWidth="1"/>
    <col min="15626" max="15626" width="19.42578125" style="417" customWidth="1"/>
    <col min="15627" max="15627" width="20.85546875" style="417" customWidth="1"/>
    <col min="15628" max="15628" width="17.42578125" style="417" customWidth="1"/>
    <col min="15629" max="15629" width="17.85546875" style="417" customWidth="1"/>
    <col min="15630" max="15630" width="18.7109375" style="417" customWidth="1"/>
    <col min="15631" max="15631" width="17.5703125" style="417" customWidth="1"/>
    <col min="15632" max="15632" width="17.28515625" style="417" customWidth="1"/>
    <col min="15633" max="15633" width="20" style="417" customWidth="1"/>
    <col min="15634" max="15634" width="18.28515625" style="417" customWidth="1"/>
    <col min="15635" max="15635" width="18" style="417" customWidth="1"/>
    <col min="15636" max="15636" width="21.28515625" style="417" customWidth="1"/>
    <col min="15637" max="15637" width="14.7109375" style="417" customWidth="1"/>
    <col min="15638" max="15638" width="17.140625" style="417" customWidth="1"/>
    <col min="15639" max="15639" width="19.7109375" style="417" customWidth="1"/>
    <col min="15640" max="15640" width="18.5703125" style="417" customWidth="1"/>
    <col min="15641" max="15641" width="14.42578125" style="417" customWidth="1"/>
    <col min="15642" max="15642" width="14.140625" style="417" customWidth="1"/>
    <col min="15643" max="15643" width="11.42578125" style="417"/>
    <col min="15644" max="15644" width="13.42578125" style="417" customWidth="1"/>
    <col min="15645" max="15645" width="15.28515625" style="417" customWidth="1"/>
    <col min="15646" max="15646" width="31.85546875" style="417" customWidth="1"/>
    <col min="15647" max="15647" width="5" style="417" bestFit="1" customWidth="1"/>
    <col min="15648" max="15648" width="6.42578125" style="417" bestFit="1" customWidth="1"/>
    <col min="15649" max="15649" width="5.42578125" style="417" bestFit="1" customWidth="1"/>
    <col min="15650" max="15650" width="4.28515625" style="417" bestFit="1" customWidth="1"/>
    <col min="15651" max="15651" width="5" style="417" bestFit="1" customWidth="1"/>
    <col min="15652" max="15652" width="4.5703125" style="417" bestFit="1" customWidth="1"/>
    <col min="15653" max="15653" width="4.140625" style="417" bestFit="1" customWidth="1"/>
    <col min="15654" max="15654" width="5.85546875" style="417" bestFit="1" customWidth="1"/>
    <col min="15655" max="15655" width="9.140625" style="417" bestFit="1" customWidth="1"/>
    <col min="15656" max="15656" width="6.5703125" style="417" bestFit="1" customWidth="1"/>
    <col min="15657" max="15657" width="8.85546875" style="417" bestFit="1" customWidth="1"/>
    <col min="15658" max="15658" width="8.28515625" style="417" bestFit="1" customWidth="1"/>
    <col min="15659" max="15872" width="11.42578125" style="417"/>
    <col min="15873" max="15873" width="14.42578125" style="417" customWidth="1"/>
    <col min="15874" max="15874" width="23.140625" style="417" customWidth="1"/>
    <col min="15875" max="15875" width="20.5703125" style="417" customWidth="1"/>
    <col min="15876" max="15876" width="15.85546875" style="417" customWidth="1"/>
    <col min="15877" max="15877" width="20.140625" style="417" customWidth="1"/>
    <col min="15878" max="15878" width="15.140625" style="417" customWidth="1"/>
    <col min="15879" max="15879" width="21.42578125" style="417" customWidth="1"/>
    <col min="15880" max="15880" width="20" style="417" customWidth="1"/>
    <col min="15881" max="15881" width="21.140625" style="417" customWidth="1"/>
    <col min="15882" max="15882" width="19.42578125" style="417" customWidth="1"/>
    <col min="15883" max="15883" width="20.85546875" style="417" customWidth="1"/>
    <col min="15884" max="15884" width="17.42578125" style="417" customWidth="1"/>
    <col min="15885" max="15885" width="17.85546875" style="417" customWidth="1"/>
    <col min="15886" max="15886" width="18.7109375" style="417" customWidth="1"/>
    <col min="15887" max="15887" width="17.5703125" style="417" customWidth="1"/>
    <col min="15888" max="15888" width="17.28515625" style="417" customWidth="1"/>
    <col min="15889" max="15889" width="20" style="417" customWidth="1"/>
    <col min="15890" max="15890" width="18.28515625" style="417" customWidth="1"/>
    <col min="15891" max="15891" width="18" style="417" customWidth="1"/>
    <col min="15892" max="15892" width="21.28515625" style="417" customWidth="1"/>
    <col min="15893" max="15893" width="14.7109375" style="417" customWidth="1"/>
    <col min="15894" max="15894" width="17.140625" style="417" customWidth="1"/>
    <col min="15895" max="15895" width="19.7109375" style="417" customWidth="1"/>
    <col min="15896" max="15896" width="18.5703125" style="417" customWidth="1"/>
    <col min="15897" max="15897" width="14.42578125" style="417" customWidth="1"/>
    <col min="15898" max="15898" width="14.140625" style="417" customWidth="1"/>
    <col min="15899" max="15899" width="11.42578125" style="417"/>
    <col min="15900" max="15900" width="13.42578125" style="417" customWidth="1"/>
    <col min="15901" max="15901" width="15.28515625" style="417" customWidth="1"/>
    <col min="15902" max="15902" width="31.85546875" style="417" customWidth="1"/>
    <col min="15903" max="15903" width="5" style="417" bestFit="1" customWidth="1"/>
    <col min="15904" max="15904" width="6.42578125" style="417" bestFit="1" customWidth="1"/>
    <col min="15905" max="15905" width="5.42578125" style="417" bestFit="1" customWidth="1"/>
    <col min="15906" max="15906" width="4.28515625" style="417" bestFit="1" customWidth="1"/>
    <col min="15907" max="15907" width="5" style="417" bestFit="1" customWidth="1"/>
    <col min="15908" max="15908" width="4.5703125" style="417" bestFit="1" customWidth="1"/>
    <col min="15909" max="15909" width="4.140625" style="417" bestFit="1" customWidth="1"/>
    <col min="15910" max="15910" width="5.85546875" style="417" bestFit="1" customWidth="1"/>
    <col min="15911" max="15911" width="9.140625" style="417" bestFit="1" customWidth="1"/>
    <col min="15912" max="15912" width="6.5703125" style="417" bestFit="1" customWidth="1"/>
    <col min="15913" max="15913" width="8.85546875" style="417" bestFit="1" customWidth="1"/>
    <col min="15914" max="15914" width="8.28515625" style="417" bestFit="1" customWidth="1"/>
    <col min="15915" max="16128" width="11.42578125" style="417"/>
    <col min="16129" max="16129" width="14.42578125" style="417" customWidth="1"/>
    <col min="16130" max="16130" width="23.140625" style="417" customWidth="1"/>
    <col min="16131" max="16131" width="20.5703125" style="417" customWidth="1"/>
    <col min="16132" max="16132" width="15.85546875" style="417" customWidth="1"/>
    <col min="16133" max="16133" width="20.140625" style="417" customWidth="1"/>
    <col min="16134" max="16134" width="15.140625" style="417" customWidth="1"/>
    <col min="16135" max="16135" width="21.42578125" style="417" customWidth="1"/>
    <col min="16136" max="16136" width="20" style="417" customWidth="1"/>
    <col min="16137" max="16137" width="21.140625" style="417" customWidth="1"/>
    <col min="16138" max="16138" width="19.42578125" style="417" customWidth="1"/>
    <col min="16139" max="16139" width="20.85546875" style="417" customWidth="1"/>
    <col min="16140" max="16140" width="17.42578125" style="417" customWidth="1"/>
    <col min="16141" max="16141" width="17.85546875" style="417" customWidth="1"/>
    <col min="16142" max="16142" width="18.7109375" style="417" customWidth="1"/>
    <col min="16143" max="16143" width="17.5703125" style="417" customWidth="1"/>
    <col min="16144" max="16144" width="17.28515625" style="417" customWidth="1"/>
    <col min="16145" max="16145" width="20" style="417" customWidth="1"/>
    <col min="16146" max="16146" width="18.28515625" style="417" customWidth="1"/>
    <col min="16147" max="16147" width="18" style="417" customWidth="1"/>
    <col min="16148" max="16148" width="21.28515625" style="417" customWidth="1"/>
    <col min="16149" max="16149" width="14.7109375" style="417" customWidth="1"/>
    <col min="16150" max="16150" width="17.140625" style="417" customWidth="1"/>
    <col min="16151" max="16151" width="19.7109375" style="417" customWidth="1"/>
    <col min="16152" max="16152" width="18.5703125" style="417" customWidth="1"/>
    <col min="16153" max="16153" width="14.42578125" style="417" customWidth="1"/>
    <col min="16154" max="16154" width="14.140625" style="417" customWidth="1"/>
    <col min="16155" max="16155" width="11.42578125" style="417"/>
    <col min="16156" max="16156" width="13.42578125" style="417" customWidth="1"/>
    <col min="16157" max="16157" width="15.28515625" style="417" customWidth="1"/>
    <col min="16158" max="16158" width="31.85546875" style="417" customWidth="1"/>
    <col min="16159" max="16159" width="5" style="417" bestFit="1" customWidth="1"/>
    <col min="16160" max="16160" width="6.42578125" style="417" bestFit="1" customWidth="1"/>
    <col min="16161" max="16161" width="5.42578125" style="417" bestFit="1" customWidth="1"/>
    <col min="16162" max="16162" width="4.28515625" style="417" bestFit="1" customWidth="1"/>
    <col min="16163" max="16163" width="5" style="417" bestFit="1" customWidth="1"/>
    <col min="16164" max="16164" width="4.5703125" style="417" bestFit="1" customWidth="1"/>
    <col min="16165" max="16165" width="4.140625" style="417" bestFit="1" customWidth="1"/>
    <col min="16166" max="16166" width="5.85546875" style="417" bestFit="1" customWidth="1"/>
    <col min="16167" max="16167" width="9.140625" style="417" bestFit="1" customWidth="1"/>
    <col min="16168" max="16168" width="6.5703125" style="417" bestFit="1" customWidth="1"/>
    <col min="16169" max="16169" width="8.85546875" style="417" bestFit="1" customWidth="1"/>
    <col min="16170" max="16170" width="8.28515625" style="417" bestFit="1" customWidth="1"/>
    <col min="16171" max="16384" width="11.42578125" style="417"/>
  </cols>
  <sheetData>
    <row r="1" spans="1:42" x14ac:dyDescent="0.3">
      <c r="A1" s="653" t="s">
        <v>0</v>
      </c>
      <c r="B1" s="653"/>
      <c r="C1" s="653"/>
      <c r="D1" s="653"/>
      <c r="E1" s="653"/>
      <c r="F1" s="653"/>
      <c r="G1" s="653"/>
      <c r="H1" s="653"/>
      <c r="I1" s="653"/>
      <c r="J1" s="653"/>
      <c r="K1" s="653"/>
      <c r="L1" s="653"/>
      <c r="M1" s="653"/>
      <c r="N1" s="653"/>
      <c r="O1" s="653"/>
      <c r="P1" s="653"/>
    </row>
    <row r="2" spans="1:42" x14ac:dyDescent="0.3">
      <c r="A2" s="653" t="s">
        <v>1</v>
      </c>
      <c r="B2" s="653"/>
      <c r="C2" s="653"/>
      <c r="D2" s="653"/>
      <c r="E2" s="653"/>
      <c r="F2" s="653"/>
      <c r="G2" s="653"/>
      <c r="H2" s="653"/>
      <c r="I2" s="653"/>
      <c r="J2" s="653"/>
      <c r="K2" s="653"/>
      <c r="L2" s="653"/>
      <c r="M2" s="653"/>
      <c r="N2" s="653"/>
      <c r="O2" s="653"/>
      <c r="P2" s="653"/>
    </row>
    <row r="3" spans="1:42" x14ac:dyDescent="0.3">
      <c r="A3" s="653" t="s">
        <v>61</v>
      </c>
      <c r="B3" s="653"/>
      <c r="C3" s="653"/>
      <c r="D3" s="653"/>
      <c r="E3" s="653"/>
      <c r="F3" s="653"/>
      <c r="G3" s="653"/>
      <c r="H3" s="653"/>
      <c r="I3" s="653"/>
      <c r="J3" s="653"/>
      <c r="K3" s="653"/>
      <c r="L3" s="653"/>
      <c r="M3" s="653"/>
      <c r="N3" s="653"/>
      <c r="O3" s="653"/>
      <c r="P3" s="653"/>
    </row>
    <row r="4" spans="1:42" x14ac:dyDescent="0.3">
      <c r="A4" s="653">
        <v>2013</v>
      </c>
      <c r="B4" s="653"/>
      <c r="C4" s="653"/>
      <c r="D4" s="653"/>
      <c r="E4" s="653"/>
      <c r="F4" s="653"/>
      <c r="G4" s="653"/>
      <c r="H4" s="653"/>
      <c r="I4" s="653"/>
      <c r="J4" s="653"/>
      <c r="K4" s="653"/>
      <c r="L4" s="653"/>
      <c r="M4" s="653"/>
      <c r="N4" s="653"/>
      <c r="O4" s="653"/>
      <c r="P4" s="653"/>
    </row>
    <row r="5" spans="1:42" x14ac:dyDescent="0.3">
      <c r="A5" s="654" t="s">
        <v>4</v>
      </c>
      <c r="B5" s="654"/>
      <c r="C5" s="419" t="s">
        <v>2623</v>
      </c>
      <c r="D5" s="419"/>
      <c r="E5" s="419"/>
      <c r="F5" s="419"/>
      <c r="G5" s="419"/>
      <c r="H5" s="419"/>
      <c r="I5" s="420"/>
      <c r="J5" s="420"/>
      <c r="K5" s="421"/>
      <c r="L5" s="420"/>
      <c r="M5" s="420"/>
      <c r="N5" s="420"/>
      <c r="O5" s="420"/>
      <c r="P5" s="420"/>
      <c r="Q5" s="422"/>
      <c r="R5" s="422"/>
      <c r="S5" s="422"/>
      <c r="T5" s="422"/>
      <c r="U5" s="422"/>
      <c r="V5" s="422"/>
      <c r="W5" s="422"/>
      <c r="X5" s="422"/>
      <c r="Y5" s="423"/>
      <c r="Z5" s="422"/>
      <c r="AA5" s="422"/>
      <c r="AB5" s="422"/>
      <c r="AC5" s="422"/>
      <c r="AD5" s="422"/>
    </row>
    <row r="7" spans="1:42" s="424" customFormat="1" ht="30.75" customHeight="1" x14ac:dyDescent="0.25">
      <c r="A7" s="651" t="s">
        <v>6</v>
      </c>
      <c r="B7" s="651" t="s">
        <v>7</v>
      </c>
      <c r="C7" s="651" t="s">
        <v>8</v>
      </c>
      <c r="D7" s="651" t="s">
        <v>9</v>
      </c>
      <c r="E7" s="651" t="s">
        <v>11</v>
      </c>
      <c r="F7" s="651" t="s">
        <v>12</v>
      </c>
      <c r="G7" s="651" t="s">
        <v>13</v>
      </c>
      <c r="H7" s="651" t="s">
        <v>62</v>
      </c>
      <c r="I7" s="655" t="s">
        <v>63</v>
      </c>
      <c r="J7" s="655" t="s">
        <v>64</v>
      </c>
      <c r="K7" s="651" t="s">
        <v>65</v>
      </c>
      <c r="L7" s="655" t="s">
        <v>66</v>
      </c>
      <c r="M7" s="655" t="s">
        <v>67</v>
      </c>
      <c r="N7" s="651" t="s">
        <v>68</v>
      </c>
      <c r="O7" s="655" t="s">
        <v>69</v>
      </c>
      <c r="P7" s="655" t="s">
        <v>70</v>
      </c>
      <c r="Q7" s="651" t="s">
        <v>71</v>
      </c>
      <c r="R7" s="651" t="s">
        <v>72</v>
      </c>
      <c r="S7" s="651" t="s">
        <v>73</v>
      </c>
      <c r="T7" s="658" t="s">
        <v>74</v>
      </c>
      <c r="U7" s="659"/>
      <c r="V7" s="659"/>
      <c r="W7" s="659"/>
      <c r="X7" s="659"/>
      <c r="Y7" s="659"/>
      <c r="Z7" s="659"/>
      <c r="AA7" s="659"/>
      <c r="AB7" s="659"/>
      <c r="AC7" s="659"/>
      <c r="AD7" s="660" t="s">
        <v>22</v>
      </c>
      <c r="AE7" s="662" t="s">
        <v>75</v>
      </c>
      <c r="AF7" s="663"/>
      <c r="AG7" s="663"/>
      <c r="AH7" s="663"/>
      <c r="AI7" s="663"/>
      <c r="AJ7" s="663"/>
      <c r="AK7" s="663"/>
      <c r="AL7" s="663"/>
      <c r="AM7" s="663"/>
      <c r="AN7" s="663"/>
      <c r="AO7" s="663"/>
      <c r="AP7" s="664"/>
    </row>
    <row r="8" spans="1:42" ht="102" customHeight="1" x14ac:dyDescent="0.3">
      <c r="A8" s="652"/>
      <c r="B8" s="652"/>
      <c r="C8" s="652"/>
      <c r="D8" s="652"/>
      <c r="E8" s="652"/>
      <c r="F8" s="652"/>
      <c r="G8" s="652"/>
      <c r="H8" s="652"/>
      <c r="I8" s="656"/>
      <c r="J8" s="656"/>
      <c r="K8" s="652"/>
      <c r="L8" s="656"/>
      <c r="M8" s="656"/>
      <c r="N8" s="652"/>
      <c r="O8" s="656"/>
      <c r="P8" s="656"/>
      <c r="Q8" s="652"/>
      <c r="R8" s="652"/>
      <c r="S8" s="657"/>
      <c r="T8" s="425" t="s">
        <v>76</v>
      </c>
      <c r="U8" s="425" t="s">
        <v>77</v>
      </c>
      <c r="V8" s="425" t="s">
        <v>78</v>
      </c>
      <c r="W8" s="426" t="s">
        <v>79</v>
      </c>
      <c r="X8" s="426" t="s">
        <v>80</v>
      </c>
      <c r="Y8" s="426" t="s">
        <v>81</v>
      </c>
      <c r="Z8" s="426" t="s">
        <v>82</v>
      </c>
      <c r="AA8" s="427" t="s">
        <v>83</v>
      </c>
      <c r="AB8" s="426" t="s">
        <v>84</v>
      </c>
      <c r="AC8" s="426" t="s">
        <v>85</v>
      </c>
      <c r="AD8" s="661"/>
      <c r="AE8" s="428" t="s">
        <v>86</v>
      </c>
      <c r="AF8" s="428" t="s">
        <v>87</v>
      </c>
      <c r="AG8" s="428" t="s">
        <v>88</v>
      </c>
      <c r="AH8" s="428" t="s">
        <v>89</v>
      </c>
      <c r="AI8" s="428" t="s">
        <v>90</v>
      </c>
      <c r="AJ8" s="428" t="s">
        <v>91</v>
      </c>
      <c r="AK8" s="428" t="s">
        <v>92</v>
      </c>
      <c r="AL8" s="428" t="s">
        <v>93</v>
      </c>
      <c r="AM8" s="428" t="s">
        <v>94</v>
      </c>
      <c r="AN8" s="428" t="s">
        <v>95</v>
      </c>
      <c r="AO8" s="428" t="s">
        <v>96</v>
      </c>
      <c r="AP8" s="428" t="s">
        <v>97</v>
      </c>
    </row>
    <row r="9" spans="1:42" s="435" customFormat="1" ht="195" x14ac:dyDescent="0.3">
      <c r="A9" s="429" t="s">
        <v>23</v>
      </c>
      <c r="B9" s="429" t="s">
        <v>136</v>
      </c>
      <c r="C9" s="429" t="s">
        <v>137</v>
      </c>
      <c r="D9" s="429">
        <v>211180000</v>
      </c>
      <c r="E9" s="430" t="s">
        <v>2626</v>
      </c>
      <c r="F9" s="429" t="s">
        <v>2627</v>
      </c>
      <c r="G9" s="431" t="s">
        <v>2628</v>
      </c>
      <c r="H9" s="432">
        <v>314300000</v>
      </c>
      <c r="I9" s="432">
        <v>314300000</v>
      </c>
      <c r="J9" s="432">
        <f>+'[12]Ejec. Proyecto PEP'!$G$490</f>
        <v>180770001</v>
      </c>
      <c r="K9" s="432">
        <v>0</v>
      </c>
      <c r="L9" s="432"/>
      <c r="M9" s="432">
        <v>44500000</v>
      </c>
      <c r="N9" s="432">
        <f>H9+K9</f>
        <v>314300000</v>
      </c>
      <c r="O9" s="432">
        <f>I9+L9</f>
        <v>314300000</v>
      </c>
      <c r="P9" s="432">
        <f>J9+M9</f>
        <v>225270001</v>
      </c>
      <c r="Q9" s="432">
        <v>168353178</v>
      </c>
      <c r="R9" s="432">
        <f>+M9</f>
        <v>44500000</v>
      </c>
      <c r="S9" s="432">
        <f>Q9+R9</f>
        <v>212853178</v>
      </c>
      <c r="T9" s="433">
        <v>0</v>
      </c>
      <c r="U9" s="433">
        <v>0</v>
      </c>
      <c r="V9" s="433">
        <v>0</v>
      </c>
      <c r="W9" s="429"/>
      <c r="X9" s="429"/>
      <c r="Y9" s="434"/>
      <c r="Z9" s="429"/>
      <c r="AA9" s="429">
        <v>0</v>
      </c>
      <c r="AB9" s="429"/>
      <c r="AC9" s="429"/>
      <c r="AD9" s="10" t="s">
        <v>2686</v>
      </c>
      <c r="AE9" s="429">
        <v>0</v>
      </c>
      <c r="AF9" s="429">
        <v>0</v>
      </c>
      <c r="AG9" s="429">
        <v>0</v>
      </c>
      <c r="AH9" s="429">
        <v>0</v>
      </c>
      <c r="AI9" s="429">
        <v>0</v>
      </c>
      <c r="AJ9" s="429">
        <v>0</v>
      </c>
      <c r="AK9" s="429">
        <v>0</v>
      </c>
      <c r="AL9" s="429">
        <v>0</v>
      </c>
      <c r="AM9" s="429">
        <v>0</v>
      </c>
      <c r="AN9" s="429">
        <v>0</v>
      </c>
      <c r="AO9" s="429">
        <v>0</v>
      </c>
      <c r="AP9" s="429">
        <v>0</v>
      </c>
    </row>
    <row r="10" spans="1:42" s="435" customFormat="1" ht="148.5" customHeight="1" x14ac:dyDescent="0.3">
      <c r="A10" s="429">
        <v>0</v>
      </c>
      <c r="B10" s="429">
        <v>0</v>
      </c>
      <c r="C10" s="429">
        <v>0</v>
      </c>
      <c r="D10" s="429">
        <v>0</v>
      </c>
      <c r="E10" s="430">
        <v>0</v>
      </c>
      <c r="F10" s="429">
        <v>0</v>
      </c>
      <c r="G10" s="431">
        <v>0</v>
      </c>
      <c r="H10" s="432">
        <v>0</v>
      </c>
      <c r="I10" s="432"/>
      <c r="J10" s="432"/>
      <c r="K10" s="432"/>
      <c r="L10" s="432"/>
      <c r="M10" s="432"/>
      <c r="N10" s="432">
        <f t="shared" ref="N10:P37" si="0">H10+K10</f>
        <v>0</v>
      </c>
      <c r="O10" s="432">
        <f t="shared" si="0"/>
        <v>0</v>
      </c>
      <c r="P10" s="432">
        <f t="shared" si="0"/>
        <v>0</v>
      </c>
      <c r="Q10" s="432"/>
      <c r="R10" s="432"/>
      <c r="S10" s="432">
        <f t="shared" ref="S10:S37" si="1">Q10+R10</f>
        <v>0</v>
      </c>
      <c r="T10" s="433" t="s">
        <v>2687</v>
      </c>
      <c r="U10" s="433" t="s">
        <v>222</v>
      </c>
      <c r="V10" s="433">
        <v>100</v>
      </c>
      <c r="W10" s="429"/>
      <c r="X10" s="429"/>
      <c r="Y10" s="436">
        <v>1.0000000000000001E-5</v>
      </c>
      <c r="Z10" s="429">
        <v>100</v>
      </c>
      <c r="AA10" s="429">
        <v>210</v>
      </c>
      <c r="AB10" s="429"/>
      <c r="AC10" s="429">
        <f>24*11</f>
        <v>264</v>
      </c>
      <c r="AD10" s="10" t="s">
        <v>2630</v>
      </c>
      <c r="AE10" s="429">
        <v>0</v>
      </c>
      <c r="AF10" s="429">
        <v>0</v>
      </c>
      <c r="AG10" s="429">
        <v>0</v>
      </c>
      <c r="AH10" s="429">
        <v>0</v>
      </c>
      <c r="AI10" s="429">
        <v>0</v>
      </c>
      <c r="AJ10" s="429" t="s">
        <v>102</v>
      </c>
      <c r="AK10" s="429" t="s">
        <v>102</v>
      </c>
      <c r="AL10" s="429" t="s">
        <v>102</v>
      </c>
      <c r="AM10" s="429" t="s">
        <v>102</v>
      </c>
      <c r="AN10" s="429" t="s">
        <v>102</v>
      </c>
      <c r="AO10" s="429" t="s">
        <v>102</v>
      </c>
      <c r="AP10" s="429" t="s">
        <v>102</v>
      </c>
    </row>
    <row r="11" spans="1:42" s="435" customFormat="1" ht="141.75" customHeight="1" x14ac:dyDescent="0.3">
      <c r="A11" s="429">
        <v>0</v>
      </c>
      <c r="B11" s="429">
        <v>0</v>
      </c>
      <c r="C11" s="429">
        <v>0</v>
      </c>
      <c r="D11" s="429">
        <v>0</v>
      </c>
      <c r="E11" s="430">
        <v>0</v>
      </c>
      <c r="F11" s="429">
        <v>0</v>
      </c>
      <c r="G11" s="431">
        <v>0</v>
      </c>
      <c r="H11" s="432">
        <v>0</v>
      </c>
      <c r="I11" s="432"/>
      <c r="J11" s="432"/>
      <c r="K11" s="432"/>
      <c r="L11" s="432"/>
      <c r="M11" s="432"/>
      <c r="N11" s="432">
        <f t="shared" si="0"/>
        <v>0</v>
      </c>
      <c r="O11" s="432">
        <f t="shared" si="0"/>
        <v>0</v>
      </c>
      <c r="P11" s="432">
        <f t="shared" si="0"/>
        <v>0</v>
      </c>
      <c r="Q11" s="432"/>
      <c r="R11" s="432"/>
      <c r="S11" s="432">
        <f t="shared" si="1"/>
        <v>0</v>
      </c>
      <c r="T11" s="433" t="s">
        <v>2688</v>
      </c>
      <c r="U11" s="433" t="s">
        <v>2689</v>
      </c>
      <c r="V11" s="433">
        <v>2</v>
      </c>
      <c r="W11" s="429"/>
      <c r="X11" s="429"/>
      <c r="Y11" s="436">
        <v>1.0000000000000001E-5</v>
      </c>
      <c r="Z11" s="429">
        <v>2</v>
      </c>
      <c r="AA11" s="429">
        <v>300</v>
      </c>
      <c r="AB11" s="429"/>
      <c r="AC11" s="429">
        <v>310</v>
      </c>
      <c r="AD11" s="429"/>
      <c r="AE11" s="429">
        <v>0</v>
      </c>
      <c r="AF11" s="429">
        <v>0</v>
      </c>
      <c r="AG11" s="429" t="s">
        <v>102</v>
      </c>
      <c r="AH11" s="429" t="s">
        <v>102</v>
      </c>
      <c r="AI11" s="429" t="s">
        <v>102</v>
      </c>
      <c r="AJ11" s="429" t="s">
        <v>102</v>
      </c>
      <c r="AK11" s="429" t="s">
        <v>102</v>
      </c>
      <c r="AL11" s="429" t="s">
        <v>102</v>
      </c>
      <c r="AM11" s="429" t="s">
        <v>102</v>
      </c>
      <c r="AN11" s="429" t="s">
        <v>102</v>
      </c>
      <c r="AO11" s="429" t="s">
        <v>102</v>
      </c>
      <c r="AP11" s="429" t="s">
        <v>102</v>
      </c>
    </row>
    <row r="12" spans="1:42" s="435" customFormat="1" ht="95.25" customHeight="1" x14ac:dyDescent="0.3">
      <c r="A12" s="429" t="s">
        <v>23</v>
      </c>
      <c r="B12" s="429" t="s">
        <v>1573</v>
      </c>
      <c r="C12" s="429" t="s">
        <v>2631</v>
      </c>
      <c r="D12" s="429">
        <v>214410000</v>
      </c>
      <c r="E12" s="430" t="s">
        <v>2633</v>
      </c>
      <c r="F12" s="429" t="s">
        <v>2634</v>
      </c>
      <c r="G12" s="431" t="s">
        <v>2635</v>
      </c>
      <c r="H12" s="432">
        <v>70000000</v>
      </c>
      <c r="I12" s="432">
        <v>35000000</v>
      </c>
      <c r="J12" s="432">
        <v>1.0000000000000001E-9</v>
      </c>
      <c r="K12" s="432"/>
      <c r="L12" s="432"/>
      <c r="M12" s="432">
        <v>1.0000000000000001E-9</v>
      </c>
      <c r="N12" s="432">
        <f t="shared" si="0"/>
        <v>70000000</v>
      </c>
      <c r="O12" s="432">
        <f t="shared" si="0"/>
        <v>35000000</v>
      </c>
      <c r="P12" s="432">
        <f t="shared" si="0"/>
        <v>2.0000000000000001E-9</v>
      </c>
      <c r="Q12" s="432">
        <v>9.9999999999999995E-7</v>
      </c>
      <c r="R12" s="432">
        <v>0</v>
      </c>
      <c r="S12" s="432">
        <f t="shared" si="1"/>
        <v>9.9999999999999995E-7</v>
      </c>
      <c r="T12" s="433">
        <v>0</v>
      </c>
      <c r="U12" s="433">
        <v>0</v>
      </c>
      <c r="V12" s="433">
        <v>0</v>
      </c>
      <c r="W12" s="429"/>
      <c r="X12" s="429"/>
      <c r="Y12" s="434"/>
      <c r="Z12" s="429"/>
      <c r="AA12" s="429">
        <v>0</v>
      </c>
      <c r="AB12" s="429"/>
      <c r="AC12" s="429"/>
      <c r="AD12" s="10" t="s">
        <v>2690</v>
      </c>
      <c r="AE12" s="429">
        <v>0</v>
      </c>
      <c r="AF12" s="429">
        <v>0</v>
      </c>
      <c r="AG12" s="429">
        <v>0</v>
      </c>
      <c r="AH12" s="429">
        <v>0</v>
      </c>
      <c r="AI12" s="429">
        <v>0</v>
      </c>
      <c r="AJ12" s="429">
        <v>0</v>
      </c>
      <c r="AK12" s="429">
        <v>0</v>
      </c>
      <c r="AL12" s="429">
        <v>0</v>
      </c>
      <c r="AM12" s="429">
        <v>0</v>
      </c>
      <c r="AN12" s="429">
        <v>0</v>
      </c>
      <c r="AO12" s="429">
        <v>0</v>
      </c>
      <c r="AP12" s="429">
        <v>0</v>
      </c>
    </row>
    <row r="13" spans="1:42" s="435" customFormat="1" ht="60.75" customHeight="1" x14ac:dyDescent="0.3">
      <c r="A13" s="429">
        <v>0</v>
      </c>
      <c r="B13" s="429">
        <v>0</v>
      </c>
      <c r="C13" s="429">
        <v>0</v>
      </c>
      <c r="D13" s="429">
        <v>0</v>
      </c>
      <c r="E13" s="430">
        <v>0</v>
      </c>
      <c r="F13" s="429">
        <v>0</v>
      </c>
      <c r="G13" s="431">
        <v>0</v>
      </c>
      <c r="H13" s="432">
        <v>0</v>
      </c>
      <c r="I13" s="432"/>
      <c r="J13" s="432"/>
      <c r="K13" s="432"/>
      <c r="L13" s="432"/>
      <c r="M13" s="432"/>
      <c r="N13" s="432">
        <f t="shared" si="0"/>
        <v>0</v>
      </c>
      <c r="O13" s="432">
        <f t="shared" si="0"/>
        <v>0</v>
      </c>
      <c r="P13" s="432">
        <f t="shared" si="0"/>
        <v>0</v>
      </c>
      <c r="Q13" s="432"/>
      <c r="R13" s="432"/>
      <c r="S13" s="432">
        <f t="shared" si="1"/>
        <v>0</v>
      </c>
      <c r="T13" s="433" t="s">
        <v>2691</v>
      </c>
      <c r="U13" s="433" t="s">
        <v>2689</v>
      </c>
      <c r="V13" s="433">
        <v>1</v>
      </c>
      <c r="W13" s="429"/>
      <c r="X13" s="429"/>
      <c r="Y13" s="436">
        <v>1.0000000000000001E-5</v>
      </c>
      <c r="Z13" s="429">
        <v>1</v>
      </c>
      <c r="AA13" s="429">
        <v>300</v>
      </c>
      <c r="AB13" s="429">
        <v>0</v>
      </c>
      <c r="AC13" s="429">
        <v>310</v>
      </c>
      <c r="AD13" s="10" t="s">
        <v>2692</v>
      </c>
      <c r="AE13" s="429">
        <v>0</v>
      </c>
      <c r="AF13" s="429" t="s">
        <v>102</v>
      </c>
      <c r="AG13" s="429" t="s">
        <v>102</v>
      </c>
      <c r="AH13" s="429" t="s">
        <v>102</v>
      </c>
      <c r="AI13" s="429" t="s">
        <v>102</v>
      </c>
      <c r="AJ13" s="429" t="s">
        <v>102</v>
      </c>
      <c r="AK13" s="429" t="s">
        <v>102</v>
      </c>
      <c r="AL13" s="429" t="s">
        <v>102</v>
      </c>
      <c r="AM13" s="429" t="s">
        <v>102</v>
      </c>
      <c r="AN13" s="429" t="s">
        <v>102</v>
      </c>
      <c r="AO13" s="429" t="s">
        <v>102</v>
      </c>
      <c r="AP13" s="429" t="s">
        <v>102</v>
      </c>
    </row>
    <row r="14" spans="1:42" s="435" customFormat="1" ht="84.75" customHeight="1" x14ac:dyDescent="0.3">
      <c r="A14" s="429">
        <v>0</v>
      </c>
      <c r="B14" s="429">
        <v>0</v>
      </c>
      <c r="C14" s="429">
        <v>0</v>
      </c>
      <c r="D14" s="429">
        <v>0</v>
      </c>
      <c r="E14" s="430">
        <v>0</v>
      </c>
      <c r="F14" s="429">
        <v>0</v>
      </c>
      <c r="G14" s="431">
        <v>0</v>
      </c>
      <c r="H14" s="432">
        <v>0</v>
      </c>
      <c r="I14" s="432"/>
      <c r="J14" s="432"/>
      <c r="K14" s="432"/>
      <c r="L14" s="432"/>
      <c r="M14" s="432"/>
      <c r="N14" s="432">
        <f t="shared" si="0"/>
        <v>0</v>
      </c>
      <c r="O14" s="432">
        <f t="shared" si="0"/>
        <v>0</v>
      </c>
      <c r="P14" s="432">
        <f t="shared" si="0"/>
        <v>0</v>
      </c>
      <c r="Q14" s="432"/>
      <c r="R14" s="432"/>
      <c r="S14" s="432">
        <f t="shared" si="1"/>
        <v>0</v>
      </c>
      <c r="T14" s="433" t="s">
        <v>2693</v>
      </c>
      <c r="U14" s="433" t="s">
        <v>2689</v>
      </c>
      <c r="V14" s="433">
        <v>1</v>
      </c>
      <c r="W14" s="429"/>
      <c r="X14" s="429"/>
      <c r="Y14" s="436">
        <v>1.0000000000000001E-5</v>
      </c>
      <c r="Z14" s="429">
        <v>1</v>
      </c>
      <c r="AA14" s="429">
        <v>180</v>
      </c>
      <c r="AB14" s="429"/>
      <c r="AC14" s="429">
        <v>200</v>
      </c>
      <c r="AD14" s="10" t="s">
        <v>2694</v>
      </c>
      <c r="AE14" s="429">
        <v>0</v>
      </c>
      <c r="AF14" s="429">
        <v>0</v>
      </c>
      <c r="AG14" s="429">
        <v>0</v>
      </c>
      <c r="AH14" s="429" t="s">
        <v>102</v>
      </c>
      <c r="AI14" s="429" t="s">
        <v>102</v>
      </c>
      <c r="AJ14" s="429" t="s">
        <v>102</v>
      </c>
      <c r="AK14" s="429" t="s">
        <v>102</v>
      </c>
      <c r="AL14" s="429" t="s">
        <v>102</v>
      </c>
      <c r="AM14" s="429" t="s">
        <v>102</v>
      </c>
      <c r="AN14" s="429">
        <v>0</v>
      </c>
      <c r="AO14" s="429">
        <v>0</v>
      </c>
      <c r="AP14" s="429">
        <v>0</v>
      </c>
    </row>
    <row r="15" spans="1:42" s="435" customFormat="1" ht="93.75" x14ac:dyDescent="0.3">
      <c r="A15" s="429" t="s">
        <v>275</v>
      </c>
      <c r="B15" s="429" t="s">
        <v>276</v>
      </c>
      <c r="C15" s="429" t="s">
        <v>2638</v>
      </c>
      <c r="D15" s="429">
        <v>251110000</v>
      </c>
      <c r="E15" s="430" t="s">
        <v>2640</v>
      </c>
      <c r="F15" s="429" t="s">
        <v>2641</v>
      </c>
      <c r="G15" s="431" t="s">
        <v>2642</v>
      </c>
      <c r="H15" s="432">
        <v>25000000</v>
      </c>
      <c r="I15" s="432">
        <v>0</v>
      </c>
      <c r="J15" s="432">
        <v>1.0000000000000001E-9</v>
      </c>
      <c r="K15" s="432">
        <v>0</v>
      </c>
      <c r="L15" s="432"/>
      <c r="M15" s="432">
        <v>1.0000000000000001E-9</v>
      </c>
      <c r="N15" s="432">
        <f t="shared" si="0"/>
        <v>25000000</v>
      </c>
      <c r="O15" s="432">
        <f t="shared" si="0"/>
        <v>0</v>
      </c>
      <c r="P15" s="432">
        <f t="shared" si="0"/>
        <v>2.0000000000000001E-9</v>
      </c>
      <c r="Q15" s="432">
        <v>9.9999999999999995E-7</v>
      </c>
      <c r="R15" s="432"/>
      <c r="S15" s="432">
        <f t="shared" si="1"/>
        <v>9.9999999999999995E-7</v>
      </c>
      <c r="T15" s="433"/>
      <c r="U15" s="433"/>
      <c r="V15" s="433"/>
      <c r="W15" s="429"/>
      <c r="X15" s="429"/>
      <c r="Y15" s="434"/>
      <c r="Z15" s="429"/>
      <c r="AA15" s="429"/>
      <c r="AB15" s="429"/>
      <c r="AC15" s="429"/>
      <c r="AD15" s="10" t="s">
        <v>2695</v>
      </c>
      <c r="AE15" s="429"/>
      <c r="AF15" s="429"/>
      <c r="AG15" s="429"/>
      <c r="AH15" s="429"/>
      <c r="AI15" s="429"/>
      <c r="AJ15" s="429"/>
      <c r="AK15" s="429"/>
      <c r="AL15" s="429"/>
      <c r="AM15" s="429"/>
      <c r="AN15" s="429"/>
      <c r="AO15" s="429"/>
      <c r="AP15" s="429"/>
    </row>
    <row r="16" spans="1:42" s="435" customFormat="1" ht="51.75" customHeight="1" x14ac:dyDescent="0.3">
      <c r="A16" s="429"/>
      <c r="B16" s="429"/>
      <c r="C16" s="429"/>
      <c r="D16" s="429"/>
      <c r="E16" s="430"/>
      <c r="F16" s="429"/>
      <c r="G16" s="431"/>
      <c r="H16" s="432"/>
      <c r="I16" s="432"/>
      <c r="J16" s="432"/>
      <c r="K16" s="432"/>
      <c r="L16" s="432"/>
      <c r="M16" s="432"/>
      <c r="N16" s="432"/>
      <c r="O16" s="432"/>
      <c r="P16" s="432"/>
      <c r="Q16" s="432"/>
      <c r="R16" s="432"/>
      <c r="S16" s="432"/>
      <c r="T16" s="433" t="s">
        <v>2696</v>
      </c>
      <c r="U16" s="433" t="s">
        <v>222</v>
      </c>
      <c r="V16" s="433">
        <v>25</v>
      </c>
      <c r="W16" s="429"/>
      <c r="X16" s="429"/>
      <c r="Y16" s="434">
        <v>5</v>
      </c>
      <c r="Z16" s="429">
        <v>10</v>
      </c>
      <c r="AA16" s="429">
        <v>300</v>
      </c>
      <c r="AB16" s="429">
        <v>50</v>
      </c>
      <c r="AC16" s="429">
        <v>100</v>
      </c>
      <c r="AD16" s="10" t="s">
        <v>2697</v>
      </c>
      <c r="AE16" s="429">
        <v>0</v>
      </c>
      <c r="AF16" s="429">
        <v>0</v>
      </c>
      <c r="AG16" s="429" t="s">
        <v>102</v>
      </c>
      <c r="AH16" s="429" t="s">
        <v>102</v>
      </c>
      <c r="AI16" s="429" t="s">
        <v>102</v>
      </c>
      <c r="AJ16" s="429" t="s">
        <v>102</v>
      </c>
      <c r="AK16" s="429" t="s">
        <v>102</v>
      </c>
      <c r="AL16" s="429" t="s">
        <v>102</v>
      </c>
      <c r="AM16" s="429" t="s">
        <v>102</v>
      </c>
      <c r="AN16" s="429" t="s">
        <v>102</v>
      </c>
      <c r="AO16" s="429" t="s">
        <v>102</v>
      </c>
      <c r="AP16" s="429" t="s">
        <v>102</v>
      </c>
    </row>
    <row r="17" spans="1:42" s="435" customFormat="1" ht="106.5" customHeight="1" x14ac:dyDescent="0.3">
      <c r="A17" s="429">
        <v>0</v>
      </c>
      <c r="B17" s="429">
        <v>0</v>
      </c>
      <c r="C17" s="429">
        <v>0</v>
      </c>
      <c r="D17" s="429">
        <v>0</v>
      </c>
      <c r="E17" s="430">
        <v>0</v>
      </c>
      <c r="F17" s="429">
        <v>0</v>
      </c>
      <c r="G17" s="431">
        <v>0</v>
      </c>
      <c r="H17" s="432">
        <v>0</v>
      </c>
      <c r="I17" s="432"/>
      <c r="J17" s="432"/>
      <c r="K17" s="432"/>
      <c r="L17" s="432"/>
      <c r="M17" s="432"/>
      <c r="N17" s="432">
        <f t="shared" si="0"/>
        <v>0</v>
      </c>
      <c r="O17" s="432">
        <f t="shared" si="0"/>
        <v>0</v>
      </c>
      <c r="P17" s="432">
        <f t="shared" si="0"/>
        <v>0</v>
      </c>
      <c r="Q17" s="432"/>
      <c r="R17" s="432"/>
      <c r="S17" s="432">
        <f t="shared" si="1"/>
        <v>0</v>
      </c>
      <c r="T17" s="433" t="s">
        <v>2698</v>
      </c>
      <c r="U17" s="433" t="s">
        <v>222</v>
      </c>
      <c r="V17" s="433">
        <v>25</v>
      </c>
      <c r="W17" s="429" t="s">
        <v>2699</v>
      </c>
      <c r="X17" s="429"/>
      <c r="Y17" s="434">
        <v>5</v>
      </c>
      <c r="Z17" s="429">
        <v>25</v>
      </c>
      <c r="AA17" s="429">
        <v>330</v>
      </c>
      <c r="AB17" s="429">
        <v>50</v>
      </c>
      <c r="AC17" s="429">
        <v>100</v>
      </c>
      <c r="AD17" s="437"/>
      <c r="AE17" s="429">
        <v>0</v>
      </c>
      <c r="AF17" s="429" t="s">
        <v>102</v>
      </c>
      <c r="AG17" s="429" t="s">
        <v>102</v>
      </c>
      <c r="AH17" s="429" t="s">
        <v>102</v>
      </c>
      <c r="AI17" s="429" t="s">
        <v>102</v>
      </c>
      <c r="AJ17" s="429" t="s">
        <v>102</v>
      </c>
      <c r="AK17" s="429" t="s">
        <v>102</v>
      </c>
      <c r="AL17" s="429" t="s">
        <v>102</v>
      </c>
      <c r="AM17" s="429" t="s">
        <v>102</v>
      </c>
      <c r="AN17" s="429" t="s">
        <v>102</v>
      </c>
      <c r="AO17" s="429" t="s">
        <v>102</v>
      </c>
      <c r="AP17" s="429" t="s">
        <v>102</v>
      </c>
    </row>
    <row r="18" spans="1:42" s="435" customFormat="1" ht="189.75" customHeight="1" x14ac:dyDescent="0.3">
      <c r="A18" s="429" t="s">
        <v>275</v>
      </c>
      <c r="B18" s="429" t="s">
        <v>276</v>
      </c>
      <c r="C18" s="429" t="s">
        <v>2645</v>
      </c>
      <c r="D18" s="429">
        <v>251210000</v>
      </c>
      <c r="E18" s="430" t="s">
        <v>2647</v>
      </c>
      <c r="F18" s="429" t="s">
        <v>2648</v>
      </c>
      <c r="G18" s="431" t="s">
        <v>2649</v>
      </c>
      <c r="H18" s="432">
        <v>100000000</v>
      </c>
      <c r="I18" s="432">
        <f>100000000+100000000+12640000</f>
        <v>212640000</v>
      </c>
      <c r="J18" s="432">
        <f>+'[12]Ejec. Proyecto PEP'!$G$457</f>
        <v>232759641</v>
      </c>
      <c r="K18" s="432"/>
      <c r="L18" s="432"/>
      <c r="M18" s="432">
        <v>30000000</v>
      </c>
      <c r="N18" s="432">
        <f t="shared" si="0"/>
        <v>100000000</v>
      </c>
      <c r="O18" s="432">
        <f t="shared" si="0"/>
        <v>212640000</v>
      </c>
      <c r="P18" s="432">
        <f t="shared" si="0"/>
        <v>262759641</v>
      </c>
      <c r="Q18" s="432">
        <v>120259682</v>
      </c>
      <c r="R18" s="432">
        <f>+M18</f>
        <v>30000000</v>
      </c>
      <c r="S18" s="432">
        <f t="shared" si="1"/>
        <v>150259682</v>
      </c>
      <c r="T18" s="433">
        <v>0</v>
      </c>
      <c r="U18" s="433">
        <v>0</v>
      </c>
      <c r="V18" s="433">
        <v>0</v>
      </c>
      <c r="W18" s="429"/>
      <c r="X18" s="429"/>
      <c r="Y18" s="434"/>
      <c r="Z18" s="429"/>
      <c r="AA18" s="429">
        <v>0</v>
      </c>
      <c r="AB18" s="429"/>
      <c r="AC18" s="429"/>
      <c r="AD18" s="10" t="s">
        <v>2700</v>
      </c>
      <c r="AE18" s="429">
        <v>0</v>
      </c>
      <c r="AF18" s="429">
        <v>0</v>
      </c>
      <c r="AG18" s="429">
        <v>0</v>
      </c>
      <c r="AH18" s="429">
        <v>0</v>
      </c>
      <c r="AI18" s="429">
        <v>0</v>
      </c>
      <c r="AJ18" s="429">
        <v>0</v>
      </c>
      <c r="AK18" s="429">
        <v>0</v>
      </c>
      <c r="AL18" s="429">
        <v>0</v>
      </c>
      <c r="AM18" s="429">
        <v>0</v>
      </c>
      <c r="AN18" s="429">
        <v>0</v>
      </c>
      <c r="AO18" s="429">
        <v>0</v>
      </c>
      <c r="AP18" s="429">
        <v>0</v>
      </c>
    </row>
    <row r="19" spans="1:42" s="435" customFormat="1" ht="129.75" customHeight="1" x14ac:dyDescent="0.3">
      <c r="A19" s="429">
        <v>0</v>
      </c>
      <c r="B19" s="429">
        <v>0</v>
      </c>
      <c r="C19" s="429">
        <v>0</v>
      </c>
      <c r="D19" s="429">
        <v>0</v>
      </c>
      <c r="E19" s="430">
        <v>0</v>
      </c>
      <c r="F19" s="429">
        <v>0</v>
      </c>
      <c r="G19" s="431">
        <v>0</v>
      </c>
      <c r="H19" s="432">
        <v>0</v>
      </c>
      <c r="I19" s="432"/>
      <c r="J19" s="432"/>
      <c r="K19" s="432"/>
      <c r="L19" s="432"/>
      <c r="M19" s="432"/>
      <c r="N19" s="432">
        <f t="shared" si="0"/>
        <v>0</v>
      </c>
      <c r="O19" s="432">
        <f t="shared" si="0"/>
        <v>0</v>
      </c>
      <c r="P19" s="432">
        <f t="shared" si="0"/>
        <v>0</v>
      </c>
      <c r="Q19" s="432"/>
      <c r="R19" s="432"/>
      <c r="S19" s="432">
        <f t="shared" si="1"/>
        <v>0</v>
      </c>
      <c r="T19" s="433" t="s">
        <v>2701</v>
      </c>
      <c r="U19" s="433" t="s">
        <v>2689</v>
      </c>
      <c r="V19" s="433">
        <v>200</v>
      </c>
      <c r="W19" s="429"/>
      <c r="X19" s="429"/>
      <c r="Y19" s="438">
        <v>1.0000000000000001E-5</v>
      </c>
      <c r="Z19" s="429">
        <v>200</v>
      </c>
      <c r="AA19" s="429">
        <v>150</v>
      </c>
      <c r="AB19" s="429">
        <v>0</v>
      </c>
      <c r="AC19" s="429">
        <f>21*3</f>
        <v>63</v>
      </c>
      <c r="AD19" s="429"/>
      <c r="AE19" s="429">
        <v>0</v>
      </c>
      <c r="AF19" s="429">
        <v>0</v>
      </c>
      <c r="AG19" s="429"/>
      <c r="AH19" s="429"/>
      <c r="AI19" s="429"/>
      <c r="AJ19" s="429"/>
      <c r="AK19" s="429" t="s">
        <v>102</v>
      </c>
      <c r="AL19" s="429" t="s">
        <v>102</v>
      </c>
      <c r="AM19" s="429" t="s">
        <v>102</v>
      </c>
      <c r="AN19" s="429" t="s">
        <v>102</v>
      </c>
      <c r="AO19" s="429" t="s">
        <v>102</v>
      </c>
      <c r="AP19" s="429" t="s">
        <v>102</v>
      </c>
    </row>
    <row r="20" spans="1:42" s="435" customFormat="1" ht="119.25" customHeight="1" x14ac:dyDescent="0.3">
      <c r="A20" s="429">
        <v>0</v>
      </c>
      <c r="B20" s="429">
        <v>0</v>
      </c>
      <c r="C20" s="429">
        <v>0</v>
      </c>
      <c r="D20" s="429">
        <v>0</v>
      </c>
      <c r="E20" s="430">
        <v>0</v>
      </c>
      <c r="F20" s="429">
        <v>0</v>
      </c>
      <c r="G20" s="431">
        <v>0</v>
      </c>
      <c r="H20" s="432">
        <v>0</v>
      </c>
      <c r="I20" s="432"/>
      <c r="J20" s="432"/>
      <c r="K20" s="432"/>
      <c r="L20" s="432"/>
      <c r="M20" s="432"/>
      <c r="N20" s="432">
        <f t="shared" si="0"/>
        <v>0</v>
      </c>
      <c r="O20" s="432">
        <f t="shared" si="0"/>
        <v>0</v>
      </c>
      <c r="P20" s="432">
        <f t="shared" si="0"/>
        <v>0</v>
      </c>
      <c r="Q20" s="432"/>
      <c r="R20" s="432"/>
      <c r="S20" s="432">
        <f t="shared" si="1"/>
        <v>0</v>
      </c>
      <c r="T20" s="433" t="s">
        <v>2702</v>
      </c>
      <c r="U20" s="433" t="s">
        <v>2689</v>
      </c>
      <c r="V20" s="433">
        <v>1</v>
      </c>
      <c r="W20" s="429"/>
      <c r="X20" s="429"/>
      <c r="Y20" s="434">
        <v>0.44</v>
      </c>
      <c r="Z20" s="429">
        <v>1</v>
      </c>
      <c r="AA20" s="429">
        <v>360</v>
      </c>
      <c r="AB20" s="429">
        <f>27*6</f>
        <v>162</v>
      </c>
      <c r="AC20" s="429">
        <f>21*12</f>
        <v>252</v>
      </c>
      <c r="AD20" s="429"/>
      <c r="AE20" s="429" t="s">
        <v>102</v>
      </c>
      <c r="AF20" s="429" t="s">
        <v>102</v>
      </c>
      <c r="AG20" s="429" t="s">
        <v>102</v>
      </c>
      <c r="AH20" s="429" t="s">
        <v>102</v>
      </c>
      <c r="AI20" s="429" t="s">
        <v>102</v>
      </c>
      <c r="AJ20" s="429" t="s">
        <v>102</v>
      </c>
      <c r="AK20" s="429" t="s">
        <v>102</v>
      </c>
      <c r="AL20" s="429" t="s">
        <v>102</v>
      </c>
      <c r="AM20" s="429" t="s">
        <v>102</v>
      </c>
      <c r="AN20" s="429" t="s">
        <v>102</v>
      </c>
      <c r="AO20" s="429" t="s">
        <v>102</v>
      </c>
      <c r="AP20" s="429" t="s">
        <v>102</v>
      </c>
    </row>
    <row r="21" spans="1:42" s="435" customFormat="1" ht="59.25" customHeight="1" x14ac:dyDescent="0.3">
      <c r="A21" s="429">
        <v>0</v>
      </c>
      <c r="B21" s="429">
        <v>0</v>
      </c>
      <c r="C21" s="429">
        <v>0</v>
      </c>
      <c r="D21" s="429">
        <v>0</v>
      </c>
      <c r="E21" s="430">
        <v>0</v>
      </c>
      <c r="F21" s="429">
        <v>0</v>
      </c>
      <c r="G21" s="431">
        <v>0</v>
      </c>
      <c r="H21" s="432">
        <v>0</v>
      </c>
      <c r="I21" s="432"/>
      <c r="J21" s="432"/>
      <c r="K21" s="432"/>
      <c r="L21" s="432"/>
      <c r="M21" s="432"/>
      <c r="N21" s="432">
        <f t="shared" si="0"/>
        <v>0</v>
      </c>
      <c r="O21" s="432">
        <f t="shared" si="0"/>
        <v>0</v>
      </c>
      <c r="P21" s="432">
        <f t="shared" si="0"/>
        <v>0</v>
      </c>
      <c r="Q21" s="432"/>
      <c r="R21" s="432"/>
      <c r="S21" s="432">
        <f t="shared" si="1"/>
        <v>0</v>
      </c>
      <c r="T21" s="433" t="s">
        <v>2703</v>
      </c>
      <c r="U21" s="433" t="s">
        <v>2689</v>
      </c>
      <c r="V21" s="433">
        <v>1</v>
      </c>
      <c r="W21" s="429"/>
      <c r="X21" s="429"/>
      <c r="Y21" s="434">
        <v>1</v>
      </c>
      <c r="Z21" s="429">
        <v>1</v>
      </c>
      <c r="AA21" s="429">
        <v>90</v>
      </c>
      <c r="AB21" s="429">
        <v>90</v>
      </c>
      <c r="AC21" s="429">
        <v>90</v>
      </c>
      <c r="AD21" s="429"/>
      <c r="AE21" s="429">
        <v>0</v>
      </c>
      <c r="AF21" s="429">
        <v>0</v>
      </c>
      <c r="AG21" s="429">
        <v>0</v>
      </c>
      <c r="AH21" s="429" t="s">
        <v>102</v>
      </c>
      <c r="AI21" s="429" t="s">
        <v>102</v>
      </c>
      <c r="AJ21" s="429" t="s">
        <v>102</v>
      </c>
      <c r="AK21" s="429">
        <v>0</v>
      </c>
      <c r="AL21" s="429">
        <v>0</v>
      </c>
      <c r="AM21" s="429">
        <v>0</v>
      </c>
      <c r="AN21" s="429">
        <v>0</v>
      </c>
      <c r="AO21" s="429">
        <v>0</v>
      </c>
      <c r="AP21" s="429">
        <v>0</v>
      </c>
    </row>
    <row r="22" spans="1:42" s="435" customFormat="1" ht="76.5" customHeight="1" x14ac:dyDescent="0.3">
      <c r="A22" s="429">
        <v>0</v>
      </c>
      <c r="B22" s="429">
        <v>0</v>
      </c>
      <c r="C22" s="429">
        <v>0</v>
      </c>
      <c r="D22" s="429">
        <v>0</v>
      </c>
      <c r="E22" s="430">
        <v>0</v>
      </c>
      <c r="F22" s="429">
        <v>0</v>
      </c>
      <c r="G22" s="431">
        <v>0</v>
      </c>
      <c r="H22" s="432">
        <v>0</v>
      </c>
      <c r="I22" s="432"/>
      <c r="J22" s="432"/>
      <c r="K22" s="432"/>
      <c r="L22" s="432"/>
      <c r="M22" s="432"/>
      <c r="N22" s="432">
        <f t="shared" si="0"/>
        <v>0</v>
      </c>
      <c r="O22" s="432">
        <f t="shared" si="0"/>
        <v>0</v>
      </c>
      <c r="P22" s="432">
        <f t="shared" si="0"/>
        <v>0</v>
      </c>
      <c r="Q22" s="432"/>
      <c r="R22" s="432"/>
      <c r="S22" s="432">
        <f t="shared" si="1"/>
        <v>0</v>
      </c>
      <c r="T22" s="433" t="s">
        <v>2704</v>
      </c>
      <c r="U22" s="433" t="s">
        <v>2689</v>
      </c>
      <c r="V22" s="433">
        <v>1</v>
      </c>
      <c r="W22" s="429"/>
      <c r="X22" s="429"/>
      <c r="Y22" s="434">
        <v>0.5</v>
      </c>
      <c r="Z22" s="429">
        <v>1</v>
      </c>
      <c r="AA22" s="429">
        <v>300</v>
      </c>
      <c r="AB22" s="429">
        <f>5*27</f>
        <v>135</v>
      </c>
      <c r="AC22" s="429">
        <v>285</v>
      </c>
      <c r="AD22" s="429"/>
      <c r="AE22" s="429">
        <v>0</v>
      </c>
      <c r="AF22" s="429" t="s">
        <v>102</v>
      </c>
      <c r="AG22" s="429" t="s">
        <v>102</v>
      </c>
      <c r="AH22" s="429" t="s">
        <v>102</v>
      </c>
      <c r="AI22" s="429" t="s">
        <v>102</v>
      </c>
      <c r="AJ22" s="429" t="s">
        <v>102</v>
      </c>
      <c r="AK22" s="429" t="s">
        <v>102</v>
      </c>
      <c r="AL22" s="429" t="s">
        <v>102</v>
      </c>
      <c r="AM22" s="429" t="s">
        <v>102</v>
      </c>
      <c r="AN22" s="429" t="s">
        <v>102</v>
      </c>
      <c r="AO22" s="429" t="s">
        <v>102</v>
      </c>
      <c r="AP22" s="429" t="s">
        <v>102</v>
      </c>
    </row>
    <row r="23" spans="1:42" s="435" customFormat="1" ht="113.25" customHeight="1" x14ac:dyDescent="0.3">
      <c r="A23" s="429" t="s">
        <v>275</v>
      </c>
      <c r="B23" s="429" t="s">
        <v>276</v>
      </c>
      <c r="C23" s="429" t="s">
        <v>2645</v>
      </c>
      <c r="D23" s="429">
        <v>251220000</v>
      </c>
      <c r="E23" s="430" t="s">
        <v>2653</v>
      </c>
      <c r="F23" s="429" t="s">
        <v>2654</v>
      </c>
      <c r="G23" s="431" t="s">
        <v>2655</v>
      </c>
      <c r="H23" s="432">
        <v>3679700000</v>
      </c>
      <c r="I23" s="432">
        <v>3679700000</v>
      </c>
      <c r="J23" s="432">
        <f>+'[12]Ejec. Proyecto PEP'!$G$460</f>
        <v>3679700000</v>
      </c>
      <c r="K23" s="432"/>
      <c r="L23" s="432"/>
      <c r="M23" s="432">
        <v>1111458037</v>
      </c>
      <c r="N23" s="432">
        <f t="shared" si="0"/>
        <v>3679700000</v>
      </c>
      <c r="O23" s="432">
        <f t="shared" si="0"/>
        <v>3679700000</v>
      </c>
      <c r="P23" s="432">
        <f t="shared" si="0"/>
        <v>4791158037</v>
      </c>
      <c r="Q23" s="432">
        <v>3650779346</v>
      </c>
      <c r="R23" s="432">
        <f>+M23</f>
        <v>1111458037</v>
      </c>
      <c r="S23" s="432">
        <f t="shared" si="1"/>
        <v>4762237383</v>
      </c>
      <c r="T23" s="433">
        <v>0</v>
      </c>
      <c r="U23" s="433">
        <v>0</v>
      </c>
      <c r="V23" s="433">
        <v>0</v>
      </c>
      <c r="W23" s="429"/>
      <c r="X23" s="429"/>
      <c r="Y23" s="434"/>
      <c r="Z23" s="429"/>
      <c r="AA23" s="429">
        <v>0</v>
      </c>
      <c r="AB23" s="429"/>
      <c r="AC23" s="429"/>
      <c r="AD23" s="10" t="s">
        <v>2705</v>
      </c>
      <c r="AE23" s="429">
        <v>0</v>
      </c>
      <c r="AF23" s="429">
        <v>0</v>
      </c>
      <c r="AG23" s="429">
        <v>0</v>
      </c>
      <c r="AH23" s="429">
        <v>0</v>
      </c>
      <c r="AI23" s="429">
        <v>0</v>
      </c>
      <c r="AJ23" s="429">
        <v>0</v>
      </c>
      <c r="AK23" s="429">
        <v>0</v>
      </c>
      <c r="AL23" s="429">
        <v>0</v>
      </c>
      <c r="AM23" s="429">
        <v>0</v>
      </c>
      <c r="AN23" s="429">
        <v>0</v>
      </c>
      <c r="AO23" s="429">
        <v>0</v>
      </c>
      <c r="AP23" s="429">
        <v>0</v>
      </c>
    </row>
    <row r="24" spans="1:42" s="435" customFormat="1" ht="93.75" customHeight="1" x14ac:dyDescent="0.3">
      <c r="A24" s="429">
        <v>0</v>
      </c>
      <c r="B24" s="429">
        <v>0</v>
      </c>
      <c r="C24" s="429">
        <v>0</v>
      </c>
      <c r="D24" s="429">
        <v>0</v>
      </c>
      <c r="E24" s="430">
        <v>0</v>
      </c>
      <c r="F24" s="429">
        <v>0</v>
      </c>
      <c r="G24" s="431">
        <v>0</v>
      </c>
      <c r="H24" s="432">
        <v>0</v>
      </c>
      <c r="I24" s="432"/>
      <c r="J24" s="432"/>
      <c r="K24" s="432"/>
      <c r="L24" s="432"/>
      <c r="M24" s="432"/>
      <c r="N24" s="432">
        <f t="shared" si="0"/>
        <v>0</v>
      </c>
      <c r="O24" s="432">
        <f t="shared" si="0"/>
        <v>0</v>
      </c>
      <c r="P24" s="432">
        <f t="shared" si="0"/>
        <v>0</v>
      </c>
      <c r="Q24" s="432"/>
      <c r="R24" s="432"/>
      <c r="S24" s="432">
        <f t="shared" si="1"/>
        <v>0</v>
      </c>
      <c r="T24" s="433" t="s">
        <v>2706</v>
      </c>
      <c r="U24" s="433" t="s">
        <v>2707</v>
      </c>
      <c r="V24" s="433">
        <v>1000</v>
      </c>
      <c r="W24" s="429"/>
      <c r="X24" s="429"/>
      <c r="Y24" s="434">
        <v>701.6</v>
      </c>
      <c r="Z24" s="439">
        <v>2062.4640000000004</v>
      </c>
      <c r="AA24" s="429">
        <v>360</v>
      </c>
      <c r="AB24" s="429">
        <f>27*6</f>
        <v>162</v>
      </c>
      <c r="AC24" s="429">
        <f>27*8</f>
        <v>216</v>
      </c>
      <c r="AD24" s="10" t="s">
        <v>2708</v>
      </c>
      <c r="AE24" s="429" t="s">
        <v>102</v>
      </c>
      <c r="AF24" s="429" t="s">
        <v>102</v>
      </c>
      <c r="AG24" s="429" t="s">
        <v>102</v>
      </c>
      <c r="AH24" s="429" t="s">
        <v>218</v>
      </c>
      <c r="AI24" s="429" t="s">
        <v>102</v>
      </c>
      <c r="AJ24" s="429" t="s">
        <v>102</v>
      </c>
      <c r="AK24" s="429" t="s">
        <v>102</v>
      </c>
      <c r="AL24" s="429" t="s">
        <v>102</v>
      </c>
      <c r="AM24" s="429" t="s">
        <v>102</v>
      </c>
      <c r="AN24" s="429" t="s">
        <v>102</v>
      </c>
      <c r="AO24" s="429" t="s">
        <v>218</v>
      </c>
      <c r="AP24" s="429" t="s">
        <v>218</v>
      </c>
    </row>
    <row r="25" spans="1:42" s="435" customFormat="1" ht="102" customHeight="1" x14ac:dyDescent="0.3">
      <c r="A25" s="429">
        <v>0</v>
      </c>
      <c r="B25" s="429">
        <v>0</v>
      </c>
      <c r="C25" s="429">
        <v>0</v>
      </c>
      <c r="D25" s="429">
        <v>0</v>
      </c>
      <c r="E25" s="430">
        <v>0</v>
      </c>
      <c r="F25" s="429">
        <v>0</v>
      </c>
      <c r="G25" s="431">
        <v>0</v>
      </c>
      <c r="H25" s="432">
        <v>0</v>
      </c>
      <c r="I25" s="432"/>
      <c r="J25" s="432"/>
      <c r="K25" s="432"/>
      <c r="L25" s="432"/>
      <c r="M25" s="432"/>
      <c r="N25" s="432">
        <f t="shared" si="0"/>
        <v>0</v>
      </c>
      <c r="O25" s="432">
        <f t="shared" si="0"/>
        <v>0</v>
      </c>
      <c r="P25" s="432">
        <f t="shared" si="0"/>
        <v>0</v>
      </c>
      <c r="Q25" s="432"/>
      <c r="R25" s="432"/>
      <c r="S25" s="432">
        <f t="shared" si="1"/>
        <v>0</v>
      </c>
      <c r="T25" s="433" t="s">
        <v>2709</v>
      </c>
      <c r="U25" s="433" t="s">
        <v>2707</v>
      </c>
      <c r="V25" s="433">
        <v>1000</v>
      </c>
      <c r="W25" s="429"/>
      <c r="X25" s="429"/>
      <c r="Y25" s="434">
        <v>15</v>
      </c>
      <c r="Z25" s="439">
        <v>405.16537100000005</v>
      </c>
      <c r="AA25" s="429">
        <v>360</v>
      </c>
      <c r="AB25" s="429">
        <f>27*6</f>
        <v>162</v>
      </c>
      <c r="AC25" s="429">
        <v>216</v>
      </c>
      <c r="AD25" s="10" t="s">
        <v>2708</v>
      </c>
      <c r="AE25" s="429" t="s">
        <v>102</v>
      </c>
      <c r="AF25" s="429" t="s">
        <v>102</v>
      </c>
      <c r="AG25" s="429" t="s">
        <v>102</v>
      </c>
      <c r="AH25" s="429" t="s">
        <v>218</v>
      </c>
      <c r="AI25" s="429" t="s">
        <v>102</v>
      </c>
      <c r="AJ25" s="429" t="s">
        <v>102</v>
      </c>
      <c r="AK25" s="429" t="s">
        <v>102</v>
      </c>
      <c r="AL25" s="429" t="s">
        <v>102</v>
      </c>
      <c r="AM25" s="429" t="s">
        <v>102</v>
      </c>
      <c r="AN25" s="429" t="s">
        <v>102</v>
      </c>
      <c r="AO25" s="429" t="s">
        <v>218</v>
      </c>
      <c r="AP25" s="429" t="s">
        <v>218</v>
      </c>
    </row>
    <row r="26" spans="1:42" s="435" customFormat="1" ht="131.25" customHeight="1" x14ac:dyDescent="0.3">
      <c r="A26" s="429" t="s">
        <v>275</v>
      </c>
      <c r="B26" s="429" t="s">
        <v>276</v>
      </c>
      <c r="C26" s="429" t="s">
        <v>277</v>
      </c>
      <c r="D26" s="429">
        <v>251550000</v>
      </c>
      <c r="E26" s="430" t="s">
        <v>2660</v>
      </c>
      <c r="F26" s="429" t="s">
        <v>2661</v>
      </c>
      <c r="G26" s="431" t="s">
        <v>2662</v>
      </c>
      <c r="H26" s="432">
        <v>10000000</v>
      </c>
      <c r="I26" s="432">
        <v>10000000</v>
      </c>
      <c r="J26" s="432">
        <v>9.9999999999999998E-13</v>
      </c>
      <c r="K26" s="432"/>
      <c r="L26" s="432"/>
      <c r="M26" s="432">
        <v>9.9999999999999998E-13</v>
      </c>
      <c r="N26" s="432">
        <f t="shared" si="0"/>
        <v>10000000</v>
      </c>
      <c r="O26" s="432">
        <f t="shared" si="0"/>
        <v>10000000</v>
      </c>
      <c r="P26" s="432">
        <f t="shared" si="0"/>
        <v>2E-12</v>
      </c>
      <c r="Q26" s="432">
        <v>9.9999999999999998E-13</v>
      </c>
      <c r="R26" s="432">
        <v>9.9999999999999998E-13</v>
      </c>
      <c r="S26" s="432">
        <f t="shared" si="1"/>
        <v>2E-12</v>
      </c>
      <c r="T26" s="422" t="s">
        <v>858</v>
      </c>
      <c r="U26" s="433"/>
      <c r="V26" s="433"/>
      <c r="W26" s="429"/>
      <c r="X26" s="429"/>
      <c r="Y26" s="434"/>
      <c r="Z26" s="429"/>
      <c r="AA26" s="429"/>
      <c r="AB26" s="429"/>
      <c r="AC26" s="429"/>
      <c r="AD26" s="10" t="s">
        <v>2664</v>
      </c>
      <c r="AE26" s="429">
        <v>0</v>
      </c>
      <c r="AF26" s="429">
        <v>0</v>
      </c>
      <c r="AG26" s="429">
        <v>0</v>
      </c>
      <c r="AH26" s="429">
        <v>0</v>
      </c>
      <c r="AI26" s="429">
        <v>0</v>
      </c>
      <c r="AJ26" s="429">
        <v>0</v>
      </c>
      <c r="AK26" s="429">
        <v>0</v>
      </c>
      <c r="AL26" s="429">
        <v>0</v>
      </c>
      <c r="AM26" s="429">
        <v>0</v>
      </c>
      <c r="AN26" s="429">
        <v>0</v>
      </c>
      <c r="AO26" s="429">
        <v>0</v>
      </c>
      <c r="AP26" s="429">
        <v>0</v>
      </c>
    </row>
    <row r="27" spans="1:42" s="435" customFormat="1" ht="255.75" customHeight="1" x14ac:dyDescent="0.3">
      <c r="A27" s="429">
        <v>0</v>
      </c>
      <c r="B27" s="429">
        <v>0</v>
      </c>
      <c r="C27" s="429">
        <v>0</v>
      </c>
      <c r="D27" s="429">
        <v>0</v>
      </c>
      <c r="E27" s="430">
        <v>0</v>
      </c>
      <c r="F27" s="429">
        <v>0</v>
      </c>
      <c r="G27" s="431">
        <v>0</v>
      </c>
      <c r="H27" s="432">
        <v>0</v>
      </c>
      <c r="I27" s="432"/>
      <c r="J27" s="432"/>
      <c r="K27" s="432"/>
      <c r="L27" s="432"/>
      <c r="M27" s="432"/>
      <c r="N27" s="432">
        <f t="shared" si="0"/>
        <v>0</v>
      </c>
      <c r="O27" s="432">
        <f t="shared" si="0"/>
        <v>0</v>
      </c>
      <c r="P27" s="432">
        <f t="shared" si="0"/>
        <v>0</v>
      </c>
      <c r="Q27" s="432"/>
      <c r="R27" s="432"/>
      <c r="S27" s="432">
        <f t="shared" si="1"/>
        <v>0</v>
      </c>
      <c r="T27" s="433" t="s">
        <v>2710</v>
      </c>
      <c r="U27" s="433" t="s">
        <v>2711</v>
      </c>
      <c r="V27" s="433">
        <v>1</v>
      </c>
      <c r="W27" s="429"/>
      <c r="X27" s="429"/>
      <c r="Y27" s="440">
        <v>1.0000000000000001E-5</v>
      </c>
      <c r="Z27" s="429">
        <v>1</v>
      </c>
      <c r="AA27" s="429">
        <f>22*4</f>
        <v>88</v>
      </c>
      <c r="AB27" s="429">
        <v>15</v>
      </c>
      <c r="AC27" s="429">
        <v>15</v>
      </c>
      <c r="AD27" s="10" t="s">
        <v>2712</v>
      </c>
      <c r="AE27" s="429">
        <v>0</v>
      </c>
      <c r="AF27" s="429">
        <v>0</v>
      </c>
      <c r="AG27" s="429">
        <v>0</v>
      </c>
      <c r="AH27" s="429">
        <v>0</v>
      </c>
      <c r="AI27" s="429">
        <v>0</v>
      </c>
      <c r="AJ27" s="429">
        <v>0</v>
      </c>
      <c r="AK27" s="429">
        <v>0</v>
      </c>
      <c r="AL27" s="429">
        <v>0</v>
      </c>
      <c r="AM27" s="429" t="s">
        <v>102</v>
      </c>
      <c r="AN27" s="429" t="s">
        <v>102</v>
      </c>
      <c r="AO27" s="429" t="s">
        <v>102</v>
      </c>
      <c r="AP27" s="429" t="s">
        <v>102</v>
      </c>
    </row>
    <row r="28" spans="1:42" s="435" customFormat="1" ht="139.5" customHeight="1" x14ac:dyDescent="0.3">
      <c r="A28" s="429" t="s">
        <v>275</v>
      </c>
      <c r="B28" s="429" t="s">
        <v>1073</v>
      </c>
      <c r="C28" s="429" t="s">
        <v>2665</v>
      </c>
      <c r="D28" s="429">
        <v>252110000</v>
      </c>
      <c r="E28" s="430" t="s">
        <v>2667</v>
      </c>
      <c r="F28" s="429" t="s">
        <v>2668</v>
      </c>
      <c r="G28" s="431" t="s">
        <v>2669</v>
      </c>
      <c r="H28" s="432">
        <v>376000000</v>
      </c>
      <c r="I28" s="432">
        <v>376000000</v>
      </c>
      <c r="J28" s="432">
        <f>+'[12]Ejec. Proyecto PEP'!$G$455</f>
        <v>941702901</v>
      </c>
      <c r="K28" s="432"/>
      <c r="L28" s="432"/>
      <c r="M28" s="432">
        <v>198376000</v>
      </c>
      <c r="N28" s="432">
        <f t="shared" si="0"/>
        <v>376000000</v>
      </c>
      <c r="O28" s="432">
        <f>I28+K28</f>
        <v>376000000</v>
      </c>
      <c r="P28" s="432">
        <f t="shared" si="0"/>
        <v>1140078901</v>
      </c>
      <c r="Q28" s="432">
        <v>923326220</v>
      </c>
      <c r="R28" s="432">
        <f>+M28</f>
        <v>198376000</v>
      </c>
      <c r="S28" s="432">
        <f t="shared" si="1"/>
        <v>1121702220</v>
      </c>
      <c r="T28" s="433">
        <v>0</v>
      </c>
      <c r="U28" s="433">
        <v>0</v>
      </c>
      <c r="V28" s="433">
        <v>0</v>
      </c>
      <c r="W28" s="429"/>
      <c r="X28" s="429"/>
      <c r="Y28" s="434"/>
      <c r="Z28" s="429"/>
      <c r="AA28" s="429">
        <v>0</v>
      </c>
      <c r="AB28" s="429"/>
      <c r="AC28" s="429"/>
      <c r="AD28" s="10" t="s">
        <v>2713</v>
      </c>
      <c r="AE28" s="429">
        <v>0</v>
      </c>
      <c r="AF28" s="429">
        <v>0</v>
      </c>
      <c r="AG28" s="429">
        <v>0</v>
      </c>
      <c r="AH28" s="429">
        <v>0</v>
      </c>
      <c r="AI28" s="429">
        <v>0</v>
      </c>
      <c r="AJ28" s="429">
        <v>0</v>
      </c>
      <c r="AK28" s="429">
        <v>0</v>
      </c>
      <c r="AL28" s="429">
        <v>0</v>
      </c>
      <c r="AM28" s="429">
        <v>0</v>
      </c>
      <c r="AN28" s="429">
        <v>0</v>
      </c>
      <c r="AO28" s="429">
        <v>0</v>
      </c>
      <c r="AP28" s="429">
        <v>0</v>
      </c>
    </row>
    <row r="29" spans="1:42" s="435" customFormat="1" ht="54" x14ac:dyDescent="0.3">
      <c r="A29" s="429">
        <v>0</v>
      </c>
      <c r="B29" s="429">
        <v>0</v>
      </c>
      <c r="C29" s="429">
        <v>0</v>
      </c>
      <c r="D29" s="429">
        <v>0</v>
      </c>
      <c r="E29" s="430">
        <v>0</v>
      </c>
      <c r="F29" s="429">
        <v>0</v>
      </c>
      <c r="G29" s="431">
        <v>0</v>
      </c>
      <c r="H29" s="441"/>
      <c r="I29" s="432"/>
      <c r="J29" s="432"/>
      <c r="K29" s="432"/>
      <c r="L29" s="432"/>
      <c r="M29" s="432"/>
      <c r="N29" s="442">
        <f t="shared" si="0"/>
        <v>0</v>
      </c>
      <c r="O29" s="443"/>
      <c r="P29" s="432">
        <f t="shared" si="0"/>
        <v>0</v>
      </c>
      <c r="Q29" s="432"/>
      <c r="R29" s="432"/>
      <c r="S29" s="432">
        <f t="shared" si="1"/>
        <v>0</v>
      </c>
      <c r="T29" s="433" t="s">
        <v>2714</v>
      </c>
      <c r="U29" s="433" t="s">
        <v>2715</v>
      </c>
      <c r="V29" s="444">
        <v>1</v>
      </c>
      <c r="W29" s="429"/>
      <c r="X29" s="429"/>
      <c r="Y29" s="434">
        <v>0.5</v>
      </c>
      <c r="Z29" s="429">
        <v>1</v>
      </c>
      <c r="AA29" s="429">
        <v>365</v>
      </c>
      <c r="AB29" s="429">
        <f>27*6</f>
        <v>162</v>
      </c>
      <c r="AC29" s="429">
        <v>342</v>
      </c>
      <c r="AD29" s="429"/>
      <c r="AE29" s="429" t="s">
        <v>102</v>
      </c>
      <c r="AF29" s="429" t="s">
        <v>102</v>
      </c>
      <c r="AG29" s="429" t="s">
        <v>102</v>
      </c>
      <c r="AH29" s="429" t="s">
        <v>102</v>
      </c>
      <c r="AI29" s="429" t="s">
        <v>102</v>
      </c>
      <c r="AJ29" s="429" t="s">
        <v>102</v>
      </c>
      <c r="AK29" s="429" t="s">
        <v>102</v>
      </c>
      <c r="AL29" s="429" t="s">
        <v>102</v>
      </c>
      <c r="AM29" s="429" t="s">
        <v>102</v>
      </c>
      <c r="AN29" s="429" t="s">
        <v>102</v>
      </c>
      <c r="AO29" s="429" t="s">
        <v>102</v>
      </c>
      <c r="AP29" s="429" t="s">
        <v>102</v>
      </c>
    </row>
    <row r="30" spans="1:42" s="435" customFormat="1" ht="92.25" customHeight="1" x14ac:dyDescent="0.3">
      <c r="A30" s="429">
        <v>0</v>
      </c>
      <c r="B30" s="429">
        <v>0</v>
      </c>
      <c r="C30" s="429">
        <v>0</v>
      </c>
      <c r="D30" s="429">
        <v>0</v>
      </c>
      <c r="E30" s="430">
        <v>0</v>
      </c>
      <c r="F30" s="429">
        <v>0</v>
      </c>
      <c r="G30" s="429">
        <v>0</v>
      </c>
      <c r="H30" s="443"/>
      <c r="I30" s="432"/>
      <c r="J30" s="432"/>
      <c r="K30" s="422"/>
      <c r="L30" s="432"/>
      <c r="M30" s="432"/>
      <c r="N30" s="443">
        <f>H30</f>
        <v>0</v>
      </c>
      <c r="O30" s="443"/>
      <c r="P30" s="432"/>
      <c r="Q30" s="432"/>
      <c r="R30" s="432"/>
      <c r="S30" s="432">
        <f t="shared" si="1"/>
        <v>0</v>
      </c>
      <c r="T30" s="433" t="s">
        <v>2716</v>
      </c>
      <c r="U30" s="433" t="s">
        <v>2717</v>
      </c>
      <c r="V30" s="444">
        <v>20</v>
      </c>
      <c r="W30" s="434"/>
      <c r="X30" s="429"/>
      <c r="Y30" s="434">
        <f>0.25*V30</f>
        <v>5</v>
      </c>
      <c r="Z30" s="429">
        <v>57</v>
      </c>
      <c r="AA30" s="429">
        <v>270</v>
      </c>
      <c r="AB30" s="429">
        <v>50</v>
      </c>
      <c r="AC30" s="429">
        <v>230</v>
      </c>
      <c r="AD30" s="429"/>
      <c r="AE30" s="429">
        <v>0</v>
      </c>
      <c r="AF30" s="429">
        <v>0</v>
      </c>
      <c r="AG30" s="429" t="s">
        <v>102</v>
      </c>
      <c r="AH30" s="429" t="s">
        <v>102</v>
      </c>
      <c r="AI30" s="429" t="s">
        <v>102</v>
      </c>
      <c r="AJ30" s="429" t="s">
        <v>102</v>
      </c>
      <c r="AK30" s="429" t="s">
        <v>102</v>
      </c>
      <c r="AL30" s="429" t="s">
        <v>102</v>
      </c>
      <c r="AM30" s="429" t="s">
        <v>102</v>
      </c>
      <c r="AN30" s="429" t="s">
        <v>102</v>
      </c>
      <c r="AO30" s="429" t="s">
        <v>102</v>
      </c>
      <c r="AP30" s="429">
        <v>0</v>
      </c>
    </row>
    <row r="31" spans="1:42" s="435" customFormat="1" ht="117" customHeight="1" x14ac:dyDescent="0.3">
      <c r="A31" s="429"/>
      <c r="B31" s="429"/>
      <c r="C31" s="429"/>
      <c r="D31" s="429"/>
      <c r="E31" s="430"/>
      <c r="F31" s="429"/>
      <c r="G31" s="429"/>
      <c r="H31" s="445"/>
      <c r="I31" s="432"/>
      <c r="J31" s="432"/>
      <c r="K31" s="432"/>
      <c r="L31" s="432"/>
      <c r="M31" s="432"/>
      <c r="N31" s="443"/>
      <c r="O31" s="443"/>
      <c r="P31" s="432"/>
      <c r="Q31" s="432"/>
      <c r="R31" s="432"/>
      <c r="S31" s="432"/>
      <c r="T31" s="433" t="s">
        <v>2718</v>
      </c>
      <c r="U31" s="433" t="s">
        <v>2717</v>
      </c>
      <c r="V31" s="444">
        <v>20</v>
      </c>
      <c r="W31" s="434"/>
      <c r="X31" s="429"/>
      <c r="Y31" s="434">
        <v>5</v>
      </c>
      <c r="Z31" s="429">
        <v>27</v>
      </c>
      <c r="AA31" s="429">
        <v>300</v>
      </c>
      <c r="AB31" s="429">
        <v>75</v>
      </c>
      <c r="AC31" s="429">
        <v>255</v>
      </c>
      <c r="AD31" s="429"/>
      <c r="AE31" s="429"/>
      <c r="AF31" s="429"/>
      <c r="AG31" s="429" t="s">
        <v>102</v>
      </c>
      <c r="AH31" s="429" t="s">
        <v>102</v>
      </c>
      <c r="AI31" s="429" t="s">
        <v>102</v>
      </c>
      <c r="AJ31" s="429" t="s">
        <v>102</v>
      </c>
      <c r="AK31" s="429" t="s">
        <v>102</v>
      </c>
      <c r="AL31" s="429" t="s">
        <v>102</v>
      </c>
      <c r="AM31" s="429" t="s">
        <v>102</v>
      </c>
      <c r="AN31" s="429" t="s">
        <v>102</v>
      </c>
      <c r="AO31" s="429" t="s">
        <v>102</v>
      </c>
      <c r="AP31" s="429" t="s">
        <v>102</v>
      </c>
    </row>
    <row r="32" spans="1:42" s="435" customFormat="1" ht="139.5" customHeight="1" x14ac:dyDescent="0.3">
      <c r="A32" s="429" t="s">
        <v>275</v>
      </c>
      <c r="B32" s="429" t="s">
        <v>1073</v>
      </c>
      <c r="C32" s="429" t="s">
        <v>2665</v>
      </c>
      <c r="D32" s="429">
        <v>252120000</v>
      </c>
      <c r="E32" s="430" t="s">
        <v>2673</v>
      </c>
      <c r="F32" s="429" t="s">
        <v>2674</v>
      </c>
      <c r="G32" s="429" t="s">
        <v>2675</v>
      </c>
      <c r="H32" s="432">
        <v>25000000</v>
      </c>
      <c r="I32" s="432">
        <v>25000000</v>
      </c>
      <c r="J32" s="432">
        <f>+'[12]Ejec. Proyecto PEP'!$G$456</f>
        <v>58660000</v>
      </c>
      <c r="K32" s="432">
        <v>0</v>
      </c>
      <c r="L32" s="432"/>
      <c r="M32" s="432">
        <v>10730000</v>
      </c>
      <c r="N32" s="432">
        <f t="shared" si="0"/>
        <v>25000000</v>
      </c>
      <c r="O32" s="432">
        <f t="shared" si="0"/>
        <v>25000000</v>
      </c>
      <c r="P32" s="432">
        <f t="shared" si="0"/>
        <v>69390000</v>
      </c>
      <c r="Q32" s="432">
        <f>+'[12]Ejec. Proyecto PEP'!$H$456</f>
        <v>52720836</v>
      </c>
      <c r="R32" s="432">
        <f>+M32</f>
        <v>10730000</v>
      </c>
      <c r="S32" s="432">
        <f t="shared" si="1"/>
        <v>63450836</v>
      </c>
      <c r="T32" s="433">
        <v>0</v>
      </c>
      <c r="U32" s="433">
        <v>0</v>
      </c>
      <c r="V32" s="433">
        <v>0</v>
      </c>
      <c r="W32" s="429"/>
      <c r="X32" s="429"/>
      <c r="Y32" s="434"/>
      <c r="Z32" s="429"/>
      <c r="AA32" s="429">
        <v>0</v>
      </c>
      <c r="AB32" s="429"/>
      <c r="AC32" s="429"/>
      <c r="AD32" s="10" t="s">
        <v>2719</v>
      </c>
      <c r="AE32" s="429">
        <v>0</v>
      </c>
      <c r="AF32" s="429">
        <v>0</v>
      </c>
      <c r="AG32" s="429">
        <v>0</v>
      </c>
      <c r="AH32" s="429">
        <v>0</v>
      </c>
      <c r="AI32" s="429">
        <v>0</v>
      </c>
      <c r="AJ32" s="429">
        <v>0</v>
      </c>
      <c r="AK32" s="429">
        <v>0</v>
      </c>
      <c r="AL32" s="429">
        <v>0</v>
      </c>
      <c r="AM32" s="429">
        <v>0</v>
      </c>
      <c r="AN32" s="429">
        <v>0</v>
      </c>
      <c r="AO32" s="429">
        <v>0</v>
      </c>
      <c r="AP32" s="429">
        <v>0</v>
      </c>
    </row>
    <row r="33" spans="1:42" s="435" customFormat="1" ht="93" customHeight="1" x14ac:dyDescent="0.3">
      <c r="A33" s="429">
        <v>0</v>
      </c>
      <c r="B33" s="429">
        <v>0</v>
      </c>
      <c r="C33" s="429">
        <v>0</v>
      </c>
      <c r="D33" s="429">
        <v>0</v>
      </c>
      <c r="E33" s="430">
        <v>0</v>
      </c>
      <c r="F33" s="429">
        <v>0</v>
      </c>
      <c r="G33" s="429">
        <v>0</v>
      </c>
      <c r="H33" s="432"/>
      <c r="I33" s="432"/>
      <c r="J33" s="432"/>
      <c r="K33" s="432"/>
      <c r="L33" s="432"/>
      <c r="M33" s="432"/>
      <c r="N33" s="432"/>
      <c r="O33" s="432">
        <f t="shared" si="0"/>
        <v>0</v>
      </c>
      <c r="P33" s="432">
        <f t="shared" si="0"/>
        <v>0</v>
      </c>
      <c r="Q33" s="432"/>
      <c r="R33" s="432"/>
      <c r="S33" s="432">
        <f t="shared" si="1"/>
        <v>0</v>
      </c>
      <c r="T33" s="433" t="s">
        <v>2720</v>
      </c>
      <c r="U33" s="433" t="s">
        <v>2246</v>
      </c>
      <c r="V33" s="444">
        <v>100</v>
      </c>
      <c r="W33" s="429"/>
      <c r="X33" s="429"/>
      <c r="Y33" s="434">
        <v>0</v>
      </c>
      <c r="Z33" s="429">
        <v>131</v>
      </c>
      <c r="AA33" s="429">
        <v>0</v>
      </c>
      <c r="AB33" s="429">
        <v>0</v>
      </c>
      <c r="AC33" s="429">
        <v>30</v>
      </c>
      <c r="AD33" s="429"/>
      <c r="AE33" s="429">
        <v>0</v>
      </c>
      <c r="AF33" s="429">
        <v>0</v>
      </c>
      <c r="AG33" s="429" t="s">
        <v>102</v>
      </c>
      <c r="AH33" s="429">
        <v>0</v>
      </c>
      <c r="AI33" s="429">
        <v>0</v>
      </c>
      <c r="AJ33" s="429">
        <v>0</v>
      </c>
      <c r="AK33" s="429" t="s">
        <v>102</v>
      </c>
      <c r="AL33" s="429"/>
      <c r="AM33" s="429">
        <v>0</v>
      </c>
      <c r="AN33" s="429"/>
      <c r="AO33" s="429">
        <v>0</v>
      </c>
      <c r="AP33" s="429">
        <v>0</v>
      </c>
    </row>
    <row r="34" spans="1:42" s="435" customFormat="1" ht="105.75" customHeight="1" x14ac:dyDescent="0.3">
      <c r="A34" s="429">
        <v>0</v>
      </c>
      <c r="B34" s="429">
        <v>0</v>
      </c>
      <c r="C34" s="429">
        <v>0</v>
      </c>
      <c r="D34" s="429">
        <v>0</v>
      </c>
      <c r="E34" s="430">
        <v>0</v>
      </c>
      <c r="F34" s="429">
        <v>0</v>
      </c>
      <c r="G34" s="429">
        <v>0</v>
      </c>
      <c r="H34" s="432">
        <v>0</v>
      </c>
      <c r="I34" s="432"/>
      <c r="J34" s="432"/>
      <c r="K34" s="432"/>
      <c r="L34" s="432"/>
      <c r="M34" s="432"/>
      <c r="N34" s="446">
        <v>0</v>
      </c>
      <c r="O34" s="432">
        <f t="shared" si="0"/>
        <v>0</v>
      </c>
      <c r="P34" s="432">
        <f t="shared" si="0"/>
        <v>0</v>
      </c>
      <c r="Q34" s="432"/>
      <c r="R34" s="432"/>
      <c r="S34" s="432">
        <f t="shared" si="1"/>
        <v>0</v>
      </c>
      <c r="T34" s="433" t="s">
        <v>2721</v>
      </c>
      <c r="U34" s="433" t="s">
        <v>222</v>
      </c>
      <c r="V34" s="447">
        <v>0.06</v>
      </c>
      <c r="W34" s="429"/>
      <c r="X34" s="429"/>
      <c r="Y34" s="448">
        <v>1.4999999999999999E-2</v>
      </c>
      <c r="Z34" s="449">
        <v>0.06</v>
      </c>
      <c r="AA34" s="429">
        <v>300</v>
      </c>
      <c r="AB34" s="429">
        <f>+AA34*25%</f>
        <v>75</v>
      </c>
      <c r="AC34" s="429">
        <v>195</v>
      </c>
      <c r="AD34" s="429"/>
      <c r="AE34" s="429">
        <v>0</v>
      </c>
      <c r="AF34" s="429">
        <v>0</v>
      </c>
      <c r="AG34" s="429" t="s">
        <v>102</v>
      </c>
      <c r="AH34" s="429" t="s">
        <v>102</v>
      </c>
      <c r="AI34" s="429" t="s">
        <v>102</v>
      </c>
      <c r="AJ34" s="429" t="s">
        <v>102</v>
      </c>
      <c r="AK34" s="429" t="s">
        <v>102</v>
      </c>
      <c r="AL34" s="429" t="s">
        <v>102</v>
      </c>
      <c r="AM34" s="429" t="s">
        <v>102</v>
      </c>
      <c r="AN34" s="429" t="s">
        <v>102</v>
      </c>
      <c r="AO34" s="429" t="s">
        <v>102</v>
      </c>
      <c r="AP34" s="429" t="s">
        <v>102</v>
      </c>
    </row>
    <row r="35" spans="1:42" s="435" customFormat="1" ht="78.75" customHeight="1" x14ac:dyDescent="0.3">
      <c r="A35" s="429" t="s">
        <v>275</v>
      </c>
      <c r="B35" s="429" t="s">
        <v>1073</v>
      </c>
      <c r="C35" s="429" t="s">
        <v>2665</v>
      </c>
      <c r="D35" s="429">
        <v>252130000</v>
      </c>
      <c r="E35" s="430" t="s">
        <v>2681</v>
      </c>
      <c r="F35" s="429" t="s">
        <v>2682</v>
      </c>
      <c r="G35" s="429" t="s">
        <v>2683</v>
      </c>
      <c r="H35" s="432">
        <v>100000000</v>
      </c>
      <c r="I35" s="432">
        <v>100000000</v>
      </c>
      <c r="J35" s="432">
        <f>+'[12]Ejec. Proyecto PEP'!$G$459</f>
        <v>100000000</v>
      </c>
      <c r="K35" s="432">
        <f>H37</f>
        <v>0</v>
      </c>
      <c r="L35" s="432">
        <f>K35</f>
        <v>0</v>
      </c>
      <c r="M35" s="432">
        <v>9.9999999999999998E-13</v>
      </c>
      <c r="N35" s="432">
        <f t="shared" si="0"/>
        <v>100000000</v>
      </c>
      <c r="O35" s="432">
        <f>N35</f>
        <v>100000000</v>
      </c>
      <c r="P35" s="432">
        <f t="shared" si="0"/>
        <v>100000000</v>
      </c>
      <c r="Q35" s="432">
        <f>+'[12]Ejec. Proyecto PEP'!$H$459</f>
        <v>100000000</v>
      </c>
      <c r="R35" s="432">
        <v>9.9999999999999998E-13</v>
      </c>
      <c r="S35" s="432">
        <f t="shared" si="1"/>
        <v>100000000</v>
      </c>
      <c r="T35" s="433">
        <v>0</v>
      </c>
      <c r="U35" s="433">
        <v>0</v>
      </c>
      <c r="V35" s="433">
        <v>0</v>
      </c>
      <c r="W35" s="429"/>
      <c r="X35" s="429"/>
      <c r="Y35" s="434"/>
      <c r="Z35" s="429"/>
      <c r="AA35" s="429">
        <v>0</v>
      </c>
      <c r="AB35" s="429"/>
      <c r="AC35" s="429"/>
      <c r="AD35" s="10" t="s">
        <v>2722</v>
      </c>
      <c r="AE35" s="429">
        <v>0</v>
      </c>
      <c r="AF35" s="429">
        <v>0</v>
      </c>
      <c r="AG35" s="429">
        <v>0</v>
      </c>
      <c r="AH35" s="429">
        <v>0</v>
      </c>
      <c r="AI35" s="429">
        <v>0</v>
      </c>
      <c r="AJ35" s="429">
        <v>0</v>
      </c>
      <c r="AK35" s="429">
        <v>0</v>
      </c>
      <c r="AL35" s="429">
        <v>0</v>
      </c>
      <c r="AM35" s="429">
        <v>0</v>
      </c>
      <c r="AN35" s="429">
        <v>0</v>
      </c>
      <c r="AO35" s="429">
        <v>0</v>
      </c>
      <c r="AP35" s="429">
        <v>0</v>
      </c>
    </row>
    <row r="36" spans="1:42" s="435" customFormat="1" ht="93.75" customHeight="1" x14ac:dyDescent="0.3">
      <c r="A36" s="429">
        <v>0</v>
      </c>
      <c r="B36" s="429">
        <v>0</v>
      </c>
      <c r="C36" s="429">
        <v>0</v>
      </c>
      <c r="D36" s="429">
        <v>0</v>
      </c>
      <c r="E36" s="430">
        <v>0</v>
      </c>
      <c r="F36" s="429">
        <v>0</v>
      </c>
      <c r="G36" s="429">
        <v>0</v>
      </c>
      <c r="H36" s="432"/>
      <c r="I36" s="432"/>
      <c r="J36" s="432"/>
      <c r="K36" s="432"/>
      <c r="L36" s="432"/>
      <c r="M36" s="432"/>
      <c r="N36" s="432">
        <f t="shared" si="0"/>
        <v>0</v>
      </c>
      <c r="O36" s="432">
        <f>N36</f>
        <v>0</v>
      </c>
      <c r="P36" s="432">
        <f t="shared" si="0"/>
        <v>0</v>
      </c>
      <c r="Q36" s="432"/>
      <c r="R36" s="432"/>
      <c r="S36" s="432">
        <f t="shared" si="1"/>
        <v>0</v>
      </c>
      <c r="T36" s="433" t="s">
        <v>2723</v>
      </c>
      <c r="U36" s="433" t="s">
        <v>2689</v>
      </c>
      <c r="V36" s="433">
        <v>1</v>
      </c>
      <c r="W36" s="429"/>
      <c r="X36" s="429"/>
      <c r="Y36" s="450" t="s">
        <v>1922</v>
      </c>
      <c r="Z36" s="429">
        <v>1</v>
      </c>
      <c r="AA36" s="429">
        <v>270</v>
      </c>
      <c r="AB36" s="429">
        <f>22*3</f>
        <v>66</v>
      </c>
      <c r="AC36" s="429">
        <v>146</v>
      </c>
      <c r="AD36" s="10" t="s">
        <v>2724</v>
      </c>
      <c r="AE36" s="429">
        <v>0</v>
      </c>
      <c r="AF36" s="429">
        <v>0</v>
      </c>
      <c r="AG36" s="429">
        <v>0</v>
      </c>
      <c r="AH36" s="429" t="s">
        <v>102</v>
      </c>
      <c r="AI36" s="429" t="s">
        <v>102</v>
      </c>
      <c r="AJ36" s="429" t="s">
        <v>102</v>
      </c>
      <c r="AK36" s="429" t="s">
        <v>102</v>
      </c>
      <c r="AL36" s="429" t="s">
        <v>102</v>
      </c>
      <c r="AM36" s="429" t="s">
        <v>102</v>
      </c>
      <c r="AN36" s="429" t="s">
        <v>102</v>
      </c>
      <c r="AO36" s="429" t="s">
        <v>102</v>
      </c>
      <c r="AP36" s="429" t="s">
        <v>102</v>
      </c>
    </row>
    <row r="37" spans="1:42" s="435" customFormat="1" ht="114.75" customHeight="1" x14ac:dyDescent="0.3">
      <c r="A37" s="429">
        <v>0</v>
      </c>
      <c r="B37" s="429">
        <v>0</v>
      </c>
      <c r="C37" s="429">
        <v>0</v>
      </c>
      <c r="D37" s="429">
        <v>0</v>
      </c>
      <c r="E37" s="430">
        <v>0</v>
      </c>
      <c r="F37" s="429">
        <v>0</v>
      </c>
      <c r="G37" s="429">
        <v>0</v>
      </c>
      <c r="H37" s="432"/>
      <c r="I37" s="432"/>
      <c r="J37" s="432"/>
      <c r="K37" s="432"/>
      <c r="L37" s="432">
        <f>H37</f>
        <v>0</v>
      </c>
      <c r="M37" s="432"/>
      <c r="N37" s="432">
        <f t="shared" si="0"/>
        <v>0</v>
      </c>
      <c r="O37" s="432">
        <f t="shared" si="0"/>
        <v>0</v>
      </c>
      <c r="P37" s="432">
        <f t="shared" si="0"/>
        <v>0</v>
      </c>
      <c r="Q37" s="432"/>
      <c r="R37" s="432"/>
      <c r="S37" s="432">
        <f t="shared" si="1"/>
        <v>0</v>
      </c>
      <c r="T37" s="433" t="s">
        <v>2725</v>
      </c>
      <c r="U37" s="433" t="s">
        <v>2689</v>
      </c>
      <c r="V37" s="433">
        <v>1</v>
      </c>
      <c r="W37" s="429"/>
      <c r="X37" s="429"/>
      <c r="Y37" s="451" t="s">
        <v>2726</v>
      </c>
      <c r="Z37" s="429">
        <v>1</v>
      </c>
      <c r="AA37" s="429">
        <v>300</v>
      </c>
      <c r="AB37" s="429"/>
      <c r="AC37" s="429">
        <v>300</v>
      </c>
      <c r="AD37" s="429"/>
      <c r="AE37" s="429">
        <v>0</v>
      </c>
      <c r="AF37" s="429">
        <v>0</v>
      </c>
      <c r="AG37" s="429" t="s">
        <v>102</v>
      </c>
      <c r="AH37" s="429" t="s">
        <v>102</v>
      </c>
      <c r="AI37" s="429" t="s">
        <v>102</v>
      </c>
      <c r="AJ37" s="429" t="s">
        <v>102</v>
      </c>
      <c r="AK37" s="429" t="s">
        <v>102</v>
      </c>
      <c r="AL37" s="429" t="s">
        <v>102</v>
      </c>
      <c r="AM37" s="429" t="s">
        <v>102</v>
      </c>
      <c r="AN37" s="429" t="s">
        <v>102</v>
      </c>
      <c r="AO37" s="429" t="s">
        <v>102</v>
      </c>
      <c r="AP37" s="429" t="s">
        <v>102</v>
      </c>
    </row>
    <row r="40" spans="1:42" x14ac:dyDescent="0.3">
      <c r="N40" s="452">
        <f>SUM(N9:N39)</f>
        <v>4700000000</v>
      </c>
      <c r="Q40" s="452">
        <f>SUM(Q9:Q37)</f>
        <v>5015439262.0000019</v>
      </c>
      <c r="R40" s="452">
        <f>SUM(R9:R37)</f>
        <v>1395064037</v>
      </c>
    </row>
  </sheetData>
  <sheetProtection algorithmName="SHA-512" hashValue="uvSbjPdp5wNWd7Xfew/YNZBYuyFebipMW0esqyZwaiuHHKqeN6GkrUg/o51jLpClS8rmuct+6gk7Lj68iVrTkw==" saltValue="8x8bduafIoUQlYuq5BGA1Q==" spinCount="100000" sheet="1" insertRows="0"/>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39"/>
  <sheetViews>
    <sheetView topLeftCell="A4" zoomScale="70" zoomScaleNormal="85" workbookViewId="0">
      <pane ySplit="5" topLeftCell="A9" activePane="bottomLeft" state="frozen"/>
      <selection activeCell="A4" sqref="A4"/>
      <selection pane="bottomLeft" activeCell="M11" sqref="M11"/>
    </sheetView>
  </sheetViews>
  <sheetFormatPr baseColWidth="10" defaultRowHeight="15" x14ac:dyDescent="0.25"/>
  <cols>
    <col min="1" max="1" width="16.28515625" style="1" customWidth="1"/>
    <col min="2" max="2" width="17" style="1" customWidth="1"/>
    <col min="3" max="3" width="17.42578125" style="1" customWidth="1"/>
    <col min="4" max="4" width="14.140625" style="1" customWidth="1"/>
    <col min="5" max="5" width="11.42578125" style="1"/>
    <col min="6" max="6" width="17.85546875" style="1" customWidth="1"/>
    <col min="7" max="7" width="21.85546875" style="1" customWidth="1"/>
    <col min="8" max="8" width="23.85546875" style="1" customWidth="1"/>
    <col min="9" max="9" width="14.42578125" style="1" customWidth="1"/>
    <col min="10" max="10" width="15.7109375" style="1" customWidth="1"/>
    <col min="11" max="11" width="20.42578125" style="1" customWidth="1"/>
    <col min="12" max="13" width="11.42578125" style="1"/>
    <col min="14" max="14" width="14.7109375" style="1" customWidth="1"/>
    <col min="15" max="16" width="11.42578125" style="1"/>
    <col min="17" max="17" width="93.85546875" style="1" customWidth="1"/>
    <col min="18" max="18" width="76.28515625" style="1" customWidth="1"/>
    <col min="19" max="256" width="11.42578125" style="1"/>
    <col min="257" max="257" width="16.28515625" style="1" customWidth="1"/>
    <col min="258" max="258" width="17" style="1" customWidth="1"/>
    <col min="259" max="259" width="17.42578125" style="1" customWidth="1"/>
    <col min="260" max="260" width="14.140625" style="1" customWidth="1"/>
    <col min="261" max="261" width="11.42578125" style="1"/>
    <col min="262" max="262" width="17.85546875" style="1" customWidth="1"/>
    <col min="263" max="263" width="21.85546875" style="1" customWidth="1"/>
    <col min="264" max="264" width="23.85546875" style="1" customWidth="1"/>
    <col min="265" max="265" width="14.42578125" style="1" customWidth="1"/>
    <col min="266" max="266" width="15.7109375" style="1" customWidth="1"/>
    <col min="267" max="267" width="20.42578125" style="1" customWidth="1"/>
    <col min="268" max="269" width="11.42578125" style="1"/>
    <col min="270" max="270" width="14.7109375" style="1" customWidth="1"/>
    <col min="271" max="272" width="11.42578125" style="1"/>
    <col min="273" max="273" width="93.85546875" style="1" customWidth="1"/>
    <col min="274" max="274" width="76.28515625" style="1" customWidth="1"/>
    <col min="275" max="512" width="11.42578125" style="1"/>
    <col min="513" max="513" width="16.28515625" style="1" customWidth="1"/>
    <col min="514" max="514" width="17" style="1" customWidth="1"/>
    <col min="515" max="515" width="17.42578125" style="1" customWidth="1"/>
    <col min="516" max="516" width="14.140625" style="1" customWidth="1"/>
    <col min="517" max="517" width="11.42578125" style="1"/>
    <col min="518" max="518" width="17.85546875" style="1" customWidth="1"/>
    <col min="519" max="519" width="21.85546875" style="1" customWidth="1"/>
    <col min="520" max="520" width="23.85546875" style="1" customWidth="1"/>
    <col min="521" max="521" width="14.42578125" style="1" customWidth="1"/>
    <col min="522" max="522" width="15.7109375" style="1" customWidth="1"/>
    <col min="523" max="523" width="20.42578125" style="1" customWidth="1"/>
    <col min="524" max="525" width="11.42578125" style="1"/>
    <col min="526" max="526" width="14.7109375" style="1" customWidth="1"/>
    <col min="527" max="528" width="11.42578125" style="1"/>
    <col min="529" max="529" width="93.85546875" style="1" customWidth="1"/>
    <col min="530" max="530" width="76.28515625" style="1" customWidth="1"/>
    <col min="531" max="768" width="11.42578125" style="1"/>
    <col min="769" max="769" width="16.28515625" style="1" customWidth="1"/>
    <col min="770" max="770" width="17" style="1" customWidth="1"/>
    <col min="771" max="771" width="17.42578125" style="1" customWidth="1"/>
    <col min="772" max="772" width="14.140625" style="1" customWidth="1"/>
    <col min="773" max="773" width="11.42578125" style="1"/>
    <col min="774" max="774" width="17.85546875" style="1" customWidth="1"/>
    <col min="775" max="775" width="21.85546875" style="1" customWidth="1"/>
    <col min="776" max="776" width="23.85546875" style="1" customWidth="1"/>
    <col min="777" max="777" width="14.42578125" style="1" customWidth="1"/>
    <col min="778" max="778" width="15.7109375" style="1" customWidth="1"/>
    <col min="779" max="779" width="20.42578125" style="1" customWidth="1"/>
    <col min="780" max="781" width="11.42578125" style="1"/>
    <col min="782" max="782" width="14.7109375" style="1" customWidth="1"/>
    <col min="783" max="784" width="11.42578125" style="1"/>
    <col min="785" max="785" width="93.85546875" style="1" customWidth="1"/>
    <col min="786" max="786" width="76.28515625" style="1" customWidth="1"/>
    <col min="787" max="1024" width="11.42578125" style="1"/>
    <col min="1025" max="1025" width="16.28515625" style="1" customWidth="1"/>
    <col min="1026" max="1026" width="17" style="1" customWidth="1"/>
    <col min="1027" max="1027" width="17.42578125" style="1" customWidth="1"/>
    <col min="1028" max="1028" width="14.140625" style="1" customWidth="1"/>
    <col min="1029" max="1029" width="11.42578125" style="1"/>
    <col min="1030" max="1030" width="17.85546875" style="1" customWidth="1"/>
    <col min="1031" max="1031" width="21.85546875" style="1" customWidth="1"/>
    <col min="1032" max="1032" width="23.85546875" style="1" customWidth="1"/>
    <col min="1033" max="1033" width="14.42578125" style="1" customWidth="1"/>
    <col min="1034" max="1034" width="15.7109375" style="1" customWidth="1"/>
    <col min="1035" max="1035" width="20.42578125" style="1" customWidth="1"/>
    <col min="1036" max="1037" width="11.42578125" style="1"/>
    <col min="1038" max="1038" width="14.7109375" style="1" customWidth="1"/>
    <col min="1039" max="1040" width="11.42578125" style="1"/>
    <col min="1041" max="1041" width="93.85546875" style="1" customWidth="1"/>
    <col min="1042" max="1042" width="76.28515625" style="1" customWidth="1"/>
    <col min="1043" max="1280" width="11.42578125" style="1"/>
    <col min="1281" max="1281" width="16.28515625" style="1" customWidth="1"/>
    <col min="1282" max="1282" width="17" style="1" customWidth="1"/>
    <col min="1283" max="1283" width="17.42578125" style="1" customWidth="1"/>
    <col min="1284" max="1284" width="14.140625" style="1" customWidth="1"/>
    <col min="1285" max="1285" width="11.42578125" style="1"/>
    <col min="1286" max="1286" width="17.85546875" style="1" customWidth="1"/>
    <col min="1287" max="1287" width="21.85546875" style="1" customWidth="1"/>
    <col min="1288" max="1288" width="23.85546875" style="1" customWidth="1"/>
    <col min="1289" max="1289" width="14.42578125" style="1" customWidth="1"/>
    <col min="1290" max="1290" width="15.7109375" style="1" customWidth="1"/>
    <col min="1291" max="1291" width="20.42578125" style="1" customWidth="1"/>
    <col min="1292" max="1293" width="11.42578125" style="1"/>
    <col min="1294" max="1294" width="14.7109375" style="1" customWidth="1"/>
    <col min="1295" max="1296" width="11.42578125" style="1"/>
    <col min="1297" max="1297" width="93.85546875" style="1" customWidth="1"/>
    <col min="1298" max="1298" width="76.28515625" style="1" customWidth="1"/>
    <col min="1299" max="1536" width="11.42578125" style="1"/>
    <col min="1537" max="1537" width="16.28515625" style="1" customWidth="1"/>
    <col min="1538" max="1538" width="17" style="1" customWidth="1"/>
    <col min="1539" max="1539" width="17.42578125" style="1" customWidth="1"/>
    <col min="1540" max="1540" width="14.140625" style="1" customWidth="1"/>
    <col min="1541" max="1541" width="11.42578125" style="1"/>
    <col min="1542" max="1542" width="17.85546875" style="1" customWidth="1"/>
    <col min="1543" max="1543" width="21.85546875" style="1" customWidth="1"/>
    <col min="1544" max="1544" width="23.85546875" style="1" customWidth="1"/>
    <col min="1545" max="1545" width="14.42578125" style="1" customWidth="1"/>
    <col min="1546" max="1546" width="15.7109375" style="1" customWidth="1"/>
    <col min="1547" max="1547" width="20.42578125" style="1" customWidth="1"/>
    <col min="1548" max="1549" width="11.42578125" style="1"/>
    <col min="1550" max="1550" width="14.7109375" style="1" customWidth="1"/>
    <col min="1551" max="1552" width="11.42578125" style="1"/>
    <col min="1553" max="1553" width="93.85546875" style="1" customWidth="1"/>
    <col min="1554" max="1554" width="76.28515625" style="1" customWidth="1"/>
    <col min="1555" max="1792" width="11.42578125" style="1"/>
    <col min="1793" max="1793" width="16.28515625" style="1" customWidth="1"/>
    <col min="1794" max="1794" width="17" style="1" customWidth="1"/>
    <col min="1795" max="1795" width="17.42578125" style="1" customWidth="1"/>
    <col min="1796" max="1796" width="14.140625" style="1" customWidth="1"/>
    <col min="1797" max="1797" width="11.42578125" style="1"/>
    <col min="1798" max="1798" width="17.85546875" style="1" customWidth="1"/>
    <col min="1799" max="1799" width="21.85546875" style="1" customWidth="1"/>
    <col min="1800" max="1800" width="23.85546875" style="1" customWidth="1"/>
    <col min="1801" max="1801" width="14.42578125" style="1" customWidth="1"/>
    <col min="1802" max="1802" width="15.7109375" style="1" customWidth="1"/>
    <col min="1803" max="1803" width="20.42578125" style="1" customWidth="1"/>
    <col min="1804" max="1805" width="11.42578125" style="1"/>
    <col min="1806" max="1806" width="14.7109375" style="1" customWidth="1"/>
    <col min="1807" max="1808" width="11.42578125" style="1"/>
    <col min="1809" max="1809" width="93.85546875" style="1" customWidth="1"/>
    <col min="1810" max="1810" width="76.28515625" style="1" customWidth="1"/>
    <col min="1811" max="2048" width="11.42578125" style="1"/>
    <col min="2049" max="2049" width="16.28515625" style="1" customWidth="1"/>
    <col min="2050" max="2050" width="17" style="1" customWidth="1"/>
    <col min="2051" max="2051" width="17.42578125" style="1" customWidth="1"/>
    <col min="2052" max="2052" width="14.140625" style="1" customWidth="1"/>
    <col min="2053" max="2053" width="11.42578125" style="1"/>
    <col min="2054" max="2054" width="17.85546875" style="1" customWidth="1"/>
    <col min="2055" max="2055" width="21.85546875" style="1" customWidth="1"/>
    <col min="2056" max="2056" width="23.85546875" style="1" customWidth="1"/>
    <col min="2057" max="2057" width="14.42578125" style="1" customWidth="1"/>
    <col min="2058" max="2058" width="15.7109375" style="1" customWidth="1"/>
    <col min="2059" max="2059" width="20.42578125" style="1" customWidth="1"/>
    <col min="2060" max="2061" width="11.42578125" style="1"/>
    <col min="2062" max="2062" width="14.7109375" style="1" customWidth="1"/>
    <col min="2063" max="2064" width="11.42578125" style="1"/>
    <col min="2065" max="2065" width="93.85546875" style="1" customWidth="1"/>
    <col min="2066" max="2066" width="76.28515625" style="1" customWidth="1"/>
    <col min="2067" max="2304" width="11.42578125" style="1"/>
    <col min="2305" max="2305" width="16.28515625" style="1" customWidth="1"/>
    <col min="2306" max="2306" width="17" style="1" customWidth="1"/>
    <col min="2307" max="2307" width="17.42578125" style="1" customWidth="1"/>
    <col min="2308" max="2308" width="14.140625" style="1" customWidth="1"/>
    <col min="2309" max="2309" width="11.42578125" style="1"/>
    <col min="2310" max="2310" width="17.85546875" style="1" customWidth="1"/>
    <col min="2311" max="2311" width="21.85546875" style="1" customWidth="1"/>
    <col min="2312" max="2312" width="23.85546875" style="1" customWidth="1"/>
    <col min="2313" max="2313" width="14.42578125" style="1" customWidth="1"/>
    <col min="2314" max="2314" width="15.7109375" style="1" customWidth="1"/>
    <col min="2315" max="2315" width="20.42578125" style="1" customWidth="1"/>
    <col min="2316" max="2317" width="11.42578125" style="1"/>
    <col min="2318" max="2318" width="14.7109375" style="1" customWidth="1"/>
    <col min="2319" max="2320" width="11.42578125" style="1"/>
    <col min="2321" max="2321" width="93.85546875" style="1" customWidth="1"/>
    <col min="2322" max="2322" width="76.28515625" style="1" customWidth="1"/>
    <col min="2323" max="2560" width="11.42578125" style="1"/>
    <col min="2561" max="2561" width="16.28515625" style="1" customWidth="1"/>
    <col min="2562" max="2562" width="17" style="1" customWidth="1"/>
    <col min="2563" max="2563" width="17.42578125" style="1" customWidth="1"/>
    <col min="2564" max="2564" width="14.140625" style="1" customWidth="1"/>
    <col min="2565" max="2565" width="11.42578125" style="1"/>
    <col min="2566" max="2566" width="17.85546875" style="1" customWidth="1"/>
    <col min="2567" max="2567" width="21.85546875" style="1" customWidth="1"/>
    <col min="2568" max="2568" width="23.85546875" style="1" customWidth="1"/>
    <col min="2569" max="2569" width="14.42578125" style="1" customWidth="1"/>
    <col min="2570" max="2570" width="15.7109375" style="1" customWidth="1"/>
    <col min="2571" max="2571" width="20.42578125" style="1" customWidth="1"/>
    <col min="2572" max="2573" width="11.42578125" style="1"/>
    <col min="2574" max="2574" width="14.7109375" style="1" customWidth="1"/>
    <col min="2575" max="2576" width="11.42578125" style="1"/>
    <col min="2577" max="2577" width="93.85546875" style="1" customWidth="1"/>
    <col min="2578" max="2578" width="76.28515625" style="1" customWidth="1"/>
    <col min="2579" max="2816" width="11.42578125" style="1"/>
    <col min="2817" max="2817" width="16.28515625" style="1" customWidth="1"/>
    <col min="2818" max="2818" width="17" style="1" customWidth="1"/>
    <col min="2819" max="2819" width="17.42578125" style="1" customWidth="1"/>
    <col min="2820" max="2820" width="14.140625" style="1" customWidth="1"/>
    <col min="2821" max="2821" width="11.42578125" style="1"/>
    <col min="2822" max="2822" width="17.85546875" style="1" customWidth="1"/>
    <col min="2823" max="2823" width="21.85546875" style="1" customWidth="1"/>
    <col min="2824" max="2824" width="23.85546875" style="1" customWidth="1"/>
    <col min="2825" max="2825" width="14.42578125" style="1" customWidth="1"/>
    <col min="2826" max="2826" width="15.7109375" style="1" customWidth="1"/>
    <col min="2827" max="2827" width="20.42578125" style="1" customWidth="1"/>
    <col min="2828" max="2829" width="11.42578125" style="1"/>
    <col min="2830" max="2830" width="14.7109375" style="1" customWidth="1"/>
    <col min="2831" max="2832" width="11.42578125" style="1"/>
    <col min="2833" max="2833" width="93.85546875" style="1" customWidth="1"/>
    <col min="2834" max="2834" width="76.28515625" style="1" customWidth="1"/>
    <col min="2835" max="3072" width="11.42578125" style="1"/>
    <col min="3073" max="3073" width="16.28515625" style="1" customWidth="1"/>
    <col min="3074" max="3074" width="17" style="1" customWidth="1"/>
    <col min="3075" max="3075" width="17.42578125" style="1" customWidth="1"/>
    <col min="3076" max="3076" width="14.140625" style="1" customWidth="1"/>
    <col min="3077" max="3077" width="11.42578125" style="1"/>
    <col min="3078" max="3078" width="17.85546875" style="1" customWidth="1"/>
    <col min="3079" max="3079" width="21.85546875" style="1" customWidth="1"/>
    <col min="3080" max="3080" width="23.85546875" style="1" customWidth="1"/>
    <col min="3081" max="3081" width="14.42578125" style="1" customWidth="1"/>
    <col min="3082" max="3082" width="15.7109375" style="1" customWidth="1"/>
    <col min="3083" max="3083" width="20.42578125" style="1" customWidth="1"/>
    <col min="3084" max="3085" width="11.42578125" style="1"/>
    <col min="3086" max="3086" width="14.7109375" style="1" customWidth="1"/>
    <col min="3087" max="3088" width="11.42578125" style="1"/>
    <col min="3089" max="3089" width="93.85546875" style="1" customWidth="1"/>
    <col min="3090" max="3090" width="76.28515625" style="1" customWidth="1"/>
    <col min="3091" max="3328" width="11.42578125" style="1"/>
    <col min="3329" max="3329" width="16.28515625" style="1" customWidth="1"/>
    <col min="3330" max="3330" width="17" style="1" customWidth="1"/>
    <col min="3331" max="3331" width="17.42578125" style="1" customWidth="1"/>
    <col min="3332" max="3332" width="14.140625" style="1" customWidth="1"/>
    <col min="3333" max="3333" width="11.42578125" style="1"/>
    <col min="3334" max="3334" width="17.85546875" style="1" customWidth="1"/>
    <col min="3335" max="3335" width="21.85546875" style="1" customWidth="1"/>
    <col min="3336" max="3336" width="23.85546875" style="1" customWidth="1"/>
    <col min="3337" max="3337" width="14.42578125" style="1" customWidth="1"/>
    <col min="3338" max="3338" width="15.7109375" style="1" customWidth="1"/>
    <col min="3339" max="3339" width="20.42578125" style="1" customWidth="1"/>
    <col min="3340" max="3341" width="11.42578125" style="1"/>
    <col min="3342" max="3342" width="14.7109375" style="1" customWidth="1"/>
    <col min="3343" max="3344" width="11.42578125" style="1"/>
    <col min="3345" max="3345" width="93.85546875" style="1" customWidth="1"/>
    <col min="3346" max="3346" width="76.28515625" style="1" customWidth="1"/>
    <col min="3347" max="3584" width="11.42578125" style="1"/>
    <col min="3585" max="3585" width="16.28515625" style="1" customWidth="1"/>
    <col min="3586" max="3586" width="17" style="1" customWidth="1"/>
    <col min="3587" max="3587" width="17.42578125" style="1" customWidth="1"/>
    <col min="3588" max="3588" width="14.140625" style="1" customWidth="1"/>
    <col min="3589" max="3589" width="11.42578125" style="1"/>
    <col min="3590" max="3590" width="17.85546875" style="1" customWidth="1"/>
    <col min="3591" max="3591" width="21.85546875" style="1" customWidth="1"/>
    <col min="3592" max="3592" width="23.85546875" style="1" customWidth="1"/>
    <col min="3593" max="3593" width="14.42578125" style="1" customWidth="1"/>
    <col min="3594" max="3594" width="15.7109375" style="1" customWidth="1"/>
    <col min="3595" max="3595" width="20.42578125" style="1" customWidth="1"/>
    <col min="3596" max="3597" width="11.42578125" style="1"/>
    <col min="3598" max="3598" width="14.7109375" style="1" customWidth="1"/>
    <col min="3599" max="3600" width="11.42578125" style="1"/>
    <col min="3601" max="3601" width="93.85546875" style="1" customWidth="1"/>
    <col min="3602" max="3602" width="76.28515625" style="1" customWidth="1"/>
    <col min="3603" max="3840" width="11.42578125" style="1"/>
    <col min="3841" max="3841" width="16.28515625" style="1" customWidth="1"/>
    <col min="3842" max="3842" width="17" style="1" customWidth="1"/>
    <col min="3843" max="3843" width="17.42578125" style="1" customWidth="1"/>
    <col min="3844" max="3844" width="14.140625" style="1" customWidth="1"/>
    <col min="3845" max="3845" width="11.42578125" style="1"/>
    <col min="3846" max="3846" width="17.85546875" style="1" customWidth="1"/>
    <col min="3847" max="3847" width="21.85546875" style="1" customWidth="1"/>
    <col min="3848" max="3848" width="23.85546875" style="1" customWidth="1"/>
    <col min="3849" max="3849" width="14.42578125" style="1" customWidth="1"/>
    <col min="3850" max="3850" width="15.7109375" style="1" customWidth="1"/>
    <col min="3851" max="3851" width="20.42578125" style="1" customWidth="1"/>
    <col min="3852" max="3853" width="11.42578125" style="1"/>
    <col min="3854" max="3854" width="14.7109375" style="1" customWidth="1"/>
    <col min="3855" max="3856" width="11.42578125" style="1"/>
    <col min="3857" max="3857" width="93.85546875" style="1" customWidth="1"/>
    <col min="3858" max="3858" width="76.28515625" style="1" customWidth="1"/>
    <col min="3859" max="4096" width="11.42578125" style="1"/>
    <col min="4097" max="4097" width="16.28515625" style="1" customWidth="1"/>
    <col min="4098" max="4098" width="17" style="1" customWidth="1"/>
    <col min="4099" max="4099" width="17.42578125" style="1" customWidth="1"/>
    <col min="4100" max="4100" width="14.140625" style="1" customWidth="1"/>
    <col min="4101" max="4101" width="11.42578125" style="1"/>
    <col min="4102" max="4102" width="17.85546875" style="1" customWidth="1"/>
    <col min="4103" max="4103" width="21.85546875" style="1" customWidth="1"/>
    <col min="4104" max="4104" width="23.85546875" style="1" customWidth="1"/>
    <col min="4105" max="4105" width="14.42578125" style="1" customWidth="1"/>
    <col min="4106" max="4106" width="15.7109375" style="1" customWidth="1"/>
    <col min="4107" max="4107" width="20.42578125" style="1" customWidth="1"/>
    <col min="4108" max="4109" width="11.42578125" style="1"/>
    <col min="4110" max="4110" width="14.7109375" style="1" customWidth="1"/>
    <col min="4111" max="4112" width="11.42578125" style="1"/>
    <col min="4113" max="4113" width="93.85546875" style="1" customWidth="1"/>
    <col min="4114" max="4114" width="76.28515625" style="1" customWidth="1"/>
    <col min="4115" max="4352" width="11.42578125" style="1"/>
    <col min="4353" max="4353" width="16.28515625" style="1" customWidth="1"/>
    <col min="4354" max="4354" width="17" style="1" customWidth="1"/>
    <col min="4355" max="4355" width="17.42578125" style="1" customWidth="1"/>
    <col min="4356" max="4356" width="14.140625" style="1" customWidth="1"/>
    <col min="4357" max="4357" width="11.42578125" style="1"/>
    <col min="4358" max="4358" width="17.85546875" style="1" customWidth="1"/>
    <col min="4359" max="4359" width="21.85546875" style="1" customWidth="1"/>
    <col min="4360" max="4360" width="23.85546875" style="1" customWidth="1"/>
    <col min="4361" max="4361" width="14.42578125" style="1" customWidth="1"/>
    <col min="4362" max="4362" width="15.7109375" style="1" customWidth="1"/>
    <col min="4363" max="4363" width="20.42578125" style="1" customWidth="1"/>
    <col min="4364" max="4365" width="11.42578125" style="1"/>
    <col min="4366" max="4366" width="14.7109375" style="1" customWidth="1"/>
    <col min="4367" max="4368" width="11.42578125" style="1"/>
    <col min="4369" max="4369" width="93.85546875" style="1" customWidth="1"/>
    <col min="4370" max="4370" width="76.28515625" style="1" customWidth="1"/>
    <col min="4371" max="4608" width="11.42578125" style="1"/>
    <col min="4609" max="4609" width="16.28515625" style="1" customWidth="1"/>
    <col min="4610" max="4610" width="17" style="1" customWidth="1"/>
    <col min="4611" max="4611" width="17.42578125" style="1" customWidth="1"/>
    <col min="4612" max="4612" width="14.140625" style="1" customWidth="1"/>
    <col min="4613" max="4613" width="11.42578125" style="1"/>
    <col min="4614" max="4614" width="17.85546875" style="1" customWidth="1"/>
    <col min="4615" max="4615" width="21.85546875" style="1" customWidth="1"/>
    <col min="4616" max="4616" width="23.85546875" style="1" customWidth="1"/>
    <col min="4617" max="4617" width="14.42578125" style="1" customWidth="1"/>
    <col min="4618" max="4618" width="15.7109375" style="1" customWidth="1"/>
    <col min="4619" max="4619" width="20.42578125" style="1" customWidth="1"/>
    <col min="4620" max="4621" width="11.42578125" style="1"/>
    <col min="4622" max="4622" width="14.7109375" style="1" customWidth="1"/>
    <col min="4623" max="4624" width="11.42578125" style="1"/>
    <col min="4625" max="4625" width="93.85546875" style="1" customWidth="1"/>
    <col min="4626" max="4626" width="76.28515625" style="1" customWidth="1"/>
    <col min="4627" max="4864" width="11.42578125" style="1"/>
    <col min="4865" max="4865" width="16.28515625" style="1" customWidth="1"/>
    <col min="4866" max="4866" width="17" style="1" customWidth="1"/>
    <col min="4867" max="4867" width="17.42578125" style="1" customWidth="1"/>
    <col min="4868" max="4868" width="14.140625" style="1" customWidth="1"/>
    <col min="4869" max="4869" width="11.42578125" style="1"/>
    <col min="4870" max="4870" width="17.85546875" style="1" customWidth="1"/>
    <col min="4871" max="4871" width="21.85546875" style="1" customWidth="1"/>
    <col min="4872" max="4872" width="23.85546875" style="1" customWidth="1"/>
    <col min="4873" max="4873" width="14.42578125" style="1" customWidth="1"/>
    <col min="4874" max="4874" width="15.7109375" style="1" customWidth="1"/>
    <col min="4875" max="4875" width="20.42578125" style="1" customWidth="1"/>
    <col min="4876" max="4877" width="11.42578125" style="1"/>
    <col min="4878" max="4878" width="14.7109375" style="1" customWidth="1"/>
    <col min="4879" max="4880" width="11.42578125" style="1"/>
    <col min="4881" max="4881" width="93.85546875" style="1" customWidth="1"/>
    <col min="4882" max="4882" width="76.28515625" style="1" customWidth="1"/>
    <col min="4883" max="5120" width="11.42578125" style="1"/>
    <col min="5121" max="5121" width="16.28515625" style="1" customWidth="1"/>
    <col min="5122" max="5122" width="17" style="1" customWidth="1"/>
    <col min="5123" max="5123" width="17.42578125" style="1" customWidth="1"/>
    <col min="5124" max="5124" width="14.140625" style="1" customWidth="1"/>
    <col min="5125" max="5125" width="11.42578125" style="1"/>
    <col min="5126" max="5126" width="17.85546875" style="1" customWidth="1"/>
    <col min="5127" max="5127" width="21.85546875" style="1" customWidth="1"/>
    <col min="5128" max="5128" width="23.85546875" style="1" customWidth="1"/>
    <col min="5129" max="5129" width="14.42578125" style="1" customWidth="1"/>
    <col min="5130" max="5130" width="15.7109375" style="1" customWidth="1"/>
    <col min="5131" max="5131" width="20.42578125" style="1" customWidth="1"/>
    <col min="5132" max="5133" width="11.42578125" style="1"/>
    <col min="5134" max="5134" width="14.7109375" style="1" customWidth="1"/>
    <col min="5135" max="5136" width="11.42578125" style="1"/>
    <col min="5137" max="5137" width="93.85546875" style="1" customWidth="1"/>
    <col min="5138" max="5138" width="76.28515625" style="1" customWidth="1"/>
    <col min="5139" max="5376" width="11.42578125" style="1"/>
    <col min="5377" max="5377" width="16.28515625" style="1" customWidth="1"/>
    <col min="5378" max="5378" width="17" style="1" customWidth="1"/>
    <col min="5379" max="5379" width="17.42578125" style="1" customWidth="1"/>
    <col min="5380" max="5380" width="14.140625" style="1" customWidth="1"/>
    <col min="5381" max="5381" width="11.42578125" style="1"/>
    <col min="5382" max="5382" width="17.85546875" style="1" customWidth="1"/>
    <col min="5383" max="5383" width="21.85546875" style="1" customWidth="1"/>
    <col min="5384" max="5384" width="23.85546875" style="1" customWidth="1"/>
    <col min="5385" max="5385" width="14.42578125" style="1" customWidth="1"/>
    <col min="5386" max="5386" width="15.7109375" style="1" customWidth="1"/>
    <col min="5387" max="5387" width="20.42578125" style="1" customWidth="1"/>
    <col min="5388" max="5389" width="11.42578125" style="1"/>
    <col min="5390" max="5390" width="14.7109375" style="1" customWidth="1"/>
    <col min="5391" max="5392" width="11.42578125" style="1"/>
    <col min="5393" max="5393" width="93.85546875" style="1" customWidth="1"/>
    <col min="5394" max="5394" width="76.28515625" style="1" customWidth="1"/>
    <col min="5395" max="5632" width="11.42578125" style="1"/>
    <col min="5633" max="5633" width="16.28515625" style="1" customWidth="1"/>
    <col min="5634" max="5634" width="17" style="1" customWidth="1"/>
    <col min="5635" max="5635" width="17.42578125" style="1" customWidth="1"/>
    <col min="5636" max="5636" width="14.140625" style="1" customWidth="1"/>
    <col min="5637" max="5637" width="11.42578125" style="1"/>
    <col min="5638" max="5638" width="17.85546875" style="1" customWidth="1"/>
    <col min="5639" max="5639" width="21.85546875" style="1" customWidth="1"/>
    <col min="5640" max="5640" width="23.85546875" style="1" customWidth="1"/>
    <col min="5641" max="5641" width="14.42578125" style="1" customWidth="1"/>
    <col min="5642" max="5642" width="15.7109375" style="1" customWidth="1"/>
    <col min="5643" max="5643" width="20.42578125" style="1" customWidth="1"/>
    <col min="5644" max="5645" width="11.42578125" style="1"/>
    <col min="5646" max="5646" width="14.7109375" style="1" customWidth="1"/>
    <col min="5647" max="5648" width="11.42578125" style="1"/>
    <col min="5649" max="5649" width="93.85546875" style="1" customWidth="1"/>
    <col min="5650" max="5650" width="76.28515625" style="1" customWidth="1"/>
    <col min="5651" max="5888" width="11.42578125" style="1"/>
    <col min="5889" max="5889" width="16.28515625" style="1" customWidth="1"/>
    <col min="5890" max="5890" width="17" style="1" customWidth="1"/>
    <col min="5891" max="5891" width="17.42578125" style="1" customWidth="1"/>
    <col min="5892" max="5892" width="14.140625" style="1" customWidth="1"/>
    <col min="5893" max="5893" width="11.42578125" style="1"/>
    <col min="5894" max="5894" width="17.85546875" style="1" customWidth="1"/>
    <col min="5895" max="5895" width="21.85546875" style="1" customWidth="1"/>
    <col min="5896" max="5896" width="23.85546875" style="1" customWidth="1"/>
    <col min="5897" max="5897" width="14.42578125" style="1" customWidth="1"/>
    <col min="5898" max="5898" width="15.7109375" style="1" customWidth="1"/>
    <col min="5899" max="5899" width="20.42578125" style="1" customWidth="1"/>
    <col min="5900" max="5901" width="11.42578125" style="1"/>
    <col min="5902" max="5902" width="14.7109375" style="1" customWidth="1"/>
    <col min="5903" max="5904" width="11.42578125" style="1"/>
    <col min="5905" max="5905" width="93.85546875" style="1" customWidth="1"/>
    <col min="5906" max="5906" width="76.28515625" style="1" customWidth="1"/>
    <col min="5907" max="6144" width="11.42578125" style="1"/>
    <col min="6145" max="6145" width="16.28515625" style="1" customWidth="1"/>
    <col min="6146" max="6146" width="17" style="1" customWidth="1"/>
    <col min="6147" max="6147" width="17.42578125" style="1" customWidth="1"/>
    <col min="6148" max="6148" width="14.140625" style="1" customWidth="1"/>
    <col min="6149" max="6149" width="11.42578125" style="1"/>
    <col min="6150" max="6150" width="17.85546875" style="1" customWidth="1"/>
    <col min="6151" max="6151" width="21.85546875" style="1" customWidth="1"/>
    <col min="6152" max="6152" width="23.85546875" style="1" customWidth="1"/>
    <col min="6153" max="6153" width="14.42578125" style="1" customWidth="1"/>
    <col min="6154" max="6154" width="15.7109375" style="1" customWidth="1"/>
    <col min="6155" max="6155" width="20.42578125" style="1" customWidth="1"/>
    <col min="6156" max="6157" width="11.42578125" style="1"/>
    <col min="6158" max="6158" width="14.7109375" style="1" customWidth="1"/>
    <col min="6159" max="6160" width="11.42578125" style="1"/>
    <col min="6161" max="6161" width="93.85546875" style="1" customWidth="1"/>
    <col min="6162" max="6162" width="76.28515625" style="1" customWidth="1"/>
    <col min="6163" max="6400" width="11.42578125" style="1"/>
    <col min="6401" max="6401" width="16.28515625" style="1" customWidth="1"/>
    <col min="6402" max="6402" width="17" style="1" customWidth="1"/>
    <col min="6403" max="6403" width="17.42578125" style="1" customWidth="1"/>
    <col min="6404" max="6404" width="14.140625" style="1" customWidth="1"/>
    <col min="6405" max="6405" width="11.42578125" style="1"/>
    <col min="6406" max="6406" width="17.85546875" style="1" customWidth="1"/>
    <col min="6407" max="6407" width="21.85546875" style="1" customWidth="1"/>
    <col min="6408" max="6408" width="23.85546875" style="1" customWidth="1"/>
    <col min="6409" max="6409" width="14.42578125" style="1" customWidth="1"/>
    <col min="6410" max="6410" width="15.7109375" style="1" customWidth="1"/>
    <col min="6411" max="6411" width="20.42578125" style="1" customWidth="1"/>
    <col min="6412" max="6413" width="11.42578125" style="1"/>
    <col min="6414" max="6414" width="14.7109375" style="1" customWidth="1"/>
    <col min="6415" max="6416" width="11.42578125" style="1"/>
    <col min="6417" max="6417" width="93.85546875" style="1" customWidth="1"/>
    <col min="6418" max="6418" width="76.28515625" style="1" customWidth="1"/>
    <col min="6419" max="6656" width="11.42578125" style="1"/>
    <col min="6657" max="6657" width="16.28515625" style="1" customWidth="1"/>
    <col min="6658" max="6658" width="17" style="1" customWidth="1"/>
    <col min="6659" max="6659" width="17.42578125" style="1" customWidth="1"/>
    <col min="6660" max="6660" width="14.140625" style="1" customWidth="1"/>
    <col min="6661" max="6661" width="11.42578125" style="1"/>
    <col min="6662" max="6662" width="17.85546875" style="1" customWidth="1"/>
    <col min="6663" max="6663" width="21.85546875" style="1" customWidth="1"/>
    <col min="6664" max="6664" width="23.85546875" style="1" customWidth="1"/>
    <col min="6665" max="6665" width="14.42578125" style="1" customWidth="1"/>
    <col min="6666" max="6666" width="15.7109375" style="1" customWidth="1"/>
    <col min="6667" max="6667" width="20.42578125" style="1" customWidth="1"/>
    <col min="6668" max="6669" width="11.42578125" style="1"/>
    <col min="6670" max="6670" width="14.7109375" style="1" customWidth="1"/>
    <col min="6671" max="6672" width="11.42578125" style="1"/>
    <col min="6673" max="6673" width="93.85546875" style="1" customWidth="1"/>
    <col min="6674" max="6674" width="76.28515625" style="1" customWidth="1"/>
    <col min="6675" max="6912" width="11.42578125" style="1"/>
    <col min="6913" max="6913" width="16.28515625" style="1" customWidth="1"/>
    <col min="6914" max="6914" width="17" style="1" customWidth="1"/>
    <col min="6915" max="6915" width="17.42578125" style="1" customWidth="1"/>
    <col min="6916" max="6916" width="14.140625" style="1" customWidth="1"/>
    <col min="6917" max="6917" width="11.42578125" style="1"/>
    <col min="6918" max="6918" width="17.85546875" style="1" customWidth="1"/>
    <col min="6919" max="6919" width="21.85546875" style="1" customWidth="1"/>
    <col min="6920" max="6920" width="23.85546875" style="1" customWidth="1"/>
    <col min="6921" max="6921" width="14.42578125" style="1" customWidth="1"/>
    <col min="6922" max="6922" width="15.7109375" style="1" customWidth="1"/>
    <col min="6923" max="6923" width="20.42578125" style="1" customWidth="1"/>
    <col min="6924" max="6925" width="11.42578125" style="1"/>
    <col min="6926" max="6926" width="14.7109375" style="1" customWidth="1"/>
    <col min="6927" max="6928" width="11.42578125" style="1"/>
    <col min="6929" max="6929" width="93.85546875" style="1" customWidth="1"/>
    <col min="6930" max="6930" width="76.28515625" style="1" customWidth="1"/>
    <col min="6931" max="7168" width="11.42578125" style="1"/>
    <col min="7169" max="7169" width="16.28515625" style="1" customWidth="1"/>
    <col min="7170" max="7170" width="17" style="1" customWidth="1"/>
    <col min="7171" max="7171" width="17.42578125" style="1" customWidth="1"/>
    <col min="7172" max="7172" width="14.140625" style="1" customWidth="1"/>
    <col min="7173" max="7173" width="11.42578125" style="1"/>
    <col min="7174" max="7174" width="17.85546875" style="1" customWidth="1"/>
    <col min="7175" max="7175" width="21.85546875" style="1" customWidth="1"/>
    <col min="7176" max="7176" width="23.85546875" style="1" customWidth="1"/>
    <col min="7177" max="7177" width="14.42578125" style="1" customWidth="1"/>
    <col min="7178" max="7178" width="15.7109375" style="1" customWidth="1"/>
    <col min="7179" max="7179" width="20.42578125" style="1" customWidth="1"/>
    <col min="7180" max="7181" width="11.42578125" style="1"/>
    <col min="7182" max="7182" width="14.7109375" style="1" customWidth="1"/>
    <col min="7183" max="7184" width="11.42578125" style="1"/>
    <col min="7185" max="7185" width="93.85546875" style="1" customWidth="1"/>
    <col min="7186" max="7186" width="76.28515625" style="1" customWidth="1"/>
    <col min="7187" max="7424" width="11.42578125" style="1"/>
    <col min="7425" max="7425" width="16.28515625" style="1" customWidth="1"/>
    <col min="7426" max="7426" width="17" style="1" customWidth="1"/>
    <col min="7427" max="7427" width="17.42578125" style="1" customWidth="1"/>
    <col min="7428" max="7428" width="14.140625" style="1" customWidth="1"/>
    <col min="7429" max="7429" width="11.42578125" style="1"/>
    <col min="7430" max="7430" width="17.85546875" style="1" customWidth="1"/>
    <col min="7431" max="7431" width="21.85546875" style="1" customWidth="1"/>
    <col min="7432" max="7432" width="23.85546875" style="1" customWidth="1"/>
    <col min="7433" max="7433" width="14.42578125" style="1" customWidth="1"/>
    <col min="7434" max="7434" width="15.7109375" style="1" customWidth="1"/>
    <col min="7435" max="7435" width="20.42578125" style="1" customWidth="1"/>
    <col min="7436" max="7437" width="11.42578125" style="1"/>
    <col min="7438" max="7438" width="14.7109375" style="1" customWidth="1"/>
    <col min="7439" max="7440" width="11.42578125" style="1"/>
    <col min="7441" max="7441" width="93.85546875" style="1" customWidth="1"/>
    <col min="7442" max="7442" width="76.28515625" style="1" customWidth="1"/>
    <col min="7443" max="7680" width="11.42578125" style="1"/>
    <col min="7681" max="7681" width="16.28515625" style="1" customWidth="1"/>
    <col min="7682" max="7682" width="17" style="1" customWidth="1"/>
    <col min="7683" max="7683" width="17.42578125" style="1" customWidth="1"/>
    <col min="7684" max="7684" width="14.140625" style="1" customWidth="1"/>
    <col min="7685" max="7685" width="11.42578125" style="1"/>
    <col min="7686" max="7686" width="17.85546875" style="1" customWidth="1"/>
    <col min="7687" max="7687" width="21.85546875" style="1" customWidth="1"/>
    <col min="7688" max="7688" width="23.85546875" style="1" customWidth="1"/>
    <col min="7689" max="7689" width="14.42578125" style="1" customWidth="1"/>
    <col min="7690" max="7690" width="15.7109375" style="1" customWidth="1"/>
    <col min="7691" max="7691" width="20.42578125" style="1" customWidth="1"/>
    <col min="7692" max="7693" width="11.42578125" style="1"/>
    <col min="7694" max="7694" width="14.7109375" style="1" customWidth="1"/>
    <col min="7695" max="7696" width="11.42578125" style="1"/>
    <col min="7697" max="7697" width="93.85546875" style="1" customWidth="1"/>
    <col min="7698" max="7698" width="76.28515625" style="1" customWidth="1"/>
    <col min="7699" max="7936" width="11.42578125" style="1"/>
    <col min="7937" max="7937" width="16.28515625" style="1" customWidth="1"/>
    <col min="7938" max="7938" width="17" style="1" customWidth="1"/>
    <col min="7939" max="7939" width="17.42578125" style="1" customWidth="1"/>
    <col min="7940" max="7940" width="14.140625" style="1" customWidth="1"/>
    <col min="7941" max="7941" width="11.42578125" style="1"/>
    <col min="7942" max="7942" width="17.85546875" style="1" customWidth="1"/>
    <col min="7943" max="7943" width="21.85546875" style="1" customWidth="1"/>
    <col min="7944" max="7944" width="23.85546875" style="1" customWidth="1"/>
    <col min="7945" max="7945" width="14.42578125" style="1" customWidth="1"/>
    <col min="7946" max="7946" width="15.7109375" style="1" customWidth="1"/>
    <col min="7947" max="7947" width="20.42578125" style="1" customWidth="1"/>
    <col min="7948" max="7949" width="11.42578125" style="1"/>
    <col min="7950" max="7950" width="14.7109375" style="1" customWidth="1"/>
    <col min="7951" max="7952" width="11.42578125" style="1"/>
    <col min="7953" max="7953" width="93.85546875" style="1" customWidth="1"/>
    <col min="7954" max="7954" width="76.28515625" style="1" customWidth="1"/>
    <col min="7955" max="8192" width="11.42578125" style="1"/>
    <col min="8193" max="8193" width="16.28515625" style="1" customWidth="1"/>
    <col min="8194" max="8194" width="17" style="1" customWidth="1"/>
    <col min="8195" max="8195" width="17.42578125" style="1" customWidth="1"/>
    <col min="8196" max="8196" width="14.140625" style="1" customWidth="1"/>
    <col min="8197" max="8197" width="11.42578125" style="1"/>
    <col min="8198" max="8198" width="17.85546875" style="1" customWidth="1"/>
    <col min="8199" max="8199" width="21.85546875" style="1" customWidth="1"/>
    <col min="8200" max="8200" width="23.85546875" style="1" customWidth="1"/>
    <col min="8201" max="8201" width="14.42578125" style="1" customWidth="1"/>
    <col min="8202" max="8202" width="15.7109375" style="1" customWidth="1"/>
    <col min="8203" max="8203" width="20.42578125" style="1" customWidth="1"/>
    <col min="8204" max="8205" width="11.42578125" style="1"/>
    <col min="8206" max="8206" width="14.7109375" style="1" customWidth="1"/>
    <col min="8207" max="8208" width="11.42578125" style="1"/>
    <col min="8209" max="8209" width="93.85546875" style="1" customWidth="1"/>
    <col min="8210" max="8210" width="76.28515625" style="1" customWidth="1"/>
    <col min="8211" max="8448" width="11.42578125" style="1"/>
    <col min="8449" max="8449" width="16.28515625" style="1" customWidth="1"/>
    <col min="8450" max="8450" width="17" style="1" customWidth="1"/>
    <col min="8451" max="8451" width="17.42578125" style="1" customWidth="1"/>
    <col min="8452" max="8452" width="14.140625" style="1" customWidth="1"/>
    <col min="8453" max="8453" width="11.42578125" style="1"/>
    <col min="8454" max="8454" width="17.85546875" style="1" customWidth="1"/>
    <col min="8455" max="8455" width="21.85546875" style="1" customWidth="1"/>
    <col min="8456" max="8456" width="23.85546875" style="1" customWidth="1"/>
    <col min="8457" max="8457" width="14.42578125" style="1" customWidth="1"/>
    <col min="8458" max="8458" width="15.7109375" style="1" customWidth="1"/>
    <col min="8459" max="8459" width="20.42578125" style="1" customWidth="1"/>
    <col min="8460" max="8461" width="11.42578125" style="1"/>
    <col min="8462" max="8462" width="14.7109375" style="1" customWidth="1"/>
    <col min="8463" max="8464" width="11.42578125" style="1"/>
    <col min="8465" max="8465" width="93.85546875" style="1" customWidth="1"/>
    <col min="8466" max="8466" width="76.28515625" style="1" customWidth="1"/>
    <col min="8467" max="8704" width="11.42578125" style="1"/>
    <col min="8705" max="8705" width="16.28515625" style="1" customWidth="1"/>
    <col min="8706" max="8706" width="17" style="1" customWidth="1"/>
    <col min="8707" max="8707" width="17.42578125" style="1" customWidth="1"/>
    <col min="8708" max="8708" width="14.140625" style="1" customWidth="1"/>
    <col min="8709" max="8709" width="11.42578125" style="1"/>
    <col min="8710" max="8710" width="17.85546875" style="1" customWidth="1"/>
    <col min="8711" max="8711" width="21.85546875" style="1" customWidth="1"/>
    <col min="8712" max="8712" width="23.85546875" style="1" customWidth="1"/>
    <col min="8713" max="8713" width="14.42578125" style="1" customWidth="1"/>
    <col min="8714" max="8714" width="15.7109375" style="1" customWidth="1"/>
    <col min="8715" max="8715" width="20.42578125" style="1" customWidth="1"/>
    <col min="8716" max="8717" width="11.42578125" style="1"/>
    <col min="8718" max="8718" width="14.7109375" style="1" customWidth="1"/>
    <col min="8719" max="8720" width="11.42578125" style="1"/>
    <col min="8721" max="8721" width="93.85546875" style="1" customWidth="1"/>
    <col min="8722" max="8722" width="76.28515625" style="1" customWidth="1"/>
    <col min="8723" max="8960" width="11.42578125" style="1"/>
    <col min="8961" max="8961" width="16.28515625" style="1" customWidth="1"/>
    <col min="8962" max="8962" width="17" style="1" customWidth="1"/>
    <col min="8963" max="8963" width="17.42578125" style="1" customWidth="1"/>
    <col min="8964" max="8964" width="14.140625" style="1" customWidth="1"/>
    <col min="8965" max="8965" width="11.42578125" style="1"/>
    <col min="8966" max="8966" width="17.85546875" style="1" customWidth="1"/>
    <col min="8967" max="8967" width="21.85546875" style="1" customWidth="1"/>
    <col min="8968" max="8968" width="23.85546875" style="1" customWidth="1"/>
    <col min="8969" max="8969" width="14.42578125" style="1" customWidth="1"/>
    <col min="8970" max="8970" width="15.7109375" style="1" customWidth="1"/>
    <col min="8971" max="8971" width="20.42578125" style="1" customWidth="1"/>
    <col min="8972" max="8973" width="11.42578125" style="1"/>
    <col min="8974" max="8974" width="14.7109375" style="1" customWidth="1"/>
    <col min="8975" max="8976" width="11.42578125" style="1"/>
    <col min="8977" max="8977" width="93.85546875" style="1" customWidth="1"/>
    <col min="8978" max="8978" width="76.28515625" style="1" customWidth="1"/>
    <col min="8979" max="9216" width="11.42578125" style="1"/>
    <col min="9217" max="9217" width="16.28515625" style="1" customWidth="1"/>
    <col min="9218" max="9218" width="17" style="1" customWidth="1"/>
    <col min="9219" max="9219" width="17.42578125" style="1" customWidth="1"/>
    <col min="9220" max="9220" width="14.140625" style="1" customWidth="1"/>
    <col min="9221" max="9221" width="11.42578125" style="1"/>
    <col min="9222" max="9222" width="17.85546875" style="1" customWidth="1"/>
    <col min="9223" max="9223" width="21.85546875" style="1" customWidth="1"/>
    <col min="9224" max="9224" width="23.85546875" style="1" customWidth="1"/>
    <col min="9225" max="9225" width="14.42578125" style="1" customWidth="1"/>
    <col min="9226" max="9226" width="15.7109375" style="1" customWidth="1"/>
    <col min="9227" max="9227" width="20.42578125" style="1" customWidth="1"/>
    <col min="9228" max="9229" width="11.42578125" style="1"/>
    <col min="9230" max="9230" width="14.7109375" style="1" customWidth="1"/>
    <col min="9231" max="9232" width="11.42578125" style="1"/>
    <col min="9233" max="9233" width="93.85546875" style="1" customWidth="1"/>
    <col min="9234" max="9234" width="76.28515625" style="1" customWidth="1"/>
    <col min="9235" max="9472" width="11.42578125" style="1"/>
    <col min="9473" max="9473" width="16.28515625" style="1" customWidth="1"/>
    <col min="9474" max="9474" width="17" style="1" customWidth="1"/>
    <col min="9475" max="9475" width="17.42578125" style="1" customWidth="1"/>
    <col min="9476" max="9476" width="14.140625" style="1" customWidth="1"/>
    <col min="9477" max="9477" width="11.42578125" style="1"/>
    <col min="9478" max="9478" width="17.85546875" style="1" customWidth="1"/>
    <col min="9479" max="9479" width="21.85546875" style="1" customWidth="1"/>
    <col min="9480" max="9480" width="23.85546875" style="1" customWidth="1"/>
    <col min="9481" max="9481" width="14.42578125" style="1" customWidth="1"/>
    <col min="9482" max="9482" width="15.7109375" style="1" customWidth="1"/>
    <col min="9483" max="9483" width="20.42578125" style="1" customWidth="1"/>
    <col min="9484" max="9485" width="11.42578125" style="1"/>
    <col min="9486" max="9486" width="14.7109375" style="1" customWidth="1"/>
    <col min="9487" max="9488" width="11.42578125" style="1"/>
    <col min="9489" max="9489" width="93.85546875" style="1" customWidth="1"/>
    <col min="9490" max="9490" width="76.28515625" style="1" customWidth="1"/>
    <col min="9491" max="9728" width="11.42578125" style="1"/>
    <col min="9729" max="9729" width="16.28515625" style="1" customWidth="1"/>
    <col min="9730" max="9730" width="17" style="1" customWidth="1"/>
    <col min="9731" max="9731" width="17.42578125" style="1" customWidth="1"/>
    <col min="9732" max="9732" width="14.140625" style="1" customWidth="1"/>
    <col min="9733" max="9733" width="11.42578125" style="1"/>
    <col min="9734" max="9734" width="17.85546875" style="1" customWidth="1"/>
    <col min="9735" max="9735" width="21.85546875" style="1" customWidth="1"/>
    <col min="9736" max="9736" width="23.85546875" style="1" customWidth="1"/>
    <col min="9737" max="9737" width="14.42578125" style="1" customWidth="1"/>
    <col min="9738" max="9738" width="15.7109375" style="1" customWidth="1"/>
    <col min="9739" max="9739" width="20.42578125" style="1" customWidth="1"/>
    <col min="9740" max="9741" width="11.42578125" style="1"/>
    <col min="9742" max="9742" width="14.7109375" style="1" customWidth="1"/>
    <col min="9743" max="9744" width="11.42578125" style="1"/>
    <col min="9745" max="9745" width="93.85546875" style="1" customWidth="1"/>
    <col min="9746" max="9746" width="76.28515625" style="1" customWidth="1"/>
    <col min="9747" max="9984" width="11.42578125" style="1"/>
    <col min="9985" max="9985" width="16.28515625" style="1" customWidth="1"/>
    <col min="9986" max="9986" width="17" style="1" customWidth="1"/>
    <col min="9987" max="9987" width="17.42578125" style="1" customWidth="1"/>
    <col min="9988" max="9988" width="14.140625" style="1" customWidth="1"/>
    <col min="9989" max="9989" width="11.42578125" style="1"/>
    <col min="9990" max="9990" width="17.85546875" style="1" customWidth="1"/>
    <col min="9991" max="9991" width="21.85546875" style="1" customWidth="1"/>
    <col min="9992" max="9992" width="23.85546875" style="1" customWidth="1"/>
    <col min="9993" max="9993" width="14.42578125" style="1" customWidth="1"/>
    <col min="9994" max="9994" width="15.7109375" style="1" customWidth="1"/>
    <col min="9995" max="9995" width="20.42578125" style="1" customWidth="1"/>
    <col min="9996" max="9997" width="11.42578125" style="1"/>
    <col min="9998" max="9998" width="14.7109375" style="1" customWidth="1"/>
    <col min="9999" max="10000" width="11.42578125" style="1"/>
    <col min="10001" max="10001" width="93.85546875" style="1" customWidth="1"/>
    <col min="10002" max="10002" width="76.28515625" style="1" customWidth="1"/>
    <col min="10003" max="10240" width="11.42578125" style="1"/>
    <col min="10241" max="10241" width="16.28515625" style="1" customWidth="1"/>
    <col min="10242" max="10242" width="17" style="1" customWidth="1"/>
    <col min="10243" max="10243" width="17.42578125" style="1" customWidth="1"/>
    <col min="10244" max="10244" width="14.140625" style="1" customWidth="1"/>
    <col min="10245" max="10245" width="11.42578125" style="1"/>
    <col min="10246" max="10246" width="17.85546875" style="1" customWidth="1"/>
    <col min="10247" max="10247" width="21.85546875" style="1" customWidth="1"/>
    <col min="10248" max="10248" width="23.85546875" style="1" customWidth="1"/>
    <col min="10249" max="10249" width="14.42578125" style="1" customWidth="1"/>
    <col min="10250" max="10250" width="15.7109375" style="1" customWidth="1"/>
    <col min="10251" max="10251" width="20.42578125" style="1" customWidth="1"/>
    <col min="10252" max="10253" width="11.42578125" style="1"/>
    <col min="10254" max="10254" width="14.7109375" style="1" customWidth="1"/>
    <col min="10255" max="10256" width="11.42578125" style="1"/>
    <col min="10257" max="10257" width="93.85546875" style="1" customWidth="1"/>
    <col min="10258" max="10258" width="76.28515625" style="1" customWidth="1"/>
    <col min="10259" max="10496" width="11.42578125" style="1"/>
    <col min="10497" max="10497" width="16.28515625" style="1" customWidth="1"/>
    <col min="10498" max="10498" width="17" style="1" customWidth="1"/>
    <col min="10499" max="10499" width="17.42578125" style="1" customWidth="1"/>
    <col min="10500" max="10500" width="14.140625" style="1" customWidth="1"/>
    <col min="10501" max="10501" width="11.42578125" style="1"/>
    <col min="10502" max="10502" width="17.85546875" style="1" customWidth="1"/>
    <col min="10503" max="10503" width="21.85546875" style="1" customWidth="1"/>
    <col min="10504" max="10504" width="23.85546875" style="1" customWidth="1"/>
    <col min="10505" max="10505" width="14.42578125" style="1" customWidth="1"/>
    <col min="10506" max="10506" width="15.7109375" style="1" customWidth="1"/>
    <col min="10507" max="10507" width="20.42578125" style="1" customWidth="1"/>
    <col min="10508" max="10509" width="11.42578125" style="1"/>
    <col min="10510" max="10510" width="14.7109375" style="1" customWidth="1"/>
    <col min="10511" max="10512" width="11.42578125" style="1"/>
    <col min="10513" max="10513" width="93.85546875" style="1" customWidth="1"/>
    <col min="10514" max="10514" width="76.28515625" style="1" customWidth="1"/>
    <col min="10515" max="10752" width="11.42578125" style="1"/>
    <col min="10753" max="10753" width="16.28515625" style="1" customWidth="1"/>
    <col min="10754" max="10754" width="17" style="1" customWidth="1"/>
    <col min="10755" max="10755" width="17.42578125" style="1" customWidth="1"/>
    <col min="10756" max="10756" width="14.140625" style="1" customWidth="1"/>
    <col min="10757" max="10757" width="11.42578125" style="1"/>
    <col min="10758" max="10758" width="17.85546875" style="1" customWidth="1"/>
    <col min="10759" max="10759" width="21.85546875" style="1" customWidth="1"/>
    <col min="10760" max="10760" width="23.85546875" style="1" customWidth="1"/>
    <col min="10761" max="10761" width="14.42578125" style="1" customWidth="1"/>
    <col min="10762" max="10762" width="15.7109375" style="1" customWidth="1"/>
    <col min="10763" max="10763" width="20.42578125" style="1" customWidth="1"/>
    <col min="10764" max="10765" width="11.42578125" style="1"/>
    <col min="10766" max="10766" width="14.7109375" style="1" customWidth="1"/>
    <col min="10767" max="10768" width="11.42578125" style="1"/>
    <col min="10769" max="10769" width="93.85546875" style="1" customWidth="1"/>
    <col min="10770" max="10770" width="76.28515625" style="1" customWidth="1"/>
    <col min="10771" max="11008" width="11.42578125" style="1"/>
    <col min="11009" max="11009" width="16.28515625" style="1" customWidth="1"/>
    <col min="11010" max="11010" width="17" style="1" customWidth="1"/>
    <col min="11011" max="11011" width="17.42578125" style="1" customWidth="1"/>
    <col min="11012" max="11012" width="14.140625" style="1" customWidth="1"/>
    <col min="11013" max="11013" width="11.42578125" style="1"/>
    <col min="11014" max="11014" width="17.85546875" style="1" customWidth="1"/>
    <col min="11015" max="11015" width="21.85546875" style="1" customWidth="1"/>
    <col min="11016" max="11016" width="23.85546875" style="1" customWidth="1"/>
    <col min="11017" max="11017" width="14.42578125" style="1" customWidth="1"/>
    <col min="11018" max="11018" width="15.7109375" style="1" customWidth="1"/>
    <col min="11019" max="11019" width="20.42578125" style="1" customWidth="1"/>
    <col min="11020" max="11021" width="11.42578125" style="1"/>
    <col min="11022" max="11022" width="14.7109375" style="1" customWidth="1"/>
    <col min="11023" max="11024" width="11.42578125" style="1"/>
    <col min="11025" max="11025" width="93.85546875" style="1" customWidth="1"/>
    <col min="11026" max="11026" width="76.28515625" style="1" customWidth="1"/>
    <col min="11027" max="11264" width="11.42578125" style="1"/>
    <col min="11265" max="11265" width="16.28515625" style="1" customWidth="1"/>
    <col min="11266" max="11266" width="17" style="1" customWidth="1"/>
    <col min="11267" max="11267" width="17.42578125" style="1" customWidth="1"/>
    <col min="11268" max="11268" width="14.140625" style="1" customWidth="1"/>
    <col min="11269" max="11269" width="11.42578125" style="1"/>
    <col min="11270" max="11270" width="17.85546875" style="1" customWidth="1"/>
    <col min="11271" max="11271" width="21.85546875" style="1" customWidth="1"/>
    <col min="11272" max="11272" width="23.85546875" style="1" customWidth="1"/>
    <col min="11273" max="11273" width="14.42578125" style="1" customWidth="1"/>
    <col min="11274" max="11274" width="15.7109375" style="1" customWidth="1"/>
    <col min="11275" max="11275" width="20.42578125" style="1" customWidth="1"/>
    <col min="11276" max="11277" width="11.42578125" style="1"/>
    <col min="11278" max="11278" width="14.7109375" style="1" customWidth="1"/>
    <col min="11279" max="11280" width="11.42578125" style="1"/>
    <col min="11281" max="11281" width="93.85546875" style="1" customWidth="1"/>
    <col min="11282" max="11282" width="76.28515625" style="1" customWidth="1"/>
    <col min="11283" max="11520" width="11.42578125" style="1"/>
    <col min="11521" max="11521" width="16.28515625" style="1" customWidth="1"/>
    <col min="11522" max="11522" width="17" style="1" customWidth="1"/>
    <col min="11523" max="11523" width="17.42578125" style="1" customWidth="1"/>
    <col min="11524" max="11524" width="14.140625" style="1" customWidth="1"/>
    <col min="11525" max="11525" width="11.42578125" style="1"/>
    <col min="11526" max="11526" width="17.85546875" style="1" customWidth="1"/>
    <col min="11527" max="11527" width="21.85546875" style="1" customWidth="1"/>
    <col min="11528" max="11528" width="23.85546875" style="1" customWidth="1"/>
    <col min="11529" max="11529" width="14.42578125" style="1" customWidth="1"/>
    <col min="11530" max="11530" width="15.7109375" style="1" customWidth="1"/>
    <col min="11531" max="11531" width="20.42578125" style="1" customWidth="1"/>
    <col min="11532" max="11533" width="11.42578125" style="1"/>
    <col min="11534" max="11534" width="14.7109375" style="1" customWidth="1"/>
    <col min="11535" max="11536" width="11.42578125" style="1"/>
    <col min="11537" max="11537" width="93.85546875" style="1" customWidth="1"/>
    <col min="11538" max="11538" width="76.28515625" style="1" customWidth="1"/>
    <col min="11539" max="11776" width="11.42578125" style="1"/>
    <col min="11777" max="11777" width="16.28515625" style="1" customWidth="1"/>
    <col min="11778" max="11778" width="17" style="1" customWidth="1"/>
    <col min="11779" max="11779" width="17.42578125" style="1" customWidth="1"/>
    <col min="11780" max="11780" width="14.140625" style="1" customWidth="1"/>
    <col min="11781" max="11781" width="11.42578125" style="1"/>
    <col min="11782" max="11782" width="17.85546875" style="1" customWidth="1"/>
    <col min="11783" max="11783" width="21.85546875" style="1" customWidth="1"/>
    <col min="11784" max="11784" width="23.85546875" style="1" customWidth="1"/>
    <col min="11785" max="11785" width="14.42578125" style="1" customWidth="1"/>
    <col min="11786" max="11786" width="15.7109375" style="1" customWidth="1"/>
    <col min="11787" max="11787" width="20.42578125" style="1" customWidth="1"/>
    <col min="11788" max="11789" width="11.42578125" style="1"/>
    <col min="11790" max="11790" width="14.7109375" style="1" customWidth="1"/>
    <col min="11791" max="11792" width="11.42578125" style="1"/>
    <col min="11793" max="11793" width="93.85546875" style="1" customWidth="1"/>
    <col min="11794" max="11794" width="76.28515625" style="1" customWidth="1"/>
    <col min="11795" max="12032" width="11.42578125" style="1"/>
    <col min="12033" max="12033" width="16.28515625" style="1" customWidth="1"/>
    <col min="12034" max="12034" width="17" style="1" customWidth="1"/>
    <col min="12035" max="12035" width="17.42578125" style="1" customWidth="1"/>
    <col min="12036" max="12036" width="14.140625" style="1" customWidth="1"/>
    <col min="12037" max="12037" width="11.42578125" style="1"/>
    <col min="12038" max="12038" width="17.85546875" style="1" customWidth="1"/>
    <col min="12039" max="12039" width="21.85546875" style="1" customWidth="1"/>
    <col min="12040" max="12040" width="23.85546875" style="1" customWidth="1"/>
    <col min="12041" max="12041" width="14.42578125" style="1" customWidth="1"/>
    <col min="12042" max="12042" width="15.7109375" style="1" customWidth="1"/>
    <col min="12043" max="12043" width="20.42578125" style="1" customWidth="1"/>
    <col min="12044" max="12045" width="11.42578125" style="1"/>
    <col min="12046" max="12046" width="14.7109375" style="1" customWidth="1"/>
    <col min="12047" max="12048" width="11.42578125" style="1"/>
    <col min="12049" max="12049" width="93.85546875" style="1" customWidth="1"/>
    <col min="12050" max="12050" width="76.28515625" style="1" customWidth="1"/>
    <col min="12051" max="12288" width="11.42578125" style="1"/>
    <col min="12289" max="12289" width="16.28515625" style="1" customWidth="1"/>
    <col min="12290" max="12290" width="17" style="1" customWidth="1"/>
    <col min="12291" max="12291" width="17.42578125" style="1" customWidth="1"/>
    <col min="12292" max="12292" width="14.140625" style="1" customWidth="1"/>
    <col min="12293" max="12293" width="11.42578125" style="1"/>
    <col min="12294" max="12294" width="17.85546875" style="1" customWidth="1"/>
    <col min="12295" max="12295" width="21.85546875" style="1" customWidth="1"/>
    <col min="12296" max="12296" width="23.85546875" style="1" customWidth="1"/>
    <col min="12297" max="12297" width="14.42578125" style="1" customWidth="1"/>
    <col min="12298" max="12298" width="15.7109375" style="1" customWidth="1"/>
    <col min="12299" max="12299" width="20.42578125" style="1" customWidth="1"/>
    <col min="12300" max="12301" width="11.42578125" style="1"/>
    <col min="12302" max="12302" width="14.7109375" style="1" customWidth="1"/>
    <col min="12303" max="12304" width="11.42578125" style="1"/>
    <col min="12305" max="12305" width="93.85546875" style="1" customWidth="1"/>
    <col min="12306" max="12306" width="76.28515625" style="1" customWidth="1"/>
    <col min="12307" max="12544" width="11.42578125" style="1"/>
    <col min="12545" max="12545" width="16.28515625" style="1" customWidth="1"/>
    <col min="12546" max="12546" width="17" style="1" customWidth="1"/>
    <col min="12547" max="12547" width="17.42578125" style="1" customWidth="1"/>
    <col min="12548" max="12548" width="14.140625" style="1" customWidth="1"/>
    <col min="12549" max="12549" width="11.42578125" style="1"/>
    <col min="12550" max="12550" width="17.85546875" style="1" customWidth="1"/>
    <col min="12551" max="12551" width="21.85546875" style="1" customWidth="1"/>
    <col min="12552" max="12552" width="23.85546875" style="1" customWidth="1"/>
    <col min="12553" max="12553" width="14.42578125" style="1" customWidth="1"/>
    <col min="12554" max="12554" width="15.7109375" style="1" customWidth="1"/>
    <col min="12555" max="12555" width="20.42578125" style="1" customWidth="1"/>
    <col min="12556" max="12557" width="11.42578125" style="1"/>
    <col min="12558" max="12558" width="14.7109375" style="1" customWidth="1"/>
    <col min="12559" max="12560" width="11.42578125" style="1"/>
    <col min="12561" max="12561" width="93.85546875" style="1" customWidth="1"/>
    <col min="12562" max="12562" width="76.28515625" style="1" customWidth="1"/>
    <col min="12563" max="12800" width="11.42578125" style="1"/>
    <col min="12801" max="12801" width="16.28515625" style="1" customWidth="1"/>
    <col min="12802" max="12802" width="17" style="1" customWidth="1"/>
    <col min="12803" max="12803" width="17.42578125" style="1" customWidth="1"/>
    <col min="12804" max="12804" width="14.140625" style="1" customWidth="1"/>
    <col min="12805" max="12805" width="11.42578125" style="1"/>
    <col min="12806" max="12806" width="17.85546875" style="1" customWidth="1"/>
    <col min="12807" max="12807" width="21.85546875" style="1" customWidth="1"/>
    <col min="12808" max="12808" width="23.85546875" style="1" customWidth="1"/>
    <col min="12809" max="12809" width="14.42578125" style="1" customWidth="1"/>
    <col min="12810" max="12810" width="15.7109375" style="1" customWidth="1"/>
    <col min="12811" max="12811" width="20.42578125" style="1" customWidth="1"/>
    <col min="12812" max="12813" width="11.42578125" style="1"/>
    <col min="12814" max="12814" width="14.7109375" style="1" customWidth="1"/>
    <col min="12815" max="12816" width="11.42578125" style="1"/>
    <col min="12817" max="12817" width="93.85546875" style="1" customWidth="1"/>
    <col min="12818" max="12818" width="76.28515625" style="1" customWidth="1"/>
    <col min="12819" max="13056" width="11.42578125" style="1"/>
    <col min="13057" max="13057" width="16.28515625" style="1" customWidth="1"/>
    <col min="13058" max="13058" width="17" style="1" customWidth="1"/>
    <col min="13059" max="13059" width="17.42578125" style="1" customWidth="1"/>
    <col min="13060" max="13060" width="14.140625" style="1" customWidth="1"/>
    <col min="13061" max="13061" width="11.42578125" style="1"/>
    <col min="13062" max="13062" width="17.85546875" style="1" customWidth="1"/>
    <col min="13063" max="13063" width="21.85546875" style="1" customWidth="1"/>
    <col min="13064" max="13064" width="23.85546875" style="1" customWidth="1"/>
    <col min="13065" max="13065" width="14.42578125" style="1" customWidth="1"/>
    <col min="13066" max="13066" width="15.7109375" style="1" customWidth="1"/>
    <col min="13067" max="13067" width="20.42578125" style="1" customWidth="1"/>
    <col min="13068" max="13069" width="11.42578125" style="1"/>
    <col min="13070" max="13070" width="14.7109375" style="1" customWidth="1"/>
    <col min="13071" max="13072" width="11.42578125" style="1"/>
    <col min="13073" max="13073" width="93.85546875" style="1" customWidth="1"/>
    <col min="13074" max="13074" width="76.28515625" style="1" customWidth="1"/>
    <col min="13075" max="13312" width="11.42578125" style="1"/>
    <col min="13313" max="13313" width="16.28515625" style="1" customWidth="1"/>
    <col min="13314" max="13314" width="17" style="1" customWidth="1"/>
    <col min="13315" max="13315" width="17.42578125" style="1" customWidth="1"/>
    <col min="13316" max="13316" width="14.140625" style="1" customWidth="1"/>
    <col min="13317" max="13317" width="11.42578125" style="1"/>
    <col min="13318" max="13318" width="17.85546875" style="1" customWidth="1"/>
    <col min="13319" max="13319" width="21.85546875" style="1" customWidth="1"/>
    <col min="13320" max="13320" width="23.85546875" style="1" customWidth="1"/>
    <col min="13321" max="13321" width="14.42578125" style="1" customWidth="1"/>
    <col min="13322" max="13322" width="15.7109375" style="1" customWidth="1"/>
    <col min="13323" max="13323" width="20.42578125" style="1" customWidth="1"/>
    <col min="13324" max="13325" width="11.42578125" style="1"/>
    <col min="13326" max="13326" width="14.7109375" style="1" customWidth="1"/>
    <col min="13327" max="13328" width="11.42578125" style="1"/>
    <col min="13329" max="13329" width="93.85546875" style="1" customWidth="1"/>
    <col min="13330" max="13330" width="76.28515625" style="1" customWidth="1"/>
    <col min="13331" max="13568" width="11.42578125" style="1"/>
    <col min="13569" max="13569" width="16.28515625" style="1" customWidth="1"/>
    <col min="13570" max="13570" width="17" style="1" customWidth="1"/>
    <col min="13571" max="13571" width="17.42578125" style="1" customWidth="1"/>
    <col min="13572" max="13572" width="14.140625" style="1" customWidth="1"/>
    <col min="13573" max="13573" width="11.42578125" style="1"/>
    <col min="13574" max="13574" width="17.85546875" style="1" customWidth="1"/>
    <col min="13575" max="13575" width="21.85546875" style="1" customWidth="1"/>
    <col min="13576" max="13576" width="23.85546875" style="1" customWidth="1"/>
    <col min="13577" max="13577" width="14.42578125" style="1" customWidth="1"/>
    <col min="13578" max="13578" width="15.7109375" style="1" customWidth="1"/>
    <col min="13579" max="13579" width="20.42578125" style="1" customWidth="1"/>
    <col min="13580" max="13581" width="11.42578125" style="1"/>
    <col min="13582" max="13582" width="14.7109375" style="1" customWidth="1"/>
    <col min="13583" max="13584" width="11.42578125" style="1"/>
    <col min="13585" max="13585" width="93.85546875" style="1" customWidth="1"/>
    <col min="13586" max="13586" width="76.28515625" style="1" customWidth="1"/>
    <col min="13587" max="13824" width="11.42578125" style="1"/>
    <col min="13825" max="13825" width="16.28515625" style="1" customWidth="1"/>
    <col min="13826" max="13826" width="17" style="1" customWidth="1"/>
    <col min="13827" max="13827" width="17.42578125" style="1" customWidth="1"/>
    <col min="13828" max="13828" width="14.140625" style="1" customWidth="1"/>
    <col min="13829" max="13829" width="11.42578125" style="1"/>
    <col min="13830" max="13830" width="17.85546875" style="1" customWidth="1"/>
    <col min="13831" max="13831" width="21.85546875" style="1" customWidth="1"/>
    <col min="13832" max="13832" width="23.85546875" style="1" customWidth="1"/>
    <col min="13833" max="13833" width="14.42578125" style="1" customWidth="1"/>
    <col min="13834" max="13834" width="15.7109375" style="1" customWidth="1"/>
    <col min="13835" max="13835" width="20.42578125" style="1" customWidth="1"/>
    <col min="13836" max="13837" width="11.42578125" style="1"/>
    <col min="13838" max="13838" width="14.7109375" style="1" customWidth="1"/>
    <col min="13839" max="13840" width="11.42578125" style="1"/>
    <col min="13841" max="13841" width="93.85546875" style="1" customWidth="1"/>
    <col min="13842" max="13842" width="76.28515625" style="1" customWidth="1"/>
    <col min="13843" max="14080" width="11.42578125" style="1"/>
    <col min="14081" max="14081" width="16.28515625" style="1" customWidth="1"/>
    <col min="14082" max="14082" width="17" style="1" customWidth="1"/>
    <col min="14083" max="14083" width="17.42578125" style="1" customWidth="1"/>
    <col min="14084" max="14084" width="14.140625" style="1" customWidth="1"/>
    <col min="14085" max="14085" width="11.42578125" style="1"/>
    <col min="14086" max="14086" width="17.85546875" style="1" customWidth="1"/>
    <col min="14087" max="14087" width="21.85546875" style="1" customWidth="1"/>
    <col min="14088" max="14088" width="23.85546875" style="1" customWidth="1"/>
    <col min="14089" max="14089" width="14.42578125" style="1" customWidth="1"/>
    <col min="14090" max="14090" width="15.7109375" style="1" customWidth="1"/>
    <col min="14091" max="14091" width="20.42578125" style="1" customWidth="1"/>
    <col min="14092" max="14093" width="11.42578125" style="1"/>
    <col min="14094" max="14094" width="14.7109375" style="1" customWidth="1"/>
    <col min="14095" max="14096" width="11.42578125" style="1"/>
    <col min="14097" max="14097" width="93.85546875" style="1" customWidth="1"/>
    <col min="14098" max="14098" width="76.28515625" style="1" customWidth="1"/>
    <col min="14099" max="14336" width="11.42578125" style="1"/>
    <col min="14337" max="14337" width="16.28515625" style="1" customWidth="1"/>
    <col min="14338" max="14338" width="17" style="1" customWidth="1"/>
    <col min="14339" max="14339" width="17.42578125" style="1" customWidth="1"/>
    <col min="14340" max="14340" width="14.140625" style="1" customWidth="1"/>
    <col min="14341" max="14341" width="11.42578125" style="1"/>
    <col min="14342" max="14342" width="17.85546875" style="1" customWidth="1"/>
    <col min="14343" max="14343" width="21.85546875" style="1" customWidth="1"/>
    <col min="14344" max="14344" width="23.85546875" style="1" customWidth="1"/>
    <col min="14345" max="14345" width="14.42578125" style="1" customWidth="1"/>
    <col min="14346" max="14346" width="15.7109375" style="1" customWidth="1"/>
    <col min="14347" max="14347" width="20.42578125" style="1" customWidth="1"/>
    <col min="14348" max="14349" width="11.42578125" style="1"/>
    <col min="14350" max="14350" width="14.7109375" style="1" customWidth="1"/>
    <col min="14351" max="14352" width="11.42578125" style="1"/>
    <col min="14353" max="14353" width="93.85546875" style="1" customWidth="1"/>
    <col min="14354" max="14354" width="76.28515625" style="1" customWidth="1"/>
    <col min="14355" max="14592" width="11.42578125" style="1"/>
    <col min="14593" max="14593" width="16.28515625" style="1" customWidth="1"/>
    <col min="14594" max="14594" width="17" style="1" customWidth="1"/>
    <col min="14595" max="14595" width="17.42578125" style="1" customWidth="1"/>
    <col min="14596" max="14596" width="14.140625" style="1" customWidth="1"/>
    <col min="14597" max="14597" width="11.42578125" style="1"/>
    <col min="14598" max="14598" width="17.85546875" style="1" customWidth="1"/>
    <col min="14599" max="14599" width="21.85546875" style="1" customWidth="1"/>
    <col min="14600" max="14600" width="23.85546875" style="1" customWidth="1"/>
    <col min="14601" max="14601" width="14.42578125" style="1" customWidth="1"/>
    <col min="14602" max="14602" width="15.7109375" style="1" customWidth="1"/>
    <col min="14603" max="14603" width="20.42578125" style="1" customWidth="1"/>
    <col min="14604" max="14605" width="11.42578125" style="1"/>
    <col min="14606" max="14606" width="14.7109375" style="1" customWidth="1"/>
    <col min="14607" max="14608" width="11.42578125" style="1"/>
    <col min="14609" max="14609" width="93.85546875" style="1" customWidth="1"/>
    <col min="14610" max="14610" width="76.28515625" style="1" customWidth="1"/>
    <col min="14611" max="14848" width="11.42578125" style="1"/>
    <col min="14849" max="14849" width="16.28515625" style="1" customWidth="1"/>
    <col min="14850" max="14850" width="17" style="1" customWidth="1"/>
    <col min="14851" max="14851" width="17.42578125" style="1" customWidth="1"/>
    <col min="14852" max="14852" width="14.140625" style="1" customWidth="1"/>
    <col min="14853" max="14853" width="11.42578125" style="1"/>
    <col min="14854" max="14854" width="17.85546875" style="1" customWidth="1"/>
    <col min="14855" max="14855" width="21.85546875" style="1" customWidth="1"/>
    <col min="14856" max="14856" width="23.85546875" style="1" customWidth="1"/>
    <col min="14857" max="14857" width="14.42578125" style="1" customWidth="1"/>
    <col min="14858" max="14858" width="15.7109375" style="1" customWidth="1"/>
    <col min="14859" max="14859" width="20.42578125" style="1" customWidth="1"/>
    <col min="14860" max="14861" width="11.42578125" style="1"/>
    <col min="14862" max="14862" width="14.7109375" style="1" customWidth="1"/>
    <col min="14863" max="14864" width="11.42578125" style="1"/>
    <col min="14865" max="14865" width="93.85546875" style="1" customWidth="1"/>
    <col min="14866" max="14866" width="76.28515625" style="1" customWidth="1"/>
    <col min="14867" max="15104" width="11.42578125" style="1"/>
    <col min="15105" max="15105" width="16.28515625" style="1" customWidth="1"/>
    <col min="15106" max="15106" width="17" style="1" customWidth="1"/>
    <col min="15107" max="15107" width="17.42578125" style="1" customWidth="1"/>
    <col min="15108" max="15108" width="14.140625" style="1" customWidth="1"/>
    <col min="15109" max="15109" width="11.42578125" style="1"/>
    <col min="15110" max="15110" width="17.85546875" style="1" customWidth="1"/>
    <col min="15111" max="15111" width="21.85546875" style="1" customWidth="1"/>
    <col min="15112" max="15112" width="23.85546875" style="1" customWidth="1"/>
    <col min="15113" max="15113" width="14.42578125" style="1" customWidth="1"/>
    <col min="15114" max="15114" width="15.7109375" style="1" customWidth="1"/>
    <col min="15115" max="15115" width="20.42578125" style="1" customWidth="1"/>
    <col min="15116" max="15117" width="11.42578125" style="1"/>
    <col min="15118" max="15118" width="14.7109375" style="1" customWidth="1"/>
    <col min="15119" max="15120" width="11.42578125" style="1"/>
    <col min="15121" max="15121" width="93.85546875" style="1" customWidth="1"/>
    <col min="15122" max="15122" width="76.28515625" style="1" customWidth="1"/>
    <col min="15123" max="15360" width="11.42578125" style="1"/>
    <col min="15361" max="15361" width="16.28515625" style="1" customWidth="1"/>
    <col min="15362" max="15362" width="17" style="1" customWidth="1"/>
    <col min="15363" max="15363" width="17.42578125" style="1" customWidth="1"/>
    <col min="15364" max="15364" width="14.140625" style="1" customWidth="1"/>
    <col min="15365" max="15365" width="11.42578125" style="1"/>
    <col min="15366" max="15366" width="17.85546875" style="1" customWidth="1"/>
    <col min="15367" max="15367" width="21.85546875" style="1" customWidth="1"/>
    <col min="15368" max="15368" width="23.85546875" style="1" customWidth="1"/>
    <col min="15369" max="15369" width="14.42578125" style="1" customWidth="1"/>
    <col min="15370" max="15370" width="15.7109375" style="1" customWidth="1"/>
    <col min="15371" max="15371" width="20.42578125" style="1" customWidth="1"/>
    <col min="15372" max="15373" width="11.42578125" style="1"/>
    <col min="15374" max="15374" width="14.7109375" style="1" customWidth="1"/>
    <col min="15375" max="15376" width="11.42578125" style="1"/>
    <col min="15377" max="15377" width="93.85546875" style="1" customWidth="1"/>
    <col min="15378" max="15378" width="76.28515625" style="1" customWidth="1"/>
    <col min="15379" max="15616" width="11.42578125" style="1"/>
    <col min="15617" max="15617" width="16.28515625" style="1" customWidth="1"/>
    <col min="15618" max="15618" width="17" style="1" customWidth="1"/>
    <col min="15619" max="15619" width="17.42578125" style="1" customWidth="1"/>
    <col min="15620" max="15620" width="14.140625" style="1" customWidth="1"/>
    <col min="15621" max="15621" width="11.42578125" style="1"/>
    <col min="15622" max="15622" width="17.85546875" style="1" customWidth="1"/>
    <col min="15623" max="15623" width="21.85546875" style="1" customWidth="1"/>
    <col min="15624" max="15624" width="23.85546875" style="1" customWidth="1"/>
    <col min="15625" max="15625" width="14.42578125" style="1" customWidth="1"/>
    <col min="15626" max="15626" width="15.7109375" style="1" customWidth="1"/>
    <col min="15627" max="15627" width="20.42578125" style="1" customWidth="1"/>
    <col min="15628" max="15629" width="11.42578125" style="1"/>
    <col min="15630" max="15630" width="14.7109375" style="1" customWidth="1"/>
    <col min="15631" max="15632" width="11.42578125" style="1"/>
    <col min="15633" max="15633" width="93.85546875" style="1" customWidth="1"/>
    <col min="15634" max="15634" width="76.28515625" style="1" customWidth="1"/>
    <col min="15635" max="15872" width="11.42578125" style="1"/>
    <col min="15873" max="15873" width="16.28515625" style="1" customWidth="1"/>
    <col min="15874" max="15874" width="17" style="1" customWidth="1"/>
    <col min="15875" max="15875" width="17.42578125" style="1" customWidth="1"/>
    <col min="15876" max="15876" width="14.140625" style="1" customWidth="1"/>
    <col min="15877" max="15877" width="11.42578125" style="1"/>
    <col min="15878" max="15878" width="17.85546875" style="1" customWidth="1"/>
    <col min="15879" max="15879" width="21.85546875" style="1" customWidth="1"/>
    <col min="15880" max="15880" width="23.85546875" style="1" customWidth="1"/>
    <col min="15881" max="15881" width="14.42578125" style="1" customWidth="1"/>
    <col min="15882" max="15882" width="15.7109375" style="1" customWidth="1"/>
    <col min="15883" max="15883" width="20.42578125" style="1" customWidth="1"/>
    <col min="15884" max="15885" width="11.42578125" style="1"/>
    <col min="15886" max="15886" width="14.7109375" style="1" customWidth="1"/>
    <col min="15887" max="15888" width="11.42578125" style="1"/>
    <col min="15889" max="15889" width="93.85546875" style="1" customWidth="1"/>
    <col min="15890" max="15890" width="76.28515625" style="1" customWidth="1"/>
    <col min="15891" max="16128" width="11.42578125" style="1"/>
    <col min="16129" max="16129" width="16.28515625" style="1" customWidth="1"/>
    <col min="16130" max="16130" width="17" style="1" customWidth="1"/>
    <col min="16131" max="16131" width="17.42578125" style="1" customWidth="1"/>
    <col min="16132" max="16132" width="14.140625" style="1" customWidth="1"/>
    <col min="16133" max="16133" width="11.42578125" style="1"/>
    <col min="16134" max="16134" width="17.85546875" style="1" customWidth="1"/>
    <col min="16135" max="16135" width="21.85546875" style="1" customWidth="1"/>
    <col min="16136" max="16136" width="23.85546875" style="1" customWidth="1"/>
    <col min="16137" max="16137" width="14.42578125" style="1" customWidth="1"/>
    <col min="16138" max="16138" width="15.7109375" style="1" customWidth="1"/>
    <col min="16139" max="16139" width="20.42578125" style="1" customWidth="1"/>
    <col min="16140" max="16141" width="11.42578125" style="1"/>
    <col min="16142" max="16142" width="14.7109375" style="1" customWidth="1"/>
    <col min="16143" max="16144" width="11.42578125" style="1"/>
    <col min="16145" max="16145" width="93.85546875" style="1" customWidth="1"/>
    <col min="16146" max="16146" width="76.28515625" style="1" customWidth="1"/>
    <col min="16147" max="16384" width="11.42578125" style="1"/>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row>
    <row r="5" spans="1:97" x14ac:dyDescent="0.25">
      <c r="A5" s="271"/>
      <c r="B5" s="271"/>
      <c r="C5" s="271"/>
      <c r="D5" s="271"/>
      <c r="E5" s="271"/>
      <c r="F5" s="271"/>
      <c r="G5" s="271"/>
      <c r="H5" s="271"/>
      <c r="I5" s="271"/>
      <c r="J5" s="271"/>
      <c r="K5" s="271"/>
      <c r="L5" s="272"/>
      <c r="M5" s="6">
        <f>'[13]FORMATO FINANCIERO 2013'!K5</f>
        <v>0</v>
      </c>
      <c r="N5" s="5"/>
      <c r="O5" s="5"/>
    </row>
    <row r="6" spans="1:97" x14ac:dyDescent="0.25">
      <c r="A6" s="7" t="s">
        <v>4</v>
      </c>
      <c r="B6" s="606" t="s">
        <v>2623</v>
      </c>
      <c r="C6" s="606"/>
      <c r="D6" s="606"/>
      <c r="E6" s="606"/>
      <c r="F6" s="606"/>
      <c r="G6" s="606"/>
      <c r="H6" s="606"/>
      <c r="I6" s="606"/>
      <c r="J6" s="606"/>
      <c r="K6" s="606"/>
      <c r="L6" s="606"/>
      <c r="M6" s="606"/>
      <c r="N6" s="606"/>
      <c r="O6" s="606"/>
    </row>
    <row r="7" spans="1:97" ht="15" customHeight="1" x14ac:dyDescent="0.25">
      <c r="A7" s="633" t="s">
        <v>6</v>
      </c>
      <c r="B7" s="633" t="s">
        <v>7</v>
      </c>
      <c r="C7" s="633" t="s">
        <v>8</v>
      </c>
      <c r="D7" s="633" t="s">
        <v>9</v>
      </c>
      <c r="E7" s="633" t="s">
        <v>10</v>
      </c>
      <c r="F7" s="633" t="s">
        <v>11</v>
      </c>
      <c r="G7" s="633" t="s">
        <v>12</v>
      </c>
      <c r="H7" s="633" t="s">
        <v>13</v>
      </c>
      <c r="I7" s="667" t="s">
        <v>14</v>
      </c>
      <c r="J7" s="621" t="s">
        <v>15</v>
      </c>
      <c r="K7" s="633" t="s">
        <v>16</v>
      </c>
      <c r="L7" s="633" t="s">
        <v>17</v>
      </c>
      <c r="M7" s="633" t="s">
        <v>2624</v>
      </c>
      <c r="N7" s="669" t="s">
        <v>19</v>
      </c>
      <c r="O7" s="669" t="s">
        <v>20</v>
      </c>
      <c r="P7" s="623" t="s">
        <v>21</v>
      </c>
      <c r="Q7" s="665" t="s">
        <v>22</v>
      </c>
    </row>
    <row r="8" spans="1:97" ht="66.75" customHeight="1" x14ac:dyDescent="0.25">
      <c r="A8" s="645"/>
      <c r="B8" s="645"/>
      <c r="C8" s="645"/>
      <c r="D8" s="645"/>
      <c r="E8" s="645"/>
      <c r="F8" s="645"/>
      <c r="G8" s="645"/>
      <c r="H8" s="645"/>
      <c r="I8" s="668"/>
      <c r="J8" s="622"/>
      <c r="K8" s="645"/>
      <c r="L8" s="645"/>
      <c r="M8" s="645"/>
      <c r="N8" s="670"/>
      <c r="O8" s="670"/>
      <c r="P8" s="624"/>
      <c r="Q8" s="666"/>
      <c r="S8" s="8"/>
      <c r="T8" s="8"/>
      <c r="U8" s="8"/>
      <c r="V8" s="8"/>
      <c r="W8" s="8"/>
      <c r="X8" s="8"/>
      <c r="Y8" s="8"/>
      <c r="Z8" s="8"/>
      <c r="AA8" s="8"/>
      <c r="AB8" s="8"/>
      <c r="AC8" s="8"/>
      <c r="AD8" s="8"/>
      <c r="AE8" s="8"/>
      <c r="AF8" s="8"/>
      <c r="AG8" s="8"/>
      <c r="AH8" s="8"/>
      <c r="AK8" s="9"/>
      <c r="AO8" s="9"/>
      <c r="AS8" s="9"/>
      <c r="AW8" s="9"/>
      <c r="BA8" s="9"/>
      <c r="BE8" s="9"/>
      <c r="BI8" s="9"/>
      <c r="BM8" s="9"/>
      <c r="BQ8" s="9"/>
      <c r="BU8" s="9"/>
      <c r="BY8" s="9"/>
      <c r="CC8" s="9"/>
      <c r="CG8" s="9"/>
      <c r="CK8" s="9"/>
      <c r="CO8" s="9"/>
      <c r="CS8" s="9"/>
    </row>
    <row r="9" spans="1:97" ht="78" customHeight="1" x14ac:dyDescent="0.25">
      <c r="A9" s="10" t="s">
        <v>23</v>
      </c>
      <c r="B9" s="10" t="s">
        <v>136</v>
      </c>
      <c r="C9" s="10" t="s">
        <v>137</v>
      </c>
      <c r="D9" s="10">
        <v>211180000</v>
      </c>
      <c r="E9" s="10" t="s">
        <v>2625</v>
      </c>
      <c r="F9" s="50" t="s">
        <v>2626</v>
      </c>
      <c r="G9" s="10" t="s">
        <v>2627</v>
      </c>
      <c r="H9" s="10" t="s">
        <v>2628</v>
      </c>
      <c r="I9" s="10"/>
      <c r="J9" s="411">
        <f>+'[13]FORMATO FINANCIERO 2013'!J9-'[13]FORMATO FINANCIERO 2013'!H9</f>
        <v>-133529999</v>
      </c>
      <c r="K9" s="10" t="s">
        <v>2629</v>
      </c>
      <c r="L9" s="10">
        <v>100</v>
      </c>
      <c r="M9" s="10">
        <v>0</v>
      </c>
      <c r="N9" s="10"/>
      <c r="O9" s="10">
        <v>0</v>
      </c>
      <c r="P9" s="10">
        <v>100</v>
      </c>
      <c r="Q9" s="10" t="s">
        <v>2630</v>
      </c>
      <c r="R9" s="16"/>
      <c r="U9" s="17"/>
      <c r="V9" s="8"/>
      <c r="W9" s="8"/>
      <c r="X9" s="8"/>
      <c r="Y9" s="8"/>
      <c r="Z9" s="8"/>
      <c r="AA9" s="8"/>
      <c r="AB9" s="8"/>
      <c r="AC9" s="8"/>
      <c r="AD9" s="8"/>
      <c r="AE9" s="8"/>
      <c r="AF9" s="8"/>
      <c r="AG9" s="8"/>
      <c r="AH9" s="8"/>
      <c r="AK9" s="9"/>
      <c r="AO9" s="9"/>
      <c r="AS9" s="9"/>
      <c r="AW9" s="9"/>
      <c r="BA9" s="9"/>
      <c r="BE9" s="9"/>
      <c r="BI9" s="9"/>
      <c r="BM9" s="9"/>
      <c r="BQ9" s="9"/>
      <c r="BU9" s="9"/>
      <c r="BY9" s="9"/>
      <c r="CC9" s="9"/>
      <c r="CG9" s="9"/>
      <c r="CK9" s="9"/>
      <c r="CO9" s="9"/>
      <c r="CS9" s="9"/>
    </row>
    <row r="10" spans="1:97" ht="93.75" customHeight="1" x14ac:dyDescent="0.25">
      <c r="A10" s="10" t="s">
        <v>23</v>
      </c>
      <c r="B10" s="10" t="s">
        <v>1573</v>
      </c>
      <c r="C10" s="10" t="s">
        <v>2631</v>
      </c>
      <c r="D10" s="10">
        <v>214410000</v>
      </c>
      <c r="E10" s="10" t="s">
        <v>2632</v>
      </c>
      <c r="F10" s="50" t="s">
        <v>2633</v>
      </c>
      <c r="G10" s="10" t="s">
        <v>2634</v>
      </c>
      <c r="H10" s="10" t="s">
        <v>2635</v>
      </c>
      <c r="I10" s="10">
        <v>-35000000</v>
      </c>
      <c r="J10" s="411">
        <f>+'[13]FORMATO FINANCIERO 2013'!H12</f>
        <v>70000000</v>
      </c>
      <c r="K10" s="10" t="s">
        <v>2636</v>
      </c>
      <c r="L10" s="10">
        <v>1</v>
      </c>
      <c r="M10" s="10"/>
      <c r="N10" s="10"/>
      <c r="O10" s="10">
        <v>0</v>
      </c>
      <c r="P10" s="10">
        <v>1</v>
      </c>
      <c r="Q10" s="10" t="s">
        <v>2637</v>
      </c>
      <c r="R10" s="16"/>
      <c r="U10" s="248"/>
      <c r="V10" s="8"/>
      <c r="W10" s="8"/>
      <c r="X10" s="8"/>
      <c r="Y10" s="8"/>
      <c r="Z10" s="8"/>
      <c r="AA10" s="8"/>
      <c r="AB10" s="8"/>
      <c r="AC10" s="8"/>
      <c r="AD10" s="8"/>
      <c r="AE10" s="8"/>
      <c r="AF10" s="8"/>
      <c r="AG10" s="8"/>
      <c r="AH10" s="8"/>
      <c r="AK10" s="9"/>
      <c r="AO10" s="9"/>
      <c r="AS10" s="9"/>
      <c r="AW10" s="9"/>
      <c r="BA10" s="9"/>
      <c r="BE10" s="9"/>
      <c r="BI10" s="9"/>
      <c r="BM10" s="9"/>
      <c r="BQ10" s="9"/>
      <c r="BU10" s="9"/>
      <c r="BY10" s="9"/>
      <c r="CC10" s="9"/>
      <c r="CG10" s="9"/>
      <c r="CK10" s="9"/>
      <c r="CO10" s="9"/>
      <c r="CS10" s="9"/>
    </row>
    <row r="11" spans="1:97" ht="72.75" customHeight="1" x14ac:dyDescent="0.25">
      <c r="A11" s="10" t="s">
        <v>275</v>
      </c>
      <c r="B11" s="10" t="s">
        <v>276</v>
      </c>
      <c r="C11" s="10" t="s">
        <v>2638</v>
      </c>
      <c r="D11" s="10">
        <v>251110000</v>
      </c>
      <c r="E11" s="10" t="s">
        <v>2639</v>
      </c>
      <c r="F11" s="50" t="s">
        <v>2640</v>
      </c>
      <c r="G11" s="10" t="s">
        <v>2641</v>
      </c>
      <c r="H11" s="10" t="s">
        <v>2642</v>
      </c>
      <c r="I11" s="10">
        <v>-25000000</v>
      </c>
      <c r="J11" s="411">
        <f>+'[13]FORMATO FINANCIERO 2013'!J15-'[13]FORMATO FINANCIERO 2013'!H15</f>
        <v>-25000000</v>
      </c>
      <c r="K11" s="10" t="s">
        <v>2643</v>
      </c>
      <c r="L11" s="320">
        <v>50</v>
      </c>
      <c r="M11" s="10"/>
      <c r="N11" s="10"/>
      <c r="O11" s="10">
        <v>22</v>
      </c>
      <c r="P11" s="10">
        <v>48.06</v>
      </c>
      <c r="Q11" s="10" t="s">
        <v>2644</v>
      </c>
      <c r="R11" s="16"/>
      <c r="U11" s="248"/>
      <c r="V11" s="8"/>
      <c r="W11" s="8"/>
      <c r="X11" s="8"/>
      <c r="Y11" s="8"/>
      <c r="Z11" s="8"/>
      <c r="AA11" s="8"/>
      <c r="AB11" s="8"/>
      <c r="AC11" s="8"/>
      <c r="AD11" s="8"/>
      <c r="AE11" s="8"/>
      <c r="AF11" s="8"/>
      <c r="AG11" s="8"/>
      <c r="AH11" s="8"/>
      <c r="AK11" s="9"/>
      <c r="AO11" s="9"/>
      <c r="AS11" s="9"/>
      <c r="AW11" s="9"/>
      <c r="BA11" s="9"/>
      <c r="BE11" s="9"/>
      <c r="BI11" s="9"/>
      <c r="BM11" s="9"/>
      <c r="BQ11" s="9"/>
      <c r="BU11" s="9"/>
      <c r="BY11" s="9"/>
      <c r="CC11" s="9"/>
      <c r="CG11" s="9"/>
      <c r="CK11" s="9"/>
      <c r="CO11" s="9"/>
      <c r="CS11" s="9"/>
    </row>
    <row r="12" spans="1:97" ht="75" x14ac:dyDescent="0.25">
      <c r="A12" s="10" t="s">
        <v>275</v>
      </c>
      <c r="B12" s="10" t="s">
        <v>276</v>
      </c>
      <c r="C12" s="10" t="s">
        <v>2645</v>
      </c>
      <c r="D12" s="10">
        <v>251210000</v>
      </c>
      <c r="E12" s="10" t="s">
        <v>2646</v>
      </c>
      <c r="F12" s="50" t="s">
        <v>2647</v>
      </c>
      <c r="G12" s="10" t="s">
        <v>2648</v>
      </c>
      <c r="H12" s="10" t="s">
        <v>2649</v>
      </c>
      <c r="I12" s="10">
        <f>12640000+100000000</f>
        <v>112640000</v>
      </c>
      <c r="J12" s="411">
        <f>+'[13]FORMATO FINANCIERO 2013'!J18-'[13]FORMATO FINANCIERO 2013'!H18</f>
        <v>132759641</v>
      </c>
      <c r="K12" s="10" t="s">
        <v>2650</v>
      </c>
      <c r="L12" s="10">
        <v>50</v>
      </c>
      <c r="M12" s="10"/>
      <c r="N12" s="10"/>
      <c r="O12" s="10">
        <v>44</v>
      </c>
      <c r="P12" s="10">
        <v>44</v>
      </c>
      <c r="Q12" s="10" t="s">
        <v>2651</v>
      </c>
      <c r="R12" s="16"/>
      <c r="U12" s="248"/>
      <c r="V12" s="8"/>
      <c r="W12" s="8"/>
      <c r="X12" s="8"/>
      <c r="Y12" s="8"/>
      <c r="Z12" s="8"/>
      <c r="AA12" s="8"/>
      <c r="AB12" s="8"/>
      <c r="AC12" s="8"/>
      <c r="AD12" s="8"/>
      <c r="AE12" s="8"/>
      <c r="AF12" s="8"/>
      <c r="AG12" s="8"/>
      <c r="AH12" s="8"/>
      <c r="AK12" s="9"/>
      <c r="AO12" s="9"/>
      <c r="AS12" s="9"/>
      <c r="AW12" s="9"/>
      <c r="BA12" s="9"/>
      <c r="BE12" s="9"/>
      <c r="BI12" s="9"/>
      <c r="BM12" s="9"/>
      <c r="BQ12" s="9"/>
      <c r="BU12" s="9"/>
      <c r="BY12" s="9"/>
      <c r="CC12" s="9"/>
      <c r="CG12" s="9"/>
      <c r="CK12" s="9"/>
      <c r="CO12" s="9"/>
      <c r="CS12" s="9"/>
    </row>
    <row r="13" spans="1:97" ht="249" customHeight="1" x14ac:dyDescent="0.25">
      <c r="A13" s="10" t="s">
        <v>275</v>
      </c>
      <c r="B13" s="10" t="s">
        <v>276</v>
      </c>
      <c r="C13" s="10" t="s">
        <v>2645</v>
      </c>
      <c r="D13" s="10">
        <v>251220000</v>
      </c>
      <c r="E13" s="10" t="s">
        <v>2652</v>
      </c>
      <c r="F13" s="50" t="s">
        <v>2653</v>
      </c>
      <c r="G13" s="10" t="s">
        <v>2654</v>
      </c>
      <c r="H13" s="10" t="s">
        <v>2655</v>
      </c>
      <c r="I13" s="10"/>
      <c r="J13" s="411">
        <f>+'[13]FORMATO FINANCIERO 2013'!J23-'[13]FORMATO FINANCIERO 2013'!H23</f>
        <v>0</v>
      </c>
      <c r="K13" s="10" t="s">
        <v>2656</v>
      </c>
      <c r="L13" s="10">
        <v>549</v>
      </c>
      <c r="M13" s="10"/>
      <c r="N13" s="10"/>
      <c r="O13" s="10">
        <v>66.5</v>
      </c>
      <c r="P13" s="10">
        <v>1740</v>
      </c>
      <c r="Q13" s="412" t="s">
        <v>2657</v>
      </c>
      <c r="R13" s="413"/>
      <c r="U13" s="248"/>
      <c r="V13" s="8"/>
      <c r="W13" s="8"/>
      <c r="X13" s="8"/>
      <c r="Y13" s="8"/>
      <c r="Z13" s="8"/>
      <c r="AA13" s="8"/>
      <c r="AB13" s="8"/>
      <c r="AC13" s="8"/>
      <c r="AD13" s="8"/>
      <c r="AE13" s="8"/>
      <c r="AF13" s="8"/>
      <c r="AG13" s="8"/>
      <c r="AH13" s="8"/>
      <c r="AK13" s="9"/>
      <c r="AO13" s="9"/>
      <c r="AS13" s="9"/>
      <c r="AW13" s="9"/>
      <c r="BA13" s="9"/>
      <c r="BE13" s="9"/>
      <c r="BI13" s="9"/>
      <c r="BM13" s="9"/>
      <c r="BQ13" s="9"/>
      <c r="BU13" s="9"/>
      <c r="BY13" s="9"/>
      <c r="CC13" s="9"/>
      <c r="CG13" s="9"/>
      <c r="CK13" s="9"/>
      <c r="CO13" s="9"/>
      <c r="CS13" s="9"/>
    </row>
    <row r="14" spans="1:97" ht="105" x14ac:dyDescent="0.25">
      <c r="A14" s="10"/>
      <c r="B14" s="10"/>
      <c r="C14" s="10"/>
      <c r="D14" s="10"/>
      <c r="E14" s="10"/>
      <c r="F14" s="50"/>
      <c r="G14" s="10"/>
      <c r="H14" s="10"/>
      <c r="I14" s="10"/>
      <c r="J14" s="411"/>
      <c r="K14" s="10" t="s">
        <v>2658</v>
      </c>
      <c r="L14" s="10">
        <v>315</v>
      </c>
      <c r="M14" s="10"/>
      <c r="N14" s="10"/>
      <c r="O14" s="10">
        <v>126</v>
      </c>
      <c r="P14" s="10">
        <v>727.6</v>
      </c>
      <c r="Q14" s="10"/>
      <c r="R14" s="16"/>
      <c r="U14" s="248"/>
      <c r="V14" s="8"/>
      <c r="W14" s="8"/>
      <c r="X14" s="8"/>
      <c r="Y14" s="8"/>
      <c r="Z14" s="8"/>
      <c r="AA14" s="8"/>
      <c r="AB14" s="8"/>
      <c r="AC14" s="8"/>
      <c r="AD14" s="8"/>
      <c r="AE14" s="8"/>
      <c r="AF14" s="8"/>
      <c r="AG14" s="8"/>
      <c r="AH14" s="8"/>
      <c r="AK14" s="9"/>
      <c r="AO14" s="9"/>
      <c r="AS14" s="9"/>
      <c r="AW14" s="9"/>
      <c r="BA14" s="9"/>
      <c r="BE14" s="9"/>
      <c r="BI14" s="9"/>
      <c r="BM14" s="9"/>
      <c r="BQ14" s="9"/>
      <c r="BU14" s="9"/>
      <c r="BY14" s="9"/>
      <c r="CC14" s="9"/>
      <c r="CG14" s="9"/>
      <c r="CK14" s="9"/>
      <c r="CO14" s="9"/>
      <c r="CS14" s="9"/>
    </row>
    <row r="15" spans="1:97" ht="97.5" customHeight="1" x14ac:dyDescent="0.25">
      <c r="A15" s="10" t="s">
        <v>275</v>
      </c>
      <c r="B15" s="10" t="s">
        <v>276</v>
      </c>
      <c r="C15" s="10" t="s">
        <v>277</v>
      </c>
      <c r="D15" s="10">
        <v>251550000</v>
      </c>
      <c r="E15" s="10" t="s">
        <v>2659</v>
      </c>
      <c r="F15" s="50" t="s">
        <v>2660</v>
      </c>
      <c r="G15" s="10" t="s">
        <v>2661</v>
      </c>
      <c r="H15" s="10" t="s">
        <v>2662</v>
      </c>
      <c r="I15" s="10"/>
      <c r="J15" s="411">
        <f>+'[13]FORMATO FINANCIERO 2013'!J26-'[13]FORMATO FINANCIERO 2013'!H26</f>
        <v>-10000000</v>
      </c>
      <c r="K15" s="10" t="s">
        <v>2663</v>
      </c>
      <c r="L15" s="10">
        <v>0</v>
      </c>
      <c r="M15" s="10"/>
      <c r="N15" s="10"/>
      <c r="O15" s="10"/>
      <c r="P15" s="10">
        <v>0</v>
      </c>
      <c r="Q15" s="10" t="s">
        <v>2664</v>
      </c>
      <c r="R15" s="16"/>
      <c r="U15" s="248"/>
      <c r="V15" s="8"/>
      <c r="W15" s="8"/>
      <c r="X15" s="8"/>
      <c r="Y15" s="8"/>
      <c r="Z15" s="8"/>
      <c r="AA15" s="8"/>
      <c r="AB15" s="8"/>
      <c r="AC15" s="8"/>
      <c r="AD15" s="8"/>
      <c r="AE15" s="8"/>
      <c r="AF15" s="8"/>
      <c r="AG15" s="8"/>
      <c r="AH15" s="8"/>
      <c r="AK15" s="9"/>
      <c r="AO15" s="9"/>
      <c r="AS15" s="9"/>
      <c r="AW15" s="9"/>
      <c r="BA15" s="9"/>
      <c r="BE15" s="9"/>
      <c r="BI15" s="9"/>
      <c r="BM15" s="9"/>
      <c r="BQ15" s="9"/>
      <c r="BU15" s="9"/>
      <c r="BY15" s="9"/>
      <c r="CC15" s="9"/>
      <c r="CG15" s="9"/>
      <c r="CK15" s="9"/>
      <c r="CO15" s="9"/>
      <c r="CS15" s="9"/>
    </row>
    <row r="16" spans="1:97" ht="111" customHeight="1" x14ac:dyDescent="0.25">
      <c r="A16" s="10" t="s">
        <v>275</v>
      </c>
      <c r="B16" s="10" t="s">
        <v>1073</v>
      </c>
      <c r="C16" s="10" t="s">
        <v>2665</v>
      </c>
      <c r="D16" s="10">
        <v>252110000</v>
      </c>
      <c r="E16" s="10" t="s">
        <v>2666</v>
      </c>
      <c r="F16" s="50" t="s">
        <v>2667</v>
      </c>
      <c r="G16" s="10" t="s">
        <v>2668</v>
      </c>
      <c r="H16" s="10" t="s">
        <v>2669</v>
      </c>
      <c r="I16" s="10"/>
      <c r="J16" s="411">
        <f>+'[13]FORMATO FINANCIERO 2013'!J28-'[13]FORMATO FINANCIERO 2013'!H28</f>
        <v>565702901</v>
      </c>
      <c r="K16" s="10" t="s">
        <v>2670</v>
      </c>
      <c r="L16" s="10">
        <v>1</v>
      </c>
      <c r="M16" s="10"/>
      <c r="N16" s="10"/>
      <c r="O16" s="414">
        <v>0.25</v>
      </c>
      <c r="P16" s="10">
        <v>1.5</v>
      </c>
      <c r="Q16" s="10" t="s">
        <v>2671</v>
      </c>
      <c r="R16" s="16"/>
      <c r="U16" s="248"/>
      <c r="V16" s="8"/>
      <c r="W16" s="8"/>
      <c r="X16" s="8"/>
      <c r="Y16" s="8"/>
      <c r="Z16" s="8"/>
      <c r="AA16" s="8"/>
      <c r="AB16" s="8"/>
      <c r="AC16" s="8"/>
      <c r="AD16" s="8"/>
      <c r="AE16" s="8"/>
      <c r="AF16" s="8"/>
      <c r="AG16" s="8"/>
      <c r="AH16" s="8"/>
      <c r="AK16" s="9"/>
      <c r="AO16" s="9"/>
      <c r="AS16" s="9"/>
      <c r="AW16" s="9"/>
      <c r="BA16" s="9"/>
      <c r="BE16" s="9"/>
      <c r="BI16" s="9"/>
      <c r="BM16" s="9"/>
      <c r="BQ16" s="9"/>
      <c r="BU16" s="9"/>
      <c r="BY16" s="9"/>
      <c r="CC16" s="9"/>
      <c r="CG16" s="9"/>
      <c r="CK16" s="9"/>
      <c r="CO16" s="9"/>
      <c r="CS16" s="9"/>
    </row>
    <row r="17" spans="1:97" ht="78.75" customHeight="1" x14ac:dyDescent="0.25">
      <c r="A17" s="10" t="s">
        <v>275</v>
      </c>
      <c r="B17" s="10" t="s">
        <v>1073</v>
      </c>
      <c r="C17" s="10" t="s">
        <v>2665</v>
      </c>
      <c r="D17" s="10">
        <v>252120000</v>
      </c>
      <c r="E17" s="10" t="s">
        <v>2672</v>
      </c>
      <c r="F17" s="50" t="s">
        <v>2673</v>
      </c>
      <c r="G17" s="10" t="s">
        <v>2674</v>
      </c>
      <c r="H17" s="10" t="s">
        <v>2675</v>
      </c>
      <c r="I17" s="10"/>
      <c r="J17" s="411">
        <f>+'[13]FORMATO FINANCIERO 2013'!J32-'[13]FORMATO FINANCIERO 2013'!H32</f>
        <v>33660000</v>
      </c>
      <c r="K17" s="10" t="s">
        <v>2676</v>
      </c>
      <c r="L17" s="10">
        <v>100</v>
      </c>
      <c r="M17" s="10"/>
      <c r="N17" s="10"/>
      <c r="O17" s="10">
        <v>130</v>
      </c>
      <c r="P17" s="10">
        <v>131</v>
      </c>
      <c r="Q17" s="10" t="s">
        <v>2677</v>
      </c>
      <c r="R17" s="16"/>
      <c r="U17" s="248"/>
      <c r="V17" s="8"/>
      <c r="W17" s="8"/>
      <c r="X17" s="8"/>
      <c r="Y17" s="8"/>
      <c r="Z17" s="8"/>
      <c r="AA17" s="8"/>
      <c r="AB17" s="8"/>
      <c r="AC17" s="8"/>
      <c r="AD17" s="8"/>
      <c r="AE17" s="8"/>
      <c r="AF17" s="8"/>
      <c r="AG17" s="8"/>
      <c r="AH17" s="8"/>
      <c r="AK17" s="9"/>
      <c r="AO17" s="9"/>
      <c r="AS17" s="9"/>
      <c r="AW17" s="9"/>
      <c r="BA17" s="9"/>
      <c r="BE17" s="9"/>
      <c r="BI17" s="9"/>
      <c r="BM17" s="9"/>
      <c r="BQ17" s="9"/>
      <c r="BU17" s="9"/>
      <c r="BY17" s="9"/>
      <c r="CC17" s="9"/>
      <c r="CG17" s="9"/>
      <c r="CK17" s="9"/>
      <c r="CO17" s="9"/>
      <c r="CS17" s="9"/>
    </row>
    <row r="18" spans="1:97" ht="75" x14ac:dyDescent="0.25">
      <c r="A18" s="10"/>
      <c r="B18" s="10"/>
      <c r="C18" s="10"/>
      <c r="D18" s="10"/>
      <c r="E18" s="10"/>
      <c r="F18" s="50"/>
      <c r="G18" s="10"/>
      <c r="H18" s="10"/>
      <c r="I18" s="10"/>
      <c r="J18" s="411">
        <v>0</v>
      </c>
      <c r="K18" s="10" t="s">
        <v>2678</v>
      </c>
      <c r="L18" s="10">
        <v>6</v>
      </c>
      <c r="M18" s="10"/>
      <c r="N18" s="10"/>
      <c r="O18" s="10">
        <v>1.5</v>
      </c>
      <c r="P18" s="10">
        <v>6</v>
      </c>
      <c r="Q18" s="10" t="s">
        <v>2679</v>
      </c>
      <c r="R18" s="16"/>
      <c r="U18" s="248"/>
      <c r="V18" s="8"/>
      <c r="W18" s="8"/>
      <c r="X18" s="8"/>
      <c r="Y18" s="8"/>
      <c r="Z18" s="8"/>
      <c r="AA18" s="8"/>
      <c r="AB18" s="8"/>
      <c r="AC18" s="8"/>
      <c r="AD18" s="8"/>
      <c r="AE18" s="8"/>
      <c r="AF18" s="8"/>
      <c r="AG18" s="8"/>
      <c r="AH18" s="8"/>
      <c r="AK18" s="9"/>
      <c r="AO18" s="9"/>
      <c r="AS18" s="9"/>
      <c r="AW18" s="9"/>
      <c r="BA18" s="9"/>
      <c r="BE18" s="9"/>
      <c r="BI18" s="9"/>
      <c r="BM18" s="9"/>
      <c r="BQ18" s="9"/>
      <c r="BU18" s="9"/>
      <c r="BY18" s="9"/>
      <c r="CC18" s="9"/>
      <c r="CG18" s="9"/>
      <c r="CK18" s="9"/>
      <c r="CO18" s="9"/>
      <c r="CS18" s="9"/>
    </row>
    <row r="19" spans="1:97" ht="122.25" customHeight="1" x14ac:dyDescent="0.25">
      <c r="A19" s="10" t="s">
        <v>275</v>
      </c>
      <c r="B19" s="10" t="s">
        <v>1073</v>
      </c>
      <c r="C19" s="10" t="s">
        <v>2665</v>
      </c>
      <c r="D19" s="10">
        <v>252130000</v>
      </c>
      <c r="E19" s="10" t="s">
        <v>2680</v>
      </c>
      <c r="F19" s="50" t="s">
        <v>2681</v>
      </c>
      <c r="G19" s="10" t="s">
        <v>2682</v>
      </c>
      <c r="H19" s="10" t="s">
        <v>2683</v>
      </c>
      <c r="I19" s="10"/>
      <c r="J19" s="411">
        <f>+'[13]FORMATO FINANCIERO 2013'!J35-'[13]FORMATO FINANCIERO 2013'!H35</f>
        <v>0</v>
      </c>
      <c r="K19" s="10" t="s">
        <v>2684</v>
      </c>
      <c r="L19" s="10">
        <v>1</v>
      </c>
      <c r="M19" s="10"/>
      <c r="N19" s="10"/>
      <c r="O19" s="10">
        <v>1</v>
      </c>
      <c r="P19" s="10">
        <v>1</v>
      </c>
      <c r="Q19" s="10" t="s">
        <v>2685</v>
      </c>
      <c r="R19" s="16"/>
      <c r="U19" s="248"/>
      <c r="V19" s="8"/>
      <c r="W19" s="8"/>
      <c r="X19" s="8"/>
      <c r="Y19" s="8"/>
      <c r="Z19" s="8"/>
      <c r="AA19" s="8"/>
      <c r="AB19" s="8"/>
      <c r="AC19" s="8"/>
      <c r="AD19" s="8"/>
      <c r="AE19" s="8"/>
      <c r="AF19" s="8"/>
      <c r="AG19" s="8"/>
      <c r="AH19" s="8"/>
      <c r="AK19" s="9"/>
      <c r="AO19" s="9"/>
      <c r="AS19" s="9"/>
      <c r="AW19" s="9"/>
      <c r="BA19" s="9"/>
      <c r="BE19" s="9"/>
      <c r="BI19" s="9"/>
      <c r="BM19" s="9"/>
      <c r="BQ19" s="9"/>
      <c r="BU19" s="9"/>
      <c r="BY19" s="9"/>
      <c r="CC19" s="9"/>
      <c r="CG19" s="9"/>
      <c r="CK19" s="9"/>
      <c r="CO19" s="9"/>
      <c r="CS19" s="9"/>
    </row>
    <row r="22" spans="1:97" x14ac:dyDescent="0.25">
      <c r="Q22" s="155"/>
    </row>
    <row r="24" spans="1:97" x14ac:dyDescent="0.25">
      <c r="Q24" s="415"/>
    </row>
    <row r="25" spans="1:97" x14ac:dyDescent="0.25">
      <c r="Q25" s="415"/>
    </row>
    <row r="28" spans="1:97" x14ac:dyDescent="0.25">
      <c r="Q28" s="155"/>
    </row>
    <row r="32" spans="1:97" x14ac:dyDescent="0.25">
      <c r="Q32" s="416"/>
    </row>
    <row r="33" spans="17:17" x14ac:dyDescent="0.25">
      <c r="Q33" s="121"/>
    </row>
    <row r="34" spans="17:17" x14ac:dyDescent="0.25">
      <c r="Q34" s="416"/>
    </row>
    <row r="35" spans="17:17" x14ac:dyDescent="0.25">
      <c r="Q35" s="121"/>
    </row>
    <row r="37" spans="17:17" x14ac:dyDescent="0.25">
      <c r="Q37" s="121"/>
    </row>
    <row r="39" spans="17:17" x14ac:dyDescent="0.25">
      <c r="Q39" s="121"/>
    </row>
  </sheetData>
  <sheetProtection algorithmName="SHA-512" hashValue="wAGxfnWVaw+lg3Hh2o4/z0j+BuHdZuq/uRpdDDE2hr8i1mMb6LlMQEqtaNQlJsCBE+EXy/bJTiWfK9cxK7EnqQ==" saltValue="wXa9QjA8A+Pxs+90vR1IiQ==" spinCount="100000" sheet="1" insertRows="0"/>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0"/>
  <sheetViews>
    <sheetView topLeftCell="S4" zoomScale="95" zoomScaleNormal="95" workbookViewId="0">
      <pane ySplit="5" topLeftCell="A9" activePane="bottomLeft" state="frozen"/>
      <selection activeCell="A4" sqref="A4"/>
      <selection pane="bottomLeft" activeCell="T9" sqref="T9"/>
    </sheetView>
  </sheetViews>
  <sheetFormatPr baseColWidth="10" defaultRowHeight="15" x14ac:dyDescent="0.25"/>
  <cols>
    <col min="1" max="1" width="15.42578125" style="1" customWidth="1"/>
    <col min="2" max="2" width="13.85546875" style="1" customWidth="1"/>
    <col min="3" max="4" width="13" style="1" customWidth="1"/>
    <col min="5" max="5" width="15.85546875" style="1" customWidth="1"/>
    <col min="6" max="6" width="15.7109375" style="1" customWidth="1"/>
    <col min="7" max="7" width="23.140625" style="1" customWidth="1"/>
    <col min="8" max="8" width="14.140625" style="1" customWidth="1"/>
    <col min="9" max="9" width="14" style="1" customWidth="1"/>
    <col min="10" max="10" width="13.7109375" style="1" customWidth="1"/>
    <col min="11" max="11" width="12.85546875" style="1" customWidth="1"/>
    <col min="12" max="12" width="12.7109375" style="1" customWidth="1"/>
    <col min="13" max="13" width="12.140625" style="1" customWidth="1"/>
    <col min="14" max="14" width="13" style="1" customWidth="1"/>
    <col min="15" max="15" width="14.42578125" style="1" customWidth="1"/>
    <col min="16" max="16" width="14.7109375" style="1" customWidth="1"/>
    <col min="17" max="17" width="13.7109375" style="1" customWidth="1"/>
    <col min="18" max="18" width="10.5703125" style="1" customWidth="1"/>
    <col min="19" max="19" width="12.7109375" style="1" customWidth="1"/>
    <col min="20" max="20" width="26.42578125" style="1" customWidth="1"/>
    <col min="21" max="21" width="10.7109375" style="1" customWidth="1"/>
    <col min="22" max="22" width="11.42578125" style="1"/>
    <col min="23" max="23" width="12.7109375" style="1" customWidth="1"/>
    <col min="24" max="24" width="13.140625" style="1" customWidth="1"/>
    <col min="25" max="25" width="11.7109375" style="1" customWidth="1"/>
    <col min="26" max="29" width="11.42578125" style="1"/>
    <col min="30" max="30" width="27"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2559</v>
      </c>
      <c r="D5" s="24"/>
      <c r="E5" s="24"/>
      <c r="F5" s="24"/>
      <c r="G5" s="24"/>
      <c r="H5" s="24"/>
      <c r="I5" s="25"/>
      <c r="J5" s="25"/>
      <c r="K5" s="24"/>
      <c r="L5" s="25"/>
      <c r="M5" s="25"/>
      <c r="N5" s="25"/>
      <c r="O5" s="25"/>
      <c r="P5" s="25"/>
      <c r="Q5" s="27"/>
      <c r="R5" s="27"/>
      <c r="S5" s="27"/>
      <c r="T5" s="27"/>
      <c r="U5" s="27"/>
      <c r="V5" s="27"/>
      <c r="W5" s="27"/>
      <c r="X5" s="27"/>
      <c r="Y5" s="27"/>
      <c r="Z5" s="27"/>
      <c r="AA5" s="27"/>
      <c r="AB5" s="27"/>
      <c r="AC5" s="27"/>
      <c r="AD5" s="27"/>
    </row>
    <row r="7" spans="1:42" s="29" customFormat="1" ht="14.25"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36"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120" x14ac:dyDescent="0.25">
      <c r="A9" s="34" t="s">
        <v>55</v>
      </c>
      <c r="B9" s="34" t="s">
        <v>354</v>
      </c>
      <c r="C9" s="34" t="s">
        <v>2560</v>
      </c>
      <c r="D9" s="34">
        <v>241220000</v>
      </c>
      <c r="E9" s="74" t="s">
        <v>2562</v>
      </c>
      <c r="F9" s="34" t="s">
        <v>2563</v>
      </c>
      <c r="G9" s="34" t="s">
        <v>2564</v>
      </c>
      <c r="H9" s="36">
        <v>251567000</v>
      </c>
      <c r="I9" s="36">
        <v>1911345000</v>
      </c>
      <c r="J9" s="36">
        <v>1787345000</v>
      </c>
      <c r="K9" s="36">
        <v>0</v>
      </c>
      <c r="L9" s="36"/>
      <c r="M9" s="36"/>
      <c r="N9" s="36">
        <f>H9+K9</f>
        <v>251567000</v>
      </c>
      <c r="O9" s="36">
        <f>I9+L9</f>
        <v>1911345000</v>
      </c>
      <c r="P9" s="36">
        <f>J9+M9</f>
        <v>1787345000</v>
      </c>
      <c r="Q9" s="36">
        <v>674408426</v>
      </c>
      <c r="R9" s="36"/>
      <c r="S9" s="36">
        <f>Q9+R9</f>
        <v>674408426</v>
      </c>
      <c r="T9" s="37"/>
      <c r="U9" s="37"/>
      <c r="V9" s="37"/>
      <c r="W9" s="34"/>
      <c r="X9" s="34"/>
      <c r="Y9" s="34"/>
      <c r="Z9" s="34"/>
      <c r="AA9" s="34">
        <v>0</v>
      </c>
      <c r="AB9" s="34"/>
      <c r="AC9" s="34"/>
      <c r="AD9" s="36" t="s">
        <v>2601</v>
      </c>
      <c r="AE9" s="124">
        <v>0</v>
      </c>
      <c r="AF9" s="124">
        <v>0</v>
      </c>
      <c r="AG9" s="124">
        <v>0</v>
      </c>
      <c r="AH9" s="124">
        <v>0</v>
      </c>
      <c r="AI9" s="124">
        <v>0</v>
      </c>
      <c r="AJ9" s="124">
        <v>0</v>
      </c>
      <c r="AK9" s="124">
        <v>0</v>
      </c>
      <c r="AL9" s="124">
        <v>0</v>
      </c>
      <c r="AM9" s="124">
        <v>0</v>
      </c>
      <c r="AN9" s="124">
        <v>0</v>
      </c>
      <c r="AO9" s="124">
        <v>0</v>
      </c>
      <c r="AP9" s="124">
        <v>0</v>
      </c>
    </row>
    <row r="10" spans="1:42" ht="37.5" customHeight="1" x14ac:dyDescent="0.25">
      <c r="A10" s="34">
        <v>0</v>
      </c>
      <c r="B10" s="34">
        <v>0</v>
      </c>
      <c r="C10" s="34">
        <v>0</v>
      </c>
      <c r="D10" s="34">
        <v>0</v>
      </c>
      <c r="E10" s="74">
        <v>0</v>
      </c>
      <c r="F10" s="34">
        <v>0</v>
      </c>
      <c r="G10" s="34">
        <v>0</v>
      </c>
      <c r="H10" s="36">
        <v>0</v>
      </c>
      <c r="I10" s="39"/>
      <c r="J10" s="39"/>
      <c r="K10" s="39"/>
      <c r="L10" s="39"/>
      <c r="M10" s="39"/>
      <c r="N10" s="36">
        <f t="shared" ref="N10:P27" si="0">H10+K10</f>
        <v>0</v>
      </c>
      <c r="O10" s="36">
        <f t="shared" si="0"/>
        <v>0</v>
      </c>
      <c r="P10" s="36">
        <f t="shared" si="0"/>
        <v>0</v>
      </c>
      <c r="Q10" s="36"/>
      <c r="R10" s="36"/>
      <c r="S10" s="36">
        <f t="shared" ref="S10:S27" si="1">Q10+R10</f>
        <v>0</v>
      </c>
      <c r="T10" s="37" t="s">
        <v>2602</v>
      </c>
      <c r="U10" s="37" t="s">
        <v>266</v>
      </c>
      <c r="V10" s="37">
        <v>15</v>
      </c>
      <c r="W10" s="34">
        <v>40</v>
      </c>
      <c r="X10" s="34"/>
      <c r="Y10" s="34">
        <v>0</v>
      </c>
      <c r="Z10" s="34">
        <v>84</v>
      </c>
      <c r="AA10" s="34">
        <v>270</v>
      </c>
      <c r="AB10" s="34">
        <v>0</v>
      </c>
      <c r="AC10" s="34">
        <v>90</v>
      </c>
      <c r="AD10" s="10"/>
      <c r="AE10" s="10">
        <v>0</v>
      </c>
      <c r="AF10" s="10">
        <v>0</v>
      </c>
      <c r="AG10" s="10">
        <v>0</v>
      </c>
      <c r="AH10" s="124" t="s">
        <v>102</v>
      </c>
      <c r="AI10" s="124" t="s">
        <v>102</v>
      </c>
      <c r="AJ10" s="124" t="s">
        <v>102</v>
      </c>
      <c r="AK10" s="124" t="s">
        <v>102</v>
      </c>
      <c r="AL10" s="124" t="s">
        <v>102</v>
      </c>
      <c r="AM10" s="124" t="s">
        <v>102</v>
      </c>
      <c r="AN10" s="124" t="s">
        <v>102</v>
      </c>
      <c r="AO10" s="124" t="s">
        <v>102</v>
      </c>
      <c r="AP10" s="124" t="s">
        <v>102</v>
      </c>
    </row>
    <row r="11" spans="1:42" ht="26.25" customHeight="1" x14ac:dyDescent="0.25">
      <c r="A11" s="34">
        <v>0</v>
      </c>
      <c r="B11" s="34">
        <v>0</v>
      </c>
      <c r="C11" s="34">
        <v>0</v>
      </c>
      <c r="D11" s="34">
        <v>0</v>
      </c>
      <c r="E11" s="74">
        <v>0</v>
      </c>
      <c r="F11" s="34">
        <v>0</v>
      </c>
      <c r="G11" s="34">
        <v>0</v>
      </c>
      <c r="H11" s="36">
        <v>0</v>
      </c>
      <c r="I11" s="39"/>
      <c r="J11" s="39"/>
      <c r="K11" s="39"/>
      <c r="L11" s="39"/>
      <c r="M11" s="39"/>
      <c r="N11" s="36">
        <f t="shared" si="0"/>
        <v>0</v>
      </c>
      <c r="O11" s="36">
        <f t="shared" si="0"/>
        <v>0</v>
      </c>
      <c r="P11" s="36">
        <f t="shared" si="0"/>
        <v>0</v>
      </c>
      <c r="Q11" s="36"/>
      <c r="R11" s="36"/>
      <c r="S11" s="36">
        <f t="shared" si="1"/>
        <v>0</v>
      </c>
      <c r="T11" s="37" t="s">
        <v>2603</v>
      </c>
      <c r="U11" s="37" t="s">
        <v>316</v>
      </c>
      <c r="V11" s="167">
        <v>0</v>
      </c>
      <c r="W11" s="34">
        <v>200</v>
      </c>
      <c r="X11" s="34"/>
      <c r="Y11" s="34">
        <v>0</v>
      </c>
      <c r="Z11" s="34">
        <v>0</v>
      </c>
      <c r="AA11" s="34">
        <v>270</v>
      </c>
      <c r="AB11" s="34">
        <v>0</v>
      </c>
      <c r="AC11" s="34">
        <v>0</v>
      </c>
      <c r="AD11" s="10"/>
      <c r="AE11" s="10">
        <v>0</v>
      </c>
      <c r="AF11" s="10">
        <v>0</v>
      </c>
      <c r="AG11" s="10">
        <v>0</v>
      </c>
      <c r="AH11" s="124" t="s">
        <v>102</v>
      </c>
      <c r="AI11" s="124" t="s">
        <v>102</v>
      </c>
      <c r="AJ11" s="124" t="s">
        <v>102</v>
      </c>
      <c r="AK11" s="124" t="s">
        <v>102</v>
      </c>
      <c r="AL11" s="124" t="s">
        <v>102</v>
      </c>
      <c r="AM11" s="124" t="s">
        <v>102</v>
      </c>
      <c r="AN11" s="124" t="s">
        <v>102</v>
      </c>
      <c r="AO11" s="124" t="s">
        <v>102</v>
      </c>
      <c r="AP11" s="124" t="s">
        <v>102</v>
      </c>
    </row>
    <row r="12" spans="1:42" ht="25.5" customHeight="1" x14ac:dyDescent="0.25">
      <c r="A12" s="34">
        <v>0</v>
      </c>
      <c r="B12" s="34">
        <v>0</v>
      </c>
      <c r="C12" s="34">
        <v>0</v>
      </c>
      <c r="D12" s="34">
        <v>0</v>
      </c>
      <c r="E12" s="74">
        <v>0</v>
      </c>
      <c r="F12" s="34">
        <v>0</v>
      </c>
      <c r="G12" s="34">
        <v>0</v>
      </c>
      <c r="H12" s="36">
        <v>0</v>
      </c>
      <c r="I12" s="39"/>
      <c r="J12" s="39"/>
      <c r="K12" s="39"/>
      <c r="L12" s="39"/>
      <c r="M12" s="39"/>
      <c r="N12" s="36">
        <f t="shared" si="0"/>
        <v>0</v>
      </c>
      <c r="O12" s="36">
        <f t="shared" si="0"/>
        <v>0</v>
      </c>
      <c r="P12" s="36">
        <f t="shared" si="0"/>
        <v>0</v>
      </c>
      <c r="Q12" s="36"/>
      <c r="R12" s="36"/>
      <c r="S12" s="36">
        <f t="shared" si="1"/>
        <v>0</v>
      </c>
      <c r="T12" s="37" t="s">
        <v>2604</v>
      </c>
      <c r="U12" s="37" t="s">
        <v>266</v>
      </c>
      <c r="V12" s="37">
        <v>5</v>
      </c>
      <c r="W12" s="34">
        <v>10</v>
      </c>
      <c r="X12" s="34"/>
      <c r="Y12" s="34">
        <v>0</v>
      </c>
      <c r="Z12" s="34">
        <v>74</v>
      </c>
      <c r="AA12" s="34">
        <v>120</v>
      </c>
      <c r="AB12" s="34">
        <v>0</v>
      </c>
      <c r="AC12" s="34">
        <v>60</v>
      </c>
      <c r="AD12" s="10"/>
      <c r="AE12" s="10">
        <v>0</v>
      </c>
      <c r="AF12" s="10">
        <v>0</v>
      </c>
      <c r="AG12" s="10">
        <v>0</v>
      </c>
      <c r="AH12" s="124">
        <v>0</v>
      </c>
      <c r="AI12" s="124">
        <v>0</v>
      </c>
      <c r="AJ12" s="124">
        <v>0</v>
      </c>
      <c r="AK12" s="124">
        <v>0</v>
      </c>
      <c r="AL12" s="124" t="s">
        <v>102</v>
      </c>
      <c r="AM12" s="124" t="s">
        <v>102</v>
      </c>
      <c r="AN12" s="124" t="s">
        <v>102</v>
      </c>
      <c r="AO12" s="124" t="s">
        <v>102</v>
      </c>
      <c r="AP12" s="124">
        <v>0</v>
      </c>
    </row>
    <row r="13" spans="1:42" ht="99.75" customHeight="1" x14ac:dyDescent="0.25">
      <c r="A13" s="34" t="s">
        <v>55</v>
      </c>
      <c r="B13" s="34" t="s">
        <v>354</v>
      </c>
      <c r="C13" s="34" t="s">
        <v>2560</v>
      </c>
      <c r="D13" s="34">
        <v>241210000</v>
      </c>
      <c r="E13" s="74" t="s">
        <v>2570</v>
      </c>
      <c r="F13" s="34" t="s">
        <v>2571</v>
      </c>
      <c r="G13" s="34" t="s">
        <v>2572</v>
      </c>
      <c r="H13" s="36">
        <v>24247620000</v>
      </c>
      <c r="I13" s="36">
        <v>26247820000</v>
      </c>
      <c r="J13" s="36">
        <v>23403526029</v>
      </c>
      <c r="K13" s="39"/>
      <c r="L13" s="39"/>
      <c r="M13" s="39"/>
      <c r="N13" s="36">
        <f t="shared" si="0"/>
        <v>24247620000</v>
      </c>
      <c r="O13" s="36">
        <f t="shared" si="0"/>
        <v>26247820000</v>
      </c>
      <c r="P13" s="36">
        <f t="shared" si="0"/>
        <v>23403526029</v>
      </c>
      <c r="Q13" s="36">
        <v>22457282998</v>
      </c>
      <c r="R13" s="36"/>
      <c r="S13" s="36">
        <f t="shared" si="1"/>
        <v>22457282998</v>
      </c>
      <c r="T13" s="37"/>
      <c r="U13" s="37"/>
      <c r="V13" s="37"/>
      <c r="W13" s="34"/>
      <c r="X13" s="34"/>
      <c r="Y13" s="34"/>
      <c r="Z13" s="34"/>
      <c r="AA13" s="34">
        <v>0</v>
      </c>
      <c r="AB13" s="34"/>
      <c r="AC13" s="34"/>
      <c r="AD13" s="36" t="s">
        <v>2605</v>
      </c>
      <c r="AE13" s="10">
        <v>0</v>
      </c>
      <c r="AF13" s="10">
        <v>0</v>
      </c>
      <c r="AG13" s="10">
        <v>0</v>
      </c>
      <c r="AH13" s="124">
        <v>0</v>
      </c>
      <c r="AI13" s="124">
        <v>0</v>
      </c>
      <c r="AJ13" s="124">
        <v>0</v>
      </c>
      <c r="AK13" s="124">
        <v>0</v>
      </c>
      <c r="AL13" s="124">
        <v>0</v>
      </c>
      <c r="AM13" s="124">
        <v>0</v>
      </c>
      <c r="AN13" s="124">
        <v>0</v>
      </c>
      <c r="AO13" s="124">
        <v>0</v>
      </c>
      <c r="AP13" s="124">
        <v>0</v>
      </c>
    </row>
    <row r="14" spans="1:42" ht="93" customHeight="1" x14ac:dyDescent="0.25">
      <c r="A14" s="34">
        <v>0</v>
      </c>
      <c r="B14" s="34">
        <v>0</v>
      </c>
      <c r="C14" s="34">
        <v>0</v>
      </c>
      <c r="D14" s="34">
        <v>0</v>
      </c>
      <c r="E14" s="74">
        <v>0</v>
      </c>
      <c r="F14" s="34">
        <v>0</v>
      </c>
      <c r="G14" s="34">
        <v>0</v>
      </c>
      <c r="H14" s="36">
        <v>0</v>
      </c>
      <c r="I14" s="39"/>
      <c r="J14" s="39"/>
      <c r="K14" s="39"/>
      <c r="L14" s="39"/>
      <c r="M14" s="39"/>
      <c r="N14" s="36">
        <f t="shared" si="0"/>
        <v>0</v>
      </c>
      <c r="O14" s="36">
        <f t="shared" si="0"/>
        <v>0</v>
      </c>
      <c r="P14" s="36">
        <f t="shared" si="0"/>
        <v>0</v>
      </c>
      <c r="Q14" s="36"/>
      <c r="R14" s="36"/>
      <c r="S14" s="36">
        <f t="shared" si="1"/>
        <v>0</v>
      </c>
      <c r="T14" s="37" t="s">
        <v>2606</v>
      </c>
      <c r="U14" s="37" t="s">
        <v>266</v>
      </c>
      <c r="V14" s="37">
        <v>216000</v>
      </c>
      <c r="W14" s="34">
        <v>216000</v>
      </c>
      <c r="X14" s="34"/>
      <c r="Y14" s="34">
        <v>131951</v>
      </c>
      <c r="Z14" s="34">
        <v>156896</v>
      </c>
      <c r="AA14" s="34">
        <v>365</v>
      </c>
      <c r="AB14" s="34">
        <v>180</v>
      </c>
      <c r="AC14" s="34">
        <v>365</v>
      </c>
      <c r="AD14" s="10"/>
      <c r="AE14" s="10" t="s">
        <v>102</v>
      </c>
      <c r="AF14" s="10" t="s">
        <v>102</v>
      </c>
      <c r="AG14" s="10" t="s">
        <v>102</v>
      </c>
      <c r="AH14" s="124" t="s">
        <v>102</v>
      </c>
      <c r="AI14" s="124" t="s">
        <v>102</v>
      </c>
      <c r="AJ14" s="124" t="s">
        <v>102</v>
      </c>
      <c r="AK14" s="124" t="s">
        <v>102</v>
      </c>
      <c r="AL14" s="124" t="s">
        <v>102</v>
      </c>
      <c r="AM14" s="124" t="s">
        <v>102</v>
      </c>
      <c r="AN14" s="124" t="s">
        <v>102</v>
      </c>
      <c r="AO14" s="124" t="s">
        <v>102</v>
      </c>
      <c r="AP14" s="124" t="s">
        <v>102</v>
      </c>
    </row>
    <row r="15" spans="1:42" ht="132" x14ac:dyDescent="0.25">
      <c r="A15" s="34" t="s">
        <v>55</v>
      </c>
      <c r="B15" s="34" t="s">
        <v>354</v>
      </c>
      <c r="C15" s="34" t="s">
        <v>2560</v>
      </c>
      <c r="D15" s="34">
        <v>241210000</v>
      </c>
      <c r="E15" s="74" t="s">
        <v>2574</v>
      </c>
      <c r="F15" s="34" t="s">
        <v>2575</v>
      </c>
      <c r="G15" s="34" t="s">
        <v>2576</v>
      </c>
      <c r="H15" s="36">
        <v>299424000</v>
      </c>
      <c r="I15" s="36">
        <v>8888585501</v>
      </c>
      <c r="J15" s="36">
        <v>7258778077</v>
      </c>
      <c r="K15" s="39"/>
      <c r="L15" s="39"/>
      <c r="M15" s="39"/>
      <c r="N15" s="36">
        <f t="shared" si="0"/>
        <v>299424000</v>
      </c>
      <c r="O15" s="36">
        <f t="shared" si="0"/>
        <v>8888585501</v>
      </c>
      <c r="P15" s="36">
        <f t="shared" si="0"/>
        <v>7258778077</v>
      </c>
      <c r="Q15" s="36">
        <v>5430559853</v>
      </c>
      <c r="R15" s="36"/>
      <c r="S15" s="36">
        <f t="shared" si="1"/>
        <v>5430559853</v>
      </c>
      <c r="T15" s="37"/>
      <c r="U15" s="37"/>
      <c r="V15" s="37"/>
      <c r="W15" s="34"/>
      <c r="X15" s="34"/>
      <c r="Y15" s="34"/>
      <c r="Z15" s="34"/>
      <c r="AA15" s="34">
        <v>0</v>
      </c>
      <c r="AB15" s="34"/>
      <c r="AC15" s="34"/>
      <c r="AD15" s="36" t="s">
        <v>2607</v>
      </c>
      <c r="AE15" s="10">
        <v>0</v>
      </c>
      <c r="AF15" s="10">
        <v>0</v>
      </c>
      <c r="AG15" s="10">
        <v>0</v>
      </c>
      <c r="AH15" s="124">
        <v>0</v>
      </c>
      <c r="AI15" s="124">
        <v>0</v>
      </c>
      <c r="AJ15" s="124">
        <v>0</v>
      </c>
      <c r="AK15" s="124">
        <v>0</v>
      </c>
      <c r="AL15" s="124">
        <v>0</v>
      </c>
      <c r="AM15" s="124">
        <v>0</v>
      </c>
      <c r="AN15" s="124">
        <v>0</v>
      </c>
      <c r="AO15" s="124">
        <v>0</v>
      </c>
      <c r="AP15" s="124">
        <v>0</v>
      </c>
    </row>
    <row r="16" spans="1:42" ht="51" customHeight="1" x14ac:dyDescent="0.25">
      <c r="A16" s="34">
        <v>0</v>
      </c>
      <c r="B16" s="34">
        <v>0</v>
      </c>
      <c r="C16" s="34">
        <v>0</v>
      </c>
      <c r="D16" s="34">
        <v>0</v>
      </c>
      <c r="E16" s="74">
        <v>0</v>
      </c>
      <c r="F16" s="34">
        <v>0</v>
      </c>
      <c r="G16" s="34">
        <v>0</v>
      </c>
      <c r="H16" s="36">
        <v>0</v>
      </c>
      <c r="I16" s="39"/>
      <c r="J16" s="39"/>
      <c r="K16" s="39"/>
      <c r="L16" s="39"/>
      <c r="M16" s="39"/>
      <c r="N16" s="36">
        <f t="shared" si="0"/>
        <v>0</v>
      </c>
      <c r="O16" s="36">
        <f t="shared" si="0"/>
        <v>0</v>
      </c>
      <c r="P16" s="36">
        <f t="shared" si="0"/>
        <v>0</v>
      </c>
      <c r="Q16" s="36"/>
      <c r="R16" s="36"/>
      <c r="S16" s="36">
        <f t="shared" si="1"/>
        <v>0</v>
      </c>
      <c r="T16" s="37" t="s">
        <v>2608</v>
      </c>
      <c r="U16" s="37" t="s">
        <v>266</v>
      </c>
      <c r="V16" s="37">
        <v>123</v>
      </c>
      <c r="W16" s="34">
        <v>3300</v>
      </c>
      <c r="X16" s="34"/>
      <c r="Y16" s="34">
        <v>1630</v>
      </c>
      <c r="Z16" s="34">
        <v>2982</v>
      </c>
      <c r="AA16" s="34">
        <v>365</v>
      </c>
      <c r="AB16" s="34">
        <v>180</v>
      </c>
      <c r="AC16" s="34">
        <v>365</v>
      </c>
      <c r="AD16" s="10"/>
      <c r="AE16" s="10" t="s">
        <v>102</v>
      </c>
      <c r="AF16" s="10" t="s">
        <v>102</v>
      </c>
      <c r="AG16" s="10" t="s">
        <v>102</v>
      </c>
      <c r="AH16" s="124" t="s">
        <v>102</v>
      </c>
      <c r="AI16" s="124" t="s">
        <v>102</v>
      </c>
      <c r="AJ16" s="124" t="s">
        <v>102</v>
      </c>
      <c r="AK16" s="124" t="s">
        <v>102</v>
      </c>
      <c r="AL16" s="124" t="s">
        <v>102</v>
      </c>
      <c r="AM16" s="124" t="s">
        <v>102</v>
      </c>
      <c r="AN16" s="124" t="s">
        <v>102</v>
      </c>
      <c r="AO16" s="124" t="s">
        <v>102</v>
      </c>
      <c r="AP16" s="124" t="s">
        <v>102</v>
      </c>
    </row>
    <row r="17" spans="1:42" ht="165.75" x14ac:dyDescent="0.25">
      <c r="A17" s="34">
        <v>0</v>
      </c>
      <c r="B17" s="34">
        <v>0</v>
      </c>
      <c r="C17" s="34">
        <v>0</v>
      </c>
      <c r="D17" s="34">
        <v>0</v>
      </c>
      <c r="E17" s="74">
        <v>0</v>
      </c>
      <c r="F17" s="34">
        <v>0</v>
      </c>
      <c r="G17" s="34">
        <v>0</v>
      </c>
      <c r="H17" s="36">
        <v>0</v>
      </c>
      <c r="I17" s="39"/>
      <c r="J17" s="39"/>
      <c r="K17" s="39"/>
      <c r="L17" s="39"/>
      <c r="M17" s="39"/>
      <c r="N17" s="36">
        <f t="shared" si="0"/>
        <v>0</v>
      </c>
      <c r="O17" s="36">
        <f t="shared" si="0"/>
        <v>0</v>
      </c>
      <c r="P17" s="36">
        <f t="shared" si="0"/>
        <v>0</v>
      </c>
      <c r="Q17" s="36"/>
      <c r="R17" s="36"/>
      <c r="S17" s="36">
        <f t="shared" si="1"/>
        <v>0</v>
      </c>
      <c r="T17" s="37" t="s">
        <v>2609</v>
      </c>
      <c r="U17" s="37" t="s">
        <v>266</v>
      </c>
      <c r="V17" s="37">
        <v>40</v>
      </c>
      <c r="W17" s="34">
        <v>9000</v>
      </c>
      <c r="X17" s="34"/>
      <c r="Y17" s="34">
        <v>629</v>
      </c>
      <c r="Z17" s="34">
        <v>3835</v>
      </c>
      <c r="AA17" s="34">
        <v>365</v>
      </c>
      <c r="AB17" s="34">
        <v>180</v>
      </c>
      <c r="AC17" s="34">
        <v>365</v>
      </c>
      <c r="AD17" s="49" t="s">
        <v>2610</v>
      </c>
      <c r="AE17" s="10" t="s">
        <v>102</v>
      </c>
      <c r="AF17" s="10" t="s">
        <v>102</v>
      </c>
      <c r="AG17" s="10" t="s">
        <v>102</v>
      </c>
      <c r="AH17" s="124" t="s">
        <v>102</v>
      </c>
      <c r="AI17" s="124" t="s">
        <v>102</v>
      </c>
      <c r="AJ17" s="124" t="s">
        <v>102</v>
      </c>
      <c r="AK17" s="124" t="s">
        <v>102</v>
      </c>
      <c r="AL17" s="124" t="s">
        <v>102</v>
      </c>
      <c r="AM17" s="124" t="s">
        <v>102</v>
      </c>
      <c r="AN17" s="124" t="s">
        <v>102</v>
      </c>
      <c r="AO17" s="124" t="s">
        <v>102</v>
      </c>
      <c r="AP17" s="124" t="s">
        <v>102</v>
      </c>
    </row>
    <row r="18" spans="1:42" ht="120" x14ac:dyDescent="0.25">
      <c r="A18" s="34" t="s">
        <v>55</v>
      </c>
      <c r="B18" s="34" t="s">
        <v>354</v>
      </c>
      <c r="C18" s="34" t="s">
        <v>2560</v>
      </c>
      <c r="D18" s="34">
        <v>241210000</v>
      </c>
      <c r="E18" s="74" t="s">
        <v>2581</v>
      </c>
      <c r="F18" s="34" t="s">
        <v>2582</v>
      </c>
      <c r="G18" s="34" t="s">
        <v>2583</v>
      </c>
      <c r="H18" s="36">
        <v>76714380000</v>
      </c>
      <c r="I18" s="36">
        <v>78263497454</v>
      </c>
      <c r="J18" s="36">
        <v>61825597636</v>
      </c>
      <c r="K18" s="39"/>
      <c r="L18" s="39"/>
      <c r="M18" s="39"/>
      <c r="N18" s="36">
        <f t="shared" si="0"/>
        <v>76714380000</v>
      </c>
      <c r="O18" s="36">
        <f t="shared" si="0"/>
        <v>78263497454</v>
      </c>
      <c r="P18" s="36">
        <f t="shared" si="0"/>
        <v>61825597636</v>
      </c>
      <c r="Q18" s="36">
        <v>60413944664</v>
      </c>
      <c r="R18" s="36"/>
      <c r="S18" s="36">
        <f t="shared" si="1"/>
        <v>60413944664</v>
      </c>
      <c r="T18" s="37"/>
      <c r="U18" s="37"/>
      <c r="V18" s="37"/>
      <c r="W18" s="34"/>
      <c r="X18" s="34"/>
      <c r="Y18" s="34"/>
      <c r="Z18" s="34"/>
      <c r="AA18" s="34">
        <v>0</v>
      </c>
      <c r="AB18" s="34"/>
      <c r="AC18" s="34"/>
      <c r="AD18" s="36" t="s">
        <v>2611</v>
      </c>
      <c r="AE18" s="10">
        <v>0</v>
      </c>
      <c r="AF18" s="10">
        <v>0</v>
      </c>
      <c r="AG18" s="10">
        <v>0</v>
      </c>
      <c r="AH18" s="124">
        <v>0</v>
      </c>
      <c r="AI18" s="124">
        <v>0</v>
      </c>
      <c r="AJ18" s="124">
        <v>0</v>
      </c>
      <c r="AK18" s="124">
        <v>0</v>
      </c>
      <c r="AL18" s="124">
        <v>0</v>
      </c>
      <c r="AM18" s="124">
        <v>0</v>
      </c>
      <c r="AN18" s="124">
        <v>0</v>
      </c>
      <c r="AO18" s="124">
        <v>0</v>
      </c>
      <c r="AP18" s="124">
        <v>0</v>
      </c>
    </row>
    <row r="19" spans="1:42" ht="108" customHeight="1" x14ac:dyDescent="0.25">
      <c r="A19" s="34">
        <v>0</v>
      </c>
      <c r="B19" s="34">
        <v>0</v>
      </c>
      <c r="C19" s="34">
        <v>0</v>
      </c>
      <c r="D19" s="34">
        <v>0</v>
      </c>
      <c r="E19" s="74">
        <v>0</v>
      </c>
      <c r="F19" s="34">
        <v>0</v>
      </c>
      <c r="G19" s="34">
        <v>0</v>
      </c>
      <c r="H19" s="36">
        <v>0</v>
      </c>
      <c r="I19" s="36"/>
      <c r="J19" s="39"/>
      <c r="K19" s="39"/>
      <c r="L19" s="39"/>
      <c r="M19" s="39"/>
      <c r="N19" s="36">
        <f t="shared" si="0"/>
        <v>0</v>
      </c>
      <c r="O19" s="36">
        <f t="shared" si="0"/>
        <v>0</v>
      </c>
      <c r="P19" s="36">
        <f t="shared" si="0"/>
        <v>0</v>
      </c>
      <c r="Q19" s="36"/>
      <c r="R19" s="36"/>
      <c r="S19" s="36">
        <f t="shared" si="1"/>
        <v>0</v>
      </c>
      <c r="T19" s="37" t="s">
        <v>2612</v>
      </c>
      <c r="U19" s="37" t="s">
        <v>316</v>
      </c>
      <c r="V19" s="37">
        <v>348568</v>
      </c>
      <c r="W19" s="34">
        <v>348568</v>
      </c>
      <c r="X19" s="34"/>
      <c r="Y19" s="34">
        <v>342964</v>
      </c>
      <c r="Z19" s="34">
        <v>343700</v>
      </c>
      <c r="AA19" s="34">
        <v>180</v>
      </c>
      <c r="AB19" s="34">
        <v>76</v>
      </c>
      <c r="AC19" s="34">
        <v>166</v>
      </c>
      <c r="AD19" s="10"/>
      <c r="AE19" s="10" t="s">
        <v>102</v>
      </c>
      <c r="AF19" s="10" t="s">
        <v>102</v>
      </c>
      <c r="AG19" s="10" t="s">
        <v>102</v>
      </c>
      <c r="AH19" s="124" t="s">
        <v>102</v>
      </c>
      <c r="AI19" s="124" t="s">
        <v>102</v>
      </c>
      <c r="AJ19" s="124" t="s">
        <v>102</v>
      </c>
      <c r="AK19" s="124" t="s">
        <v>102</v>
      </c>
      <c r="AL19" s="124" t="s">
        <v>102</v>
      </c>
      <c r="AM19" s="124" t="s">
        <v>102</v>
      </c>
      <c r="AN19" s="124" t="s">
        <v>102</v>
      </c>
      <c r="AO19" s="124" t="s">
        <v>102</v>
      </c>
      <c r="AP19" s="124">
        <v>0</v>
      </c>
    </row>
    <row r="20" spans="1:42" ht="72.75" customHeight="1" x14ac:dyDescent="0.25">
      <c r="A20" s="34" t="s">
        <v>55</v>
      </c>
      <c r="B20" s="34" t="s">
        <v>354</v>
      </c>
      <c r="C20" s="34" t="s">
        <v>2560</v>
      </c>
      <c r="D20" s="34">
        <v>241210000</v>
      </c>
      <c r="E20" s="74" t="s">
        <v>2585</v>
      </c>
      <c r="F20" s="34" t="s">
        <v>2586</v>
      </c>
      <c r="G20" s="34" t="s">
        <v>2587</v>
      </c>
      <c r="H20" s="36">
        <v>10696000000</v>
      </c>
      <c r="I20" s="36">
        <v>10696000000</v>
      </c>
      <c r="J20" s="36">
        <v>12196000000</v>
      </c>
      <c r="K20" s="39"/>
      <c r="L20" s="39"/>
      <c r="M20" s="36">
        <v>505958333</v>
      </c>
      <c r="N20" s="36">
        <f t="shared" si="0"/>
        <v>10696000000</v>
      </c>
      <c r="O20" s="36">
        <f t="shared" si="0"/>
        <v>10696000000</v>
      </c>
      <c r="P20" s="36">
        <f t="shared" si="0"/>
        <v>12701958333</v>
      </c>
      <c r="Q20" s="36">
        <v>11914336077</v>
      </c>
      <c r="R20" s="36">
        <v>198682907</v>
      </c>
      <c r="S20" s="36">
        <f t="shared" si="1"/>
        <v>12113018984</v>
      </c>
      <c r="T20" s="37">
        <v>0</v>
      </c>
      <c r="U20" s="37">
        <v>0</v>
      </c>
      <c r="V20" s="37">
        <v>0</v>
      </c>
      <c r="W20" s="34"/>
      <c r="X20" s="34"/>
      <c r="Y20" s="34"/>
      <c r="Z20" s="34"/>
      <c r="AA20" s="34">
        <v>0</v>
      </c>
      <c r="AB20" s="34"/>
      <c r="AC20" s="34"/>
      <c r="AD20" s="36" t="s">
        <v>2613</v>
      </c>
      <c r="AE20" s="10">
        <v>0</v>
      </c>
      <c r="AF20" s="10">
        <v>0</v>
      </c>
      <c r="AG20" s="10">
        <v>0</v>
      </c>
      <c r="AH20" s="124">
        <v>0</v>
      </c>
      <c r="AI20" s="124">
        <v>0</v>
      </c>
      <c r="AJ20" s="124">
        <v>0</v>
      </c>
      <c r="AK20" s="124">
        <v>0</v>
      </c>
      <c r="AL20" s="124">
        <v>0</v>
      </c>
      <c r="AM20" s="124">
        <v>0</v>
      </c>
      <c r="AN20" s="124">
        <v>0</v>
      </c>
      <c r="AO20" s="124">
        <v>0</v>
      </c>
      <c r="AP20" s="124">
        <v>0</v>
      </c>
    </row>
    <row r="21" spans="1:42" ht="28.5" customHeight="1" x14ac:dyDescent="0.25">
      <c r="A21" s="34">
        <v>0</v>
      </c>
      <c r="B21" s="34">
        <v>0</v>
      </c>
      <c r="C21" s="34">
        <v>0</v>
      </c>
      <c r="D21" s="34">
        <v>0</v>
      </c>
      <c r="E21" s="74">
        <v>0</v>
      </c>
      <c r="F21" s="34">
        <v>0</v>
      </c>
      <c r="G21" s="34">
        <v>0</v>
      </c>
      <c r="H21" s="36">
        <v>0</v>
      </c>
      <c r="I21" s="36"/>
      <c r="J21" s="39"/>
      <c r="K21" s="39"/>
      <c r="L21" s="39"/>
      <c r="M21" s="39"/>
      <c r="N21" s="36">
        <f t="shared" si="0"/>
        <v>0</v>
      </c>
      <c r="O21" s="36">
        <f t="shared" si="0"/>
        <v>0</v>
      </c>
      <c r="P21" s="36">
        <f t="shared" si="0"/>
        <v>0</v>
      </c>
      <c r="Q21" s="36"/>
      <c r="R21" s="36"/>
      <c r="S21" s="36">
        <f t="shared" si="1"/>
        <v>0</v>
      </c>
      <c r="T21" s="37" t="s">
        <v>2614</v>
      </c>
      <c r="U21" s="37" t="s">
        <v>316</v>
      </c>
      <c r="V21" s="37">
        <v>13030</v>
      </c>
      <c r="W21" s="34">
        <v>13030</v>
      </c>
      <c r="X21" s="34"/>
      <c r="Y21" s="34">
        <v>0</v>
      </c>
      <c r="Z21" s="34">
        <v>14400</v>
      </c>
      <c r="AA21" s="34">
        <v>270</v>
      </c>
      <c r="AB21" s="34">
        <v>0</v>
      </c>
      <c r="AC21" s="34">
        <v>153</v>
      </c>
      <c r="AD21" s="10"/>
      <c r="AE21" s="10">
        <v>0</v>
      </c>
      <c r="AF21" s="10">
        <v>0</v>
      </c>
      <c r="AG21" s="10">
        <v>0</v>
      </c>
      <c r="AH21" s="124" t="s">
        <v>102</v>
      </c>
      <c r="AI21" s="124" t="s">
        <v>102</v>
      </c>
      <c r="AJ21" s="124" t="s">
        <v>102</v>
      </c>
      <c r="AK21" s="124" t="s">
        <v>102</v>
      </c>
      <c r="AL21" s="124" t="s">
        <v>102</v>
      </c>
      <c r="AM21" s="124" t="s">
        <v>102</v>
      </c>
      <c r="AN21" s="124" t="s">
        <v>102</v>
      </c>
      <c r="AO21" s="124" t="s">
        <v>102</v>
      </c>
      <c r="AP21" s="124" t="s">
        <v>102</v>
      </c>
    </row>
    <row r="22" spans="1:42" ht="84" x14ac:dyDescent="0.25">
      <c r="A22" s="34" t="s">
        <v>55</v>
      </c>
      <c r="B22" s="34" t="s">
        <v>354</v>
      </c>
      <c r="C22" s="34" t="s">
        <v>2560</v>
      </c>
      <c r="D22" s="34">
        <v>241220000</v>
      </c>
      <c r="E22" s="74" t="s">
        <v>2590</v>
      </c>
      <c r="F22" s="34" t="s">
        <v>2591</v>
      </c>
      <c r="G22" s="34" t="s">
        <v>2592</v>
      </c>
      <c r="H22" s="36">
        <v>290809000</v>
      </c>
      <c r="I22" s="36">
        <v>1269031000</v>
      </c>
      <c r="J22" s="36">
        <v>1269031000</v>
      </c>
      <c r="K22" s="39"/>
      <c r="L22" s="39"/>
      <c r="M22" s="39"/>
      <c r="N22" s="36">
        <f t="shared" si="0"/>
        <v>290809000</v>
      </c>
      <c r="O22" s="36">
        <f t="shared" si="0"/>
        <v>1269031000</v>
      </c>
      <c r="P22" s="36">
        <f t="shared" si="0"/>
        <v>1269031000</v>
      </c>
      <c r="Q22" s="36">
        <v>1005961681</v>
      </c>
      <c r="R22" s="36"/>
      <c r="S22" s="36">
        <f t="shared" si="1"/>
        <v>1005961681</v>
      </c>
      <c r="T22" s="37"/>
      <c r="U22" s="37"/>
      <c r="V22" s="37"/>
      <c r="W22" s="34"/>
      <c r="X22" s="34"/>
      <c r="Y22" s="34"/>
      <c r="Z22" s="34"/>
      <c r="AA22" s="34">
        <v>0</v>
      </c>
      <c r="AB22" s="34"/>
      <c r="AC22" s="34"/>
      <c r="AD22" s="36" t="s">
        <v>2615</v>
      </c>
      <c r="AE22" s="10">
        <v>0</v>
      </c>
      <c r="AF22" s="10">
        <v>0</v>
      </c>
      <c r="AG22" s="10">
        <v>0</v>
      </c>
      <c r="AH22" s="124">
        <v>0</v>
      </c>
      <c r="AI22" s="124">
        <v>0</v>
      </c>
      <c r="AJ22" s="124">
        <v>0</v>
      </c>
      <c r="AK22" s="124">
        <v>0</v>
      </c>
      <c r="AL22" s="124">
        <v>0</v>
      </c>
      <c r="AM22" s="124">
        <v>0</v>
      </c>
      <c r="AN22" s="124">
        <v>0</v>
      </c>
      <c r="AO22" s="124">
        <v>0</v>
      </c>
      <c r="AP22" s="124">
        <v>0</v>
      </c>
    </row>
    <row r="23" spans="1:42" ht="74.25" customHeight="1" x14ac:dyDescent="0.25">
      <c r="A23" s="34">
        <v>0</v>
      </c>
      <c r="B23" s="34">
        <v>0</v>
      </c>
      <c r="C23" s="34">
        <v>0</v>
      </c>
      <c r="D23" s="34">
        <v>0</v>
      </c>
      <c r="E23" s="74">
        <v>0</v>
      </c>
      <c r="F23" s="34">
        <v>0</v>
      </c>
      <c r="G23" s="34">
        <v>0</v>
      </c>
      <c r="H23" s="36">
        <v>0</v>
      </c>
      <c r="I23" s="36"/>
      <c r="J23" s="39"/>
      <c r="K23" s="39"/>
      <c r="L23" s="39"/>
      <c r="M23" s="39"/>
      <c r="N23" s="36">
        <f t="shared" si="0"/>
        <v>0</v>
      </c>
      <c r="O23" s="36">
        <f t="shared" si="0"/>
        <v>0</v>
      </c>
      <c r="P23" s="36">
        <f t="shared" si="0"/>
        <v>0</v>
      </c>
      <c r="Q23" s="36"/>
      <c r="R23" s="36"/>
      <c r="S23" s="36">
        <f t="shared" si="1"/>
        <v>0</v>
      </c>
      <c r="T23" s="37" t="s">
        <v>2616</v>
      </c>
      <c r="U23" s="37" t="s">
        <v>316</v>
      </c>
      <c r="V23" s="37">
        <v>40</v>
      </c>
      <c r="W23" s="34">
        <v>40</v>
      </c>
      <c r="X23" s="34"/>
      <c r="Y23" s="34">
        <v>0</v>
      </c>
      <c r="Z23" s="34">
        <v>500</v>
      </c>
      <c r="AA23" s="34">
        <v>0</v>
      </c>
      <c r="AB23" s="34">
        <v>0</v>
      </c>
      <c r="AC23" s="34">
        <v>115</v>
      </c>
      <c r="AD23" s="10"/>
      <c r="AE23" s="10">
        <v>0</v>
      </c>
      <c r="AF23" s="10">
        <v>0</v>
      </c>
      <c r="AG23" s="10">
        <v>0</v>
      </c>
      <c r="AH23" s="124" t="s">
        <v>102</v>
      </c>
      <c r="AI23" s="124" t="s">
        <v>102</v>
      </c>
      <c r="AJ23" s="124" t="s">
        <v>102</v>
      </c>
      <c r="AK23" s="124" t="s">
        <v>102</v>
      </c>
      <c r="AL23" s="124" t="s">
        <v>102</v>
      </c>
      <c r="AM23" s="124" t="s">
        <v>102</v>
      </c>
      <c r="AN23" s="124" t="s">
        <v>102</v>
      </c>
      <c r="AO23" s="124" t="s">
        <v>102</v>
      </c>
      <c r="AP23" s="124" t="s">
        <v>102</v>
      </c>
    </row>
    <row r="24" spans="1:42" ht="85.5" customHeight="1" x14ac:dyDescent="0.25">
      <c r="A24" s="34" t="s">
        <v>55</v>
      </c>
      <c r="B24" s="34" t="s">
        <v>354</v>
      </c>
      <c r="C24" s="34" t="s">
        <v>2560</v>
      </c>
      <c r="D24" s="34">
        <v>241230000</v>
      </c>
      <c r="E24" s="74" t="s">
        <v>2595</v>
      </c>
      <c r="F24" s="34" t="s">
        <v>2596</v>
      </c>
      <c r="G24" s="34" t="s">
        <v>2597</v>
      </c>
      <c r="H24" s="36">
        <v>1000000000</v>
      </c>
      <c r="I24" s="36">
        <v>2340000000</v>
      </c>
      <c r="J24" s="36">
        <v>2340000000</v>
      </c>
      <c r="K24" s="39"/>
      <c r="L24" s="39"/>
      <c r="M24" s="39"/>
      <c r="N24" s="36">
        <f t="shared" si="0"/>
        <v>1000000000</v>
      </c>
      <c r="O24" s="36">
        <f t="shared" si="0"/>
        <v>2340000000</v>
      </c>
      <c r="P24" s="36">
        <f t="shared" si="0"/>
        <v>2340000000</v>
      </c>
      <c r="Q24" s="36">
        <v>2272985863</v>
      </c>
      <c r="R24" s="36"/>
      <c r="S24" s="36"/>
      <c r="T24" s="37"/>
      <c r="U24" s="37"/>
      <c r="V24" s="37"/>
      <c r="W24" s="34"/>
      <c r="X24" s="34"/>
      <c r="Y24" s="34"/>
      <c r="Z24" s="34"/>
      <c r="AA24" s="34">
        <v>0</v>
      </c>
      <c r="AB24" s="34"/>
      <c r="AC24" s="34"/>
      <c r="AD24" s="10"/>
      <c r="AE24" s="10">
        <v>0</v>
      </c>
      <c r="AF24" s="10">
        <v>0</v>
      </c>
      <c r="AG24" s="10">
        <v>0</v>
      </c>
      <c r="AH24" s="124">
        <v>0</v>
      </c>
      <c r="AI24" s="124">
        <v>0</v>
      </c>
      <c r="AJ24" s="124">
        <v>0</v>
      </c>
      <c r="AK24" s="124">
        <v>0</v>
      </c>
      <c r="AL24" s="124">
        <v>0</v>
      </c>
      <c r="AM24" s="124">
        <v>0</v>
      </c>
      <c r="AN24" s="124">
        <v>0</v>
      </c>
      <c r="AO24" s="124">
        <v>0</v>
      </c>
      <c r="AP24" s="124">
        <v>0</v>
      </c>
    </row>
    <row r="25" spans="1:42" ht="60" x14ac:dyDescent="0.25">
      <c r="A25" s="34">
        <v>0</v>
      </c>
      <c r="B25" s="34">
        <v>0</v>
      </c>
      <c r="C25" s="34">
        <v>0</v>
      </c>
      <c r="D25" s="34">
        <v>0</v>
      </c>
      <c r="E25" s="74">
        <v>0</v>
      </c>
      <c r="F25" s="34">
        <v>0</v>
      </c>
      <c r="G25" s="34">
        <v>0</v>
      </c>
      <c r="H25" s="36">
        <v>0</v>
      </c>
      <c r="I25" s="36"/>
      <c r="J25" s="39"/>
      <c r="K25" s="39"/>
      <c r="L25" s="39"/>
      <c r="M25" s="39"/>
      <c r="N25" s="36">
        <f t="shared" si="0"/>
        <v>0</v>
      </c>
      <c r="O25" s="36">
        <f t="shared" si="0"/>
        <v>0</v>
      </c>
      <c r="P25" s="36">
        <f t="shared" si="0"/>
        <v>0</v>
      </c>
      <c r="Q25" s="36"/>
      <c r="R25" s="36"/>
      <c r="S25" s="36">
        <f t="shared" si="1"/>
        <v>0</v>
      </c>
      <c r="T25" s="37" t="s">
        <v>2617</v>
      </c>
      <c r="U25" s="37" t="s">
        <v>316</v>
      </c>
      <c r="V25" s="37">
        <v>40</v>
      </c>
      <c r="W25" s="34">
        <v>40</v>
      </c>
      <c r="X25" s="34"/>
      <c r="Y25" s="34">
        <v>0</v>
      </c>
      <c r="Z25" s="34">
        <v>0</v>
      </c>
      <c r="AA25" s="34">
        <v>270</v>
      </c>
      <c r="AB25" s="34">
        <v>0</v>
      </c>
      <c r="AC25" s="34">
        <v>45</v>
      </c>
      <c r="AD25" s="36" t="s">
        <v>2618</v>
      </c>
      <c r="AE25" s="10">
        <v>0</v>
      </c>
      <c r="AF25" s="10">
        <v>0</v>
      </c>
      <c r="AG25" s="10">
        <v>0</v>
      </c>
      <c r="AH25" s="124" t="s">
        <v>102</v>
      </c>
      <c r="AI25" s="124" t="s">
        <v>102</v>
      </c>
      <c r="AJ25" s="124" t="s">
        <v>102</v>
      </c>
      <c r="AK25" s="124" t="s">
        <v>102</v>
      </c>
      <c r="AL25" s="124" t="s">
        <v>102</v>
      </c>
      <c r="AM25" s="124" t="s">
        <v>102</v>
      </c>
      <c r="AN25" s="124" t="s">
        <v>102</v>
      </c>
      <c r="AO25" s="124" t="s">
        <v>102</v>
      </c>
      <c r="AP25" s="124" t="s">
        <v>102</v>
      </c>
    </row>
    <row r="26" spans="1:42" ht="72" x14ac:dyDescent="0.25">
      <c r="A26" s="34">
        <v>0</v>
      </c>
      <c r="B26" s="34">
        <v>0</v>
      </c>
      <c r="C26" s="34">
        <v>0</v>
      </c>
      <c r="D26" s="34">
        <v>0</v>
      </c>
      <c r="E26" s="74">
        <v>0</v>
      </c>
      <c r="F26" s="34">
        <v>0</v>
      </c>
      <c r="G26" s="34">
        <v>0</v>
      </c>
      <c r="H26" s="36">
        <v>0</v>
      </c>
      <c r="I26" s="36"/>
      <c r="J26" s="39"/>
      <c r="K26" s="39"/>
      <c r="L26" s="39"/>
      <c r="M26" s="39"/>
      <c r="N26" s="36">
        <f t="shared" si="0"/>
        <v>0</v>
      </c>
      <c r="O26" s="36">
        <f t="shared" si="0"/>
        <v>0</v>
      </c>
      <c r="P26" s="36">
        <f t="shared" si="0"/>
        <v>0</v>
      </c>
      <c r="Q26" s="36"/>
      <c r="R26" s="36"/>
      <c r="S26" s="36">
        <f t="shared" si="1"/>
        <v>0</v>
      </c>
      <c r="T26" s="37" t="s">
        <v>2619</v>
      </c>
      <c r="U26" s="37" t="s">
        <v>2620</v>
      </c>
      <c r="V26" s="37">
        <v>10</v>
      </c>
      <c r="W26" s="34">
        <v>10</v>
      </c>
      <c r="X26" s="34"/>
      <c r="Y26" s="34">
        <v>0</v>
      </c>
      <c r="Z26" s="34">
        <v>5</v>
      </c>
      <c r="AA26" s="34">
        <v>270</v>
      </c>
      <c r="AB26" s="34">
        <v>0</v>
      </c>
      <c r="AC26" s="34">
        <v>181</v>
      </c>
      <c r="AD26" s="36" t="s">
        <v>2621</v>
      </c>
      <c r="AE26" s="10">
        <v>0</v>
      </c>
      <c r="AF26" s="10">
        <v>0</v>
      </c>
      <c r="AG26" s="10">
        <v>0</v>
      </c>
      <c r="AH26" s="124" t="s">
        <v>102</v>
      </c>
      <c r="AI26" s="124" t="s">
        <v>102</v>
      </c>
      <c r="AJ26" s="124" t="s">
        <v>102</v>
      </c>
      <c r="AK26" s="124" t="s">
        <v>102</v>
      </c>
      <c r="AL26" s="124" t="s">
        <v>102</v>
      </c>
      <c r="AM26" s="124" t="s">
        <v>102</v>
      </c>
      <c r="AN26" s="124" t="s">
        <v>102</v>
      </c>
      <c r="AO26" s="124" t="s">
        <v>102</v>
      </c>
      <c r="AP26" s="124" t="s">
        <v>102</v>
      </c>
    </row>
    <row r="27" spans="1:42" ht="53.25" customHeight="1" x14ac:dyDescent="0.25">
      <c r="A27" s="34">
        <v>0</v>
      </c>
      <c r="B27" s="34">
        <v>0</v>
      </c>
      <c r="C27" s="34">
        <v>0</v>
      </c>
      <c r="D27" s="34">
        <v>0</v>
      </c>
      <c r="E27" s="74">
        <v>0</v>
      </c>
      <c r="F27" s="34">
        <v>0</v>
      </c>
      <c r="G27" s="34">
        <v>0</v>
      </c>
      <c r="H27" s="36">
        <v>0</v>
      </c>
      <c r="I27" s="36"/>
      <c r="J27" s="39"/>
      <c r="K27" s="39"/>
      <c r="L27" s="39"/>
      <c r="M27" s="39"/>
      <c r="N27" s="36">
        <f t="shared" si="0"/>
        <v>0</v>
      </c>
      <c r="O27" s="36">
        <f t="shared" si="0"/>
        <v>0</v>
      </c>
      <c r="P27" s="36">
        <f t="shared" si="0"/>
        <v>0</v>
      </c>
      <c r="Q27" s="36"/>
      <c r="R27" s="36"/>
      <c r="S27" s="36">
        <f t="shared" si="1"/>
        <v>0</v>
      </c>
      <c r="T27" s="37" t="s">
        <v>2622</v>
      </c>
      <c r="U27" s="37" t="s">
        <v>325</v>
      </c>
      <c r="V27" s="37">
        <v>10</v>
      </c>
      <c r="W27" s="34">
        <v>10</v>
      </c>
      <c r="X27" s="34"/>
      <c r="Y27" s="34">
        <v>0</v>
      </c>
      <c r="Z27" s="34">
        <v>10</v>
      </c>
      <c r="AA27" s="34">
        <v>270</v>
      </c>
      <c r="AB27" s="34">
        <v>0</v>
      </c>
      <c r="AC27" s="34">
        <v>122</v>
      </c>
      <c r="AD27" s="10"/>
      <c r="AE27" s="10">
        <v>0</v>
      </c>
      <c r="AF27" s="10">
        <v>0</v>
      </c>
      <c r="AG27" s="10">
        <v>0</v>
      </c>
      <c r="AH27" s="124" t="s">
        <v>102</v>
      </c>
      <c r="AI27" s="124" t="s">
        <v>102</v>
      </c>
      <c r="AJ27" s="124" t="s">
        <v>102</v>
      </c>
      <c r="AK27" s="124" t="s">
        <v>102</v>
      </c>
      <c r="AL27" s="124" t="s">
        <v>102</v>
      </c>
      <c r="AM27" s="124" t="s">
        <v>102</v>
      </c>
      <c r="AN27" s="124" t="s">
        <v>102</v>
      </c>
      <c r="AO27" s="124" t="s">
        <v>102</v>
      </c>
      <c r="AP27" s="124" t="s">
        <v>102</v>
      </c>
    </row>
    <row r="28" spans="1:42" x14ac:dyDescent="0.25">
      <c r="A28" s="264"/>
      <c r="B28" s="264"/>
      <c r="C28" s="264"/>
      <c r="D28" s="264"/>
      <c r="E28" s="264"/>
      <c r="F28" s="264"/>
      <c r="G28" s="264"/>
      <c r="H28" s="264"/>
      <c r="I28" s="249"/>
      <c r="J28" s="249"/>
      <c r="K28" s="249"/>
      <c r="L28" s="249"/>
      <c r="M28" s="249"/>
      <c r="N28" s="264"/>
      <c r="O28" s="249"/>
      <c r="P28" s="249"/>
      <c r="Q28" s="249"/>
      <c r="R28" s="249"/>
      <c r="S28" s="249"/>
      <c r="T28" s="267"/>
      <c r="U28" s="267"/>
      <c r="V28" s="267"/>
      <c r="W28" s="250"/>
      <c r="X28" s="250"/>
      <c r="Y28" s="250"/>
      <c r="Z28" s="250"/>
      <c r="AA28" s="266"/>
      <c r="AB28" s="250"/>
      <c r="AC28" s="250"/>
      <c r="AD28" s="250"/>
      <c r="AE28" s="250"/>
      <c r="AF28" s="250"/>
      <c r="AG28" s="250"/>
      <c r="AH28" s="249"/>
      <c r="AI28" s="249"/>
      <c r="AJ28" s="249"/>
      <c r="AK28" s="249"/>
      <c r="AL28" s="249"/>
      <c r="AM28" s="249"/>
      <c r="AN28" s="249"/>
      <c r="AO28" s="249"/>
      <c r="AP28" s="249"/>
    </row>
    <row r="29" spans="1:42" x14ac:dyDescent="0.25">
      <c r="A29" s="264"/>
      <c r="B29" s="264"/>
      <c r="C29" s="264"/>
      <c r="D29" s="264"/>
      <c r="E29" s="264"/>
      <c r="F29" s="264"/>
      <c r="G29" s="264"/>
      <c r="H29" s="264"/>
      <c r="I29" s="249"/>
      <c r="J29" s="249"/>
      <c r="K29" s="249"/>
      <c r="L29" s="249"/>
      <c r="M29" s="249"/>
      <c r="N29" s="264"/>
      <c r="O29" s="249"/>
      <c r="P29" s="249"/>
      <c r="Q29" s="249"/>
      <c r="R29" s="249"/>
      <c r="S29" s="249"/>
      <c r="T29" s="267"/>
      <c r="U29" s="267"/>
      <c r="V29" s="267"/>
      <c r="W29" s="250"/>
      <c r="X29" s="250"/>
      <c r="Y29" s="250"/>
      <c r="Z29" s="250"/>
      <c r="AA29" s="266"/>
      <c r="AB29" s="250"/>
      <c r="AC29" s="250"/>
      <c r="AD29" s="250"/>
      <c r="AE29" s="250"/>
      <c r="AF29" s="250"/>
      <c r="AG29" s="250"/>
      <c r="AH29" s="249"/>
      <c r="AI29" s="249"/>
      <c r="AJ29" s="249"/>
      <c r="AK29" s="249"/>
      <c r="AL29" s="249"/>
      <c r="AM29" s="249"/>
      <c r="AN29" s="249"/>
      <c r="AO29" s="249"/>
      <c r="AP29" s="249"/>
    </row>
    <row r="30" spans="1:42" x14ac:dyDescent="0.25">
      <c r="A30" s="264"/>
      <c r="B30" s="264"/>
      <c r="C30" s="264"/>
      <c r="D30" s="264"/>
      <c r="E30" s="264"/>
      <c r="F30" s="264"/>
      <c r="G30" s="264"/>
      <c r="H30" s="264"/>
      <c r="I30" s="249"/>
      <c r="J30" s="249"/>
      <c r="K30" s="249"/>
      <c r="L30" s="249"/>
      <c r="M30" s="249"/>
      <c r="N30" s="264"/>
      <c r="O30" s="249"/>
      <c r="P30" s="249"/>
      <c r="Q30" s="249"/>
      <c r="R30" s="249"/>
      <c r="S30" s="249"/>
      <c r="T30" s="267"/>
      <c r="U30" s="267"/>
      <c r="V30" s="267"/>
      <c r="W30" s="250"/>
      <c r="X30" s="250"/>
      <c r="Y30" s="250"/>
      <c r="Z30" s="250"/>
      <c r="AA30" s="266"/>
      <c r="AB30" s="250"/>
      <c r="AC30" s="250"/>
      <c r="AD30" s="250"/>
      <c r="AE30" s="250"/>
      <c r="AF30" s="250"/>
      <c r="AG30" s="250"/>
      <c r="AH30" s="249"/>
      <c r="AI30" s="249"/>
      <c r="AJ30" s="249"/>
      <c r="AK30" s="249"/>
      <c r="AL30" s="249"/>
      <c r="AM30" s="249"/>
      <c r="AN30" s="249"/>
      <c r="AO30" s="249"/>
      <c r="AP30" s="249"/>
    </row>
    <row r="31" spans="1:42" x14ac:dyDescent="0.25">
      <c r="A31" s="264"/>
      <c r="B31" s="264"/>
      <c r="C31" s="264"/>
      <c r="D31" s="264"/>
      <c r="E31" s="264"/>
      <c r="F31" s="264"/>
      <c r="G31" s="264"/>
      <c r="H31" s="264"/>
      <c r="I31" s="249"/>
      <c r="J31" s="249"/>
      <c r="K31" s="249"/>
      <c r="L31" s="249"/>
      <c r="M31" s="249"/>
      <c r="N31" s="264"/>
      <c r="O31" s="249"/>
      <c r="P31" s="249"/>
      <c r="Q31" s="249"/>
      <c r="R31" s="249"/>
      <c r="S31" s="249"/>
      <c r="T31" s="267"/>
      <c r="U31" s="267"/>
      <c r="V31" s="267"/>
      <c r="W31" s="250"/>
      <c r="X31" s="250"/>
      <c r="Y31" s="250"/>
      <c r="Z31" s="250"/>
      <c r="AA31" s="266"/>
      <c r="AB31" s="250"/>
      <c r="AC31" s="250"/>
      <c r="AD31" s="250"/>
      <c r="AE31" s="250"/>
      <c r="AF31" s="250"/>
      <c r="AG31" s="250"/>
      <c r="AH31" s="249"/>
      <c r="AI31" s="249"/>
      <c r="AJ31" s="249"/>
      <c r="AK31" s="249"/>
      <c r="AL31" s="249"/>
      <c r="AM31" s="249"/>
      <c r="AN31" s="249"/>
      <c r="AO31" s="249"/>
      <c r="AP31" s="249"/>
    </row>
    <row r="32" spans="1:42" x14ac:dyDescent="0.25">
      <c r="A32" s="264"/>
      <c r="B32" s="264"/>
      <c r="C32" s="264"/>
      <c r="D32" s="264"/>
      <c r="E32" s="264"/>
      <c r="F32" s="264"/>
      <c r="G32" s="264"/>
      <c r="H32" s="264"/>
      <c r="I32" s="249"/>
      <c r="J32" s="249"/>
      <c r="K32" s="249"/>
      <c r="L32" s="249"/>
      <c r="M32" s="249"/>
      <c r="N32" s="264"/>
      <c r="O32" s="249"/>
      <c r="P32" s="249"/>
      <c r="Q32" s="249"/>
      <c r="R32" s="249"/>
      <c r="S32" s="249"/>
      <c r="T32" s="267"/>
      <c r="U32" s="267"/>
      <c r="V32" s="267"/>
      <c r="W32" s="250"/>
      <c r="X32" s="250"/>
      <c r="Y32" s="250"/>
      <c r="Z32" s="250"/>
      <c r="AA32" s="266"/>
      <c r="AB32" s="250"/>
      <c r="AC32" s="250"/>
      <c r="AD32" s="250"/>
      <c r="AE32" s="250"/>
      <c r="AF32" s="250"/>
      <c r="AG32" s="250"/>
      <c r="AH32" s="249"/>
      <c r="AI32" s="249"/>
      <c r="AJ32" s="249"/>
      <c r="AK32" s="249"/>
      <c r="AL32" s="249"/>
      <c r="AM32" s="249"/>
      <c r="AN32" s="249"/>
      <c r="AO32" s="249"/>
      <c r="AP32" s="249"/>
    </row>
    <row r="33" spans="1:42" x14ac:dyDescent="0.25">
      <c r="A33" s="264"/>
      <c r="B33" s="264"/>
      <c r="C33" s="264"/>
      <c r="D33" s="264"/>
      <c r="E33" s="264"/>
      <c r="F33" s="264"/>
      <c r="G33" s="264"/>
      <c r="H33" s="264"/>
      <c r="I33" s="249"/>
      <c r="J33" s="249"/>
      <c r="K33" s="249"/>
      <c r="L33" s="249"/>
      <c r="M33" s="249"/>
      <c r="N33" s="264"/>
      <c r="O33" s="249"/>
      <c r="P33" s="249"/>
      <c r="Q33" s="249"/>
      <c r="R33" s="249"/>
      <c r="S33" s="249"/>
      <c r="T33" s="267"/>
      <c r="U33" s="267"/>
      <c r="V33" s="267"/>
      <c r="W33" s="250"/>
      <c r="X33" s="250"/>
      <c r="Y33" s="250"/>
      <c r="Z33" s="250"/>
      <c r="AA33" s="266"/>
      <c r="AB33" s="250"/>
      <c r="AC33" s="250"/>
      <c r="AD33" s="250"/>
      <c r="AE33" s="250"/>
      <c r="AF33" s="250"/>
      <c r="AG33" s="250"/>
      <c r="AH33" s="249"/>
      <c r="AI33" s="249"/>
      <c r="AJ33" s="249"/>
      <c r="AK33" s="249"/>
      <c r="AL33" s="249"/>
      <c r="AM33" s="249"/>
      <c r="AN33" s="249"/>
      <c r="AO33" s="249"/>
      <c r="AP33" s="249"/>
    </row>
    <row r="34" spans="1:42" x14ac:dyDescent="0.25">
      <c r="A34" s="264"/>
      <c r="B34" s="264"/>
      <c r="C34" s="264"/>
      <c r="D34" s="264"/>
      <c r="E34" s="264"/>
      <c r="F34" s="264"/>
      <c r="G34" s="264"/>
      <c r="H34" s="264"/>
      <c r="I34" s="249"/>
      <c r="J34" s="249"/>
      <c r="K34" s="249"/>
      <c r="L34" s="249"/>
      <c r="M34" s="249"/>
      <c r="N34" s="264"/>
      <c r="O34" s="249"/>
      <c r="P34" s="249"/>
      <c r="Q34" s="249"/>
      <c r="R34" s="249"/>
      <c r="S34" s="249"/>
      <c r="T34" s="267"/>
      <c r="U34" s="267"/>
      <c r="V34" s="267"/>
      <c r="W34" s="250"/>
      <c r="X34" s="250"/>
      <c r="Y34" s="250"/>
      <c r="Z34" s="250"/>
      <c r="AA34" s="266"/>
      <c r="AB34" s="250"/>
      <c r="AC34" s="250"/>
      <c r="AD34" s="250"/>
      <c r="AE34" s="250"/>
      <c r="AF34" s="250"/>
      <c r="AG34" s="250"/>
      <c r="AH34" s="249"/>
      <c r="AI34" s="249"/>
      <c r="AJ34" s="249"/>
      <c r="AK34" s="249"/>
      <c r="AL34" s="249"/>
      <c r="AM34" s="249"/>
      <c r="AN34" s="249"/>
      <c r="AO34" s="249"/>
      <c r="AP34" s="249"/>
    </row>
    <row r="35" spans="1:42" x14ac:dyDescent="0.25">
      <c r="A35" s="264"/>
      <c r="B35" s="264"/>
      <c r="C35" s="264"/>
      <c r="D35" s="264"/>
      <c r="E35" s="264"/>
      <c r="F35" s="264"/>
      <c r="G35" s="264"/>
      <c r="H35" s="264"/>
      <c r="I35" s="249"/>
      <c r="J35" s="249"/>
      <c r="K35" s="249"/>
      <c r="L35" s="249"/>
      <c r="M35" s="249"/>
      <c r="N35" s="264"/>
      <c r="O35" s="249"/>
      <c r="P35" s="249"/>
      <c r="Q35" s="249"/>
      <c r="R35" s="249"/>
      <c r="S35" s="249"/>
      <c r="T35" s="267"/>
      <c r="U35" s="267"/>
      <c r="V35" s="267"/>
      <c r="W35" s="250"/>
      <c r="X35" s="250"/>
      <c r="Y35" s="250"/>
      <c r="Z35" s="250"/>
      <c r="AA35" s="266"/>
      <c r="AB35" s="250"/>
      <c r="AC35" s="250"/>
      <c r="AD35" s="250"/>
      <c r="AE35" s="250"/>
      <c r="AF35" s="250"/>
      <c r="AG35" s="250"/>
      <c r="AH35" s="249"/>
      <c r="AI35" s="249"/>
      <c r="AJ35" s="249"/>
      <c r="AK35" s="249"/>
      <c r="AL35" s="249"/>
      <c r="AM35" s="249"/>
      <c r="AN35" s="249"/>
      <c r="AO35" s="249"/>
      <c r="AP35" s="249"/>
    </row>
    <row r="36" spans="1:42" x14ac:dyDescent="0.25">
      <c r="A36" s="264"/>
      <c r="B36" s="264"/>
      <c r="C36" s="264"/>
      <c r="D36" s="264"/>
      <c r="E36" s="264"/>
      <c r="F36" s="264"/>
      <c r="G36" s="264"/>
      <c r="H36" s="264"/>
      <c r="I36" s="249"/>
      <c r="J36" s="249"/>
      <c r="K36" s="249"/>
      <c r="L36" s="249"/>
      <c r="M36" s="249"/>
      <c r="N36" s="264"/>
      <c r="O36" s="249"/>
      <c r="P36" s="249"/>
      <c r="Q36" s="249"/>
      <c r="R36" s="249"/>
      <c r="S36" s="249"/>
      <c r="T36" s="267"/>
      <c r="U36" s="267"/>
      <c r="V36" s="267"/>
      <c r="W36" s="250"/>
      <c r="X36" s="250"/>
      <c r="Y36" s="250"/>
      <c r="Z36" s="250"/>
      <c r="AA36" s="266"/>
      <c r="AB36" s="250"/>
      <c r="AC36" s="250"/>
      <c r="AD36" s="250"/>
      <c r="AE36" s="250"/>
      <c r="AF36" s="250"/>
      <c r="AG36" s="250"/>
      <c r="AH36" s="249"/>
      <c r="AI36" s="249"/>
      <c r="AJ36" s="249"/>
      <c r="AK36" s="249"/>
      <c r="AL36" s="249"/>
      <c r="AM36" s="249"/>
      <c r="AN36" s="249"/>
      <c r="AO36" s="249"/>
      <c r="AP36" s="249"/>
    </row>
    <row r="37" spans="1:42" x14ac:dyDescent="0.25">
      <c r="A37" s="264"/>
      <c r="B37" s="264"/>
      <c r="C37" s="264"/>
      <c r="D37" s="264"/>
      <c r="E37" s="264"/>
      <c r="F37" s="264"/>
      <c r="G37" s="264"/>
      <c r="H37" s="264"/>
      <c r="I37" s="249"/>
      <c r="J37" s="249"/>
      <c r="K37" s="249"/>
      <c r="L37" s="249"/>
      <c r="M37" s="249"/>
      <c r="N37" s="264"/>
      <c r="O37" s="249"/>
      <c r="P37" s="249"/>
      <c r="Q37" s="249"/>
      <c r="R37" s="249"/>
      <c r="S37" s="249"/>
      <c r="T37" s="267"/>
      <c r="U37" s="267"/>
      <c r="V37" s="267"/>
      <c r="W37" s="250"/>
      <c r="X37" s="250"/>
      <c r="Y37" s="250"/>
      <c r="Z37" s="250"/>
      <c r="AA37" s="266"/>
      <c r="AB37" s="250"/>
      <c r="AC37" s="250"/>
      <c r="AD37" s="250"/>
      <c r="AE37" s="250"/>
      <c r="AF37" s="250"/>
      <c r="AG37" s="250"/>
      <c r="AH37" s="249"/>
      <c r="AI37" s="249"/>
      <c r="AJ37" s="249"/>
      <c r="AK37" s="249"/>
      <c r="AL37" s="249"/>
      <c r="AM37" s="249"/>
      <c r="AN37" s="249"/>
      <c r="AO37" s="249"/>
      <c r="AP37" s="249"/>
    </row>
    <row r="38" spans="1:42" x14ac:dyDescent="0.25">
      <c r="A38" s="264"/>
      <c r="B38" s="264"/>
      <c r="C38" s="264"/>
      <c r="D38" s="264"/>
      <c r="E38" s="264"/>
      <c r="F38" s="264"/>
      <c r="G38" s="264"/>
      <c r="H38" s="264"/>
      <c r="I38" s="249"/>
      <c r="J38" s="249"/>
      <c r="K38" s="249"/>
      <c r="L38" s="249"/>
      <c r="M38" s="249"/>
      <c r="N38" s="264"/>
      <c r="O38" s="249"/>
      <c r="P38" s="249"/>
      <c r="Q38" s="249"/>
      <c r="R38" s="249"/>
      <c r="S38" s="249"/>
      <c r="T38" s="267"/>
      <c r="U38" s="267"/>
      <c r="V38" s="267"/>
      <c r="W38" s="250"/>
      <c r="X38" s="250"/>
      <c r="Y38" s="250"/>
      <c r="Z38" s="250"/>
      <c r="AA38" s="266"/>
      <c r="AB38" s="250"/>
      <c r="AC38" s="250"/>
      <c r="AD38" s="250"/>
      <c r="AE38" s="250"/>
      <c r="AF38" s="250"/>
      <c r="AG38" s="250"/>
      <c r="AH38" s="249"/>
      <c r="AI38" s="249"/>
      <c r="AJ38" s="249"/>
      <c r="AK38" s="249"/>
      <c r="AL38" s="249"/>
      <c r="AM38" s="249"/>
      <c r="AN38" s="249"/>
      <c r="AO38" s="249"/>
      <c r="AP38" s="249"/>
    </row>
    <row r="39" spans="1:42" x14ac:dyDescent="0.25">
      <c r="A39" s="264"/>
      <c r="B39" s="264"/>
      <c r="C39" s="264"/>
      <c r="D39" s="264"/>
      <c r="E39" s="264"/>
      <c r="F39" s="264"/>
      <c r="G39" s="264"/>
      <c r="H39" s="264"/>
      <c r="I39" s="249"/>
      <c r="J39" s="249"/>
      <c r="K39" s="249"/>
      <c r="L39" s="249"/>
      <c r="M39" s="249"/>
      <c r="N39" s="264"/>
      <c r="O39" s="249"/>
      <c r="P39" s="249"/>
      <c r="Q39" s="249"/>
      <c r="R39" s="249"/>
      <c r="S39" s="249"/>
      <c r="T39" s="267"/>
      <c r="U39" s="267"/>
      <c r="V39" s="267"/>
      <c r="W39" s="250"/>
      <c r="X39" s="250"/>
      <c r="Y39" s="250"/>
      <c r="Z39" s="250"/>
      <c r="AA39" s="266"/>
      <c r="AB39" s="250"/>
      <c r="AC39" s="250"/>
      <c r="AD39" s="250"/>
      <c r="AE39" s="250"/>
      <c r="AF39" s="250"/>
      <c r="AG39" s="250"/>
      <c r="AH39" s="249"/>
      <c r="AI39" s="249"/>
      <c r="AJ39" s="249"/>
      <c r="AK39" s="249"/>
      <c r="AL39" s="249"/>
      <c r="AM39" s="249"/>
      <c r="AN39" s="249"/>
      <c r="AO39" s="249"/>
      <c r="AP39" s="249"/>
    </row>
    <row r="40" spans="1:42" x14ac:dyDescent="0.25">
      <c r="A40" s="264"/>
      <c r="B40" s="264"/>
      <c r="C40" s="264"/>
      <c r="D40" s="264"/>
      <c r="E40" s="264"/>
      <c r="F40" s="264"/>
      <c r="G40" s="264"/>
      <c r="H40" s="264"/>
      <c r="I40" s="249"/>
      <c r="J40" s="249"/>
      <c r="K40" s="249"/>
      <c r="L40" s="249"/>
      <c r="M40" s="249"/>
      <c r="N40" s="264"/>
      <c r="O40" s="249"/>
      <c r="P40" s="249"/>
      <c r="Q40" s="249"/>
      <c r="R40" s="249"/>
      <c r="S40" s="249"/>
      <c r="T40" s="267"/>
      <c r="U40" s="267"/>
      <c r="V40" s="267"/>
      <c r="W40" s="250"/>
      <c r="X40" s="250"/>
      <c r="Y40" s="250"/>
      <c r="Z40" s="250"/>
      <c r="AA40" s="266"/>
      <c r="AB40" s="250"/>
      <c r="AC40" s="250"/>
      <c r="AD40" s="250"/>
      <c r="AE40" s="250"/>
      <c r="AF40" s="250"/>
      <c r="AG40" s="250"/>
      <c r="AH40" s="249"/>
      <c r="AI40" s="249"/>
      <c r="AJ40" s="249"/>
      <c r="AK40" s="249"/>
      <c r="AL40" s="249"/>
      <c r="AM40" s="249"/>
      <c r="AN40" s="249"/>
      <c r="AO40" s="249"/>
      <c r="AP40" s="249"/>
    </row>
    <row r="41" spans="1:42" x14ac:dyDescent="0.25">
      <c r="A41" s="264"/>
      <c r="B41" s="264"/>
      <c r="C41" s="264"/>
      <c r="D41" s="264"/>
      <c r="E41" s="264"/>
      <c r="F41" s="264"/>
      <c r="G41" s="264"/>
      <c r="H41" s="264"/>
      <c r="I41" s="249"/>
      <c r="J41" s="249"/>
      <c r="K41" s="249"/>
      <c r="L41" s="249"/>
      <c r="M41" s="249"/>
      <c r="N41" s="264"/>
      <c r="O41" s="249"/>
      <c r="P41" s="249"/>
      <c r="Q41" s="249"/>
      <c r="R41" s="249"/>
      <c r="S41" s="249"/>
      <c r="T41" s="267"/>
      <c r="U41" s="267"/>
      <c r="V41" s="267"/>
      <c r="W41" s="250"/>
      <c r="X41" s="250"/>
      <c r="Y41" s="250"/>
      <c r="Z41" s="250"/>
      <c r="AA41" s="266"/>
      <c r="AB41" s="250"/>
      <c r="AC41" s="250"/>
      <c r="AD41" s="250"/>
      <c r="AE41" s="250"/>
      <c r="AF41" s="250"/>
      <c r="AG41" s="250"/>
      <c r="AH41" s="249"/>
      <c r="AI41" s="249"/>
      <c r="AJ41" s="249"/>
      <c r="AK41" s="249"/>
      <c r="AL41" s="249"/>
      <c r="AM41" s="249"/>
      <c r="AN41" s="249"/>
      <c r="AO41" s="249"/>
      <c r="AP41" s="249"/>
    </row>
    <row r="42" spans="1:42" x14ac:dyDescent="0.25">
      <c r="A42" s="264"/>
      <c r="B42" s="264"/>
      <c r="C42" s="264"/>
      <c r="D42" s="264"/>
      <c r="E42" s="264"/>
      <c r="F42" s="264"/>
      <c r="G42" s="264"/>
      <c r="H42" s="264"/>
      <c r="I42" s="249"/>
      <c r="J42" s="249"/>
      <c r="K42" s="249"/>
      <c r="L42" s="249"/>
      <c r="M42" s="249"/>
      <c r="N42" s="264"/>
      <c r="O42" s="249"/>
      <c r="P42" s="249"/>
      <c r="Q42" s="249"/>
      <c r="R42" s="249"/>
      <c r="S42" s="249"/>
      <c r="T42" s="267"/>
      <c r="U42" s="267"/>
      <c r="V42" s="267"/>
      <c r="W42" s="250"/>
      <c r="X42" s="250"/>
      <c r="Y42" s="250"/>
      <c r="Z42" s="250"/>
      <c r="AA42" s="266"/>
      <c r="AB42" s="250"/>
      <c r="AC42" s="250"/>
      <c r="AD42" s="250"/>
      <c r="AE42" s="250"/>
      <c r="AF42" s="250"/>
      <c r="AG42" s="250"/>
      <c r="AH42" s="249"/>
      <c r="AI42" s="249"/>
      <c r="AJ42" s="249"/>
      <c r="AK42" s="249"/>
      <c r="AL42" s="249"/>
      <c r="AM42" s="249"/>
      <c r="AN42" s="249"/>
      <c r="AO42" s="249"/>
      <c r="AP42" s="249"/>
    </row>
    <row r="43" spans="1:42" x14ac:dyDescent="0.25">
      <c r="A43" s="264"/>
      <c r="B43" s="264"/>
      <c r="C43" s="264"/>
      <c r="D43" s="264"/>
      <c r="E43" s="264"/>
      <c r="F43" s="264"/>
      <c r="G43" s="264"/>
      <c r="H43" s="264"/>
      <c r="I43" s="249"/>
      <c r="J43" s="249"/>
      <c r="K43" s="249"/>
      <c r="L43" s="249"/>
      <c r="M43" s="249"/>
      <c r="N43" s="264"/>
      <c r="O43" s="249"/>
      <c r="P43" s="249"/>
      <c r="Q43" s="249"/>
      <c r="R43" s="249"/>
      <c r="S43" s="249"/>
      <c r="T43" s="267"/>
      <c r="U43" s="267"/>
      <c r="V43" s="267"/>
      <c r="W43" s="250"/>
      <c r="X43" s="250"/>
      <c r="Y43" s="250"/>
      <c r="Z43" s="250"/>
      <c r="AA43" s="266"/>
      <c r="AB43" s="250"/>
      <c r="AC43" s="250"/>
      <c r="AD43" s="250"/>
      <c r="AE43" s="250"/>
      <c r="AF43" s="250"/>
      <c r="AG43" s="250"/>
      <c r="AH43" s="249"/>
      <c r="AI43" s="249"/>
      <c r="AJ43" s="249"/>
      <c r="AK43" s="249"/>
      <c r="AL43" s="249"/>
      <c r="AM43" s="249"/>
      <c r="AN43" s="249"/>
      <c r="AO43" s="249"/>
      <c r="AP43" s="249"/>
    </row>
    <row r="44" spans="1:42" x14ac:dyDescent="0.25">
      <c r="A44" s="264"/>
      <c r="B44" s="264"/>
      <c r="C44" s="264"/>
      <c r="D44" s="264"/>
      <c r="E44" s="264"/>
      <c r="F44" s="264"/>
      <c r="G44" s="264"/>
      <c r="H44" s="264"/>
      <c r="I44" s="249"/>
      <c r="J44" s="249"/>
      <c r="K44" s="249"/>
      <c r="L44" s="249"/>
      <c r="M44" s="249"/>
      <c r="N44" s="264"/>
      <c r="O44" s="249"/>
      <c r="P44" s="249"/>
      <c r="Q44" s="249"/>
      <c r="R44" s="249"/>
      <c r="S44" s="249"/>
      <c r="T44" s="267"/>
      <c r="U44" s="267"/>
      <c r="V44" s="267"/>
      <c r="W44" s="250"/>
      <c r="X44" s="250"/>
      <c r="Y44" s="250"/>
      <c r="Z44" s="250"/>
      <c r="AA44" s="266"/>
      <c r="AB44" s="250"/>
      <c r="AC44" s="250"/>
      <c r="AD44" s="250"/>
      <c r="AE44" s="250"/>
      <c r="AF44" s="250"/>
      <c r="AG44" s="250"/>
      <c r="AH44" s="249"/>
      <c r="AI44" s="249"/>
      <c r="AJ44" s="249"/>
      <c r="AK44" s="249"/>
      <c r="AL44" s="249"/>
      <c r="AM44" s="249"/>
      <c r="AN44" s="249"/>
      <c r="AO44" s="249"/>
      <c r="AP44" s="249"/>
    </row>
    <row r="45" spans="1:42" x14ac:dyDescent="0.25">
      <c r="A45" s="264"/>
      <c r="B45" s="264"/>
      <c r="C45" s="264"/>
      <c r="D45" s="264"/>
      <c r="E45" s="264"/>
      <c r="F45" s="264"/>
      <c r="G45" s="264"/>
      <c r="H45" s="264"/>
      <c r="I45" s="249"/>
      <c r="J45" s="249"/>
      <c r="K45" s="249"/>
      <c r="L45" s="249"/>
      <c r="M45" s="249"/>
      <c r="N45" s="264"/>
      <c r="O45" s="249"/>
      <c r="P45" s="249"/>
      <c r="Q45" s="249"/>
      <c r="R45" s="249"/>
      <c r="S45" s="249"/>
      <c r="T45" s="267"/>
      <c r="U45" s="267"/>
      <c r="V45" s="267"/>
      <c r="W45" s="250"/>
      <c r="X45" s="250"/>
      <c r="Y45" s="250"/>
      <c r="Z45" s="250"/>
      <c r="AA45" s="266"/>
      <c r="AB45" s="250"/>
      <c r="AC45" s="250"/>
      <c r="AD45" s="250"/>
      <c r="AE45" s="250"/>
      <c r="AF45" s="250"/>
      <c r="AG45" s="250"/>
      <c r="AH45" s="249"/>
      <c r="AI45" s="249"/>
      <c r="AJ45" s="249"/>
      <c r="AK45" s="249"/>
      <c r="AL45" s="249"/>
      <c r="AM45" s="249"/>
      <c r="AN45" s="249"/>
      <c r="AO45" s="249"/>
      <c r="AP45" s="249"/>
    </row>
    <row r="46" spans="1:42" x14ac:dyDescent="0.25">
      <c r="A46" s="264"/>
      <c r="B46" s="264"/>
      <c r="C46" s="264"/>
      <c r="D46" s="264"/>
      <c r="E46" s="264"/>
      <c r="F46" s="264"/>
      <c r="G46" s="264"/>
      <c r="H46" s="264"/>
      <c r="I46" s="249"/>
      <c r="J46" s="249"/>
      <c r="K46" s="249"/>
      <c r="L46" s="249"/>
      <c r="M46" s="249"/>
      <c r="N46" s="264"/>
      <c r="O46" s="249"/>
      <c r="P46" s="249"/>
      <c r="Q46" s="249"/>
      <c r="R46" s="249"/>
      <c r="S46" s="249"/>
      <c r="T46" s="267"/>
      <c r="U46" s="267"/>
      <c r="V46" s="267"/>
      <c r="W46" s="250"/>
      <c r="X46" s="250"/>
      <c r="Y46" s="250"/>
      <c r="Z46" s="250"/>
      <c r="AA46" s="266"/>
      <c r="AB46" s="250"/>
      <c r="AC46" s="250"/>
      <c r="AD46" s="250"/>
      <c r="AE46" s="250"/>
      <c r="AF46" s="250"/>
      <c r="AG46" s="250"/>
      <c r="AH46" s="249"/>
      <c r="AI46" s="249"/>
      <c r="AJ46" s="249"/>
      <c r="AK46" s="249"/>
      <c r="AL46" s="249"/>
      <c r="AM46" s="249"/>
      <c r="AN46" s="249"/>
      <c r="AO46" s="249"/>
      <c r="AP46" s="249"/>
    </row>
    <row r="47" spans="1:42" x14ac:dyDescent="0.25">
      <c r="A47" s="264"/>
      <c r="B47" s="264"/>
      <c r="C47" s="264"/>
      <c r="D47" s="264"/>
      <c r="E47" s="264"/>
      <c r="F47" s="264"/>
      <c r="G47" s="264"/>
      <c r="H47" s="264"/>
      <c r="I47" s="249"/>
      <c r="J47" s="249"/>
      <c r="K47" s="249"/>
      <c r="L47" s="249"/>
      <c r="M47" s="249"/>
      <c r="N47" s="264"/>
      <c r="O47" s="249"/>
      <c r="P47" s="249"/>
      <c r="Q47" s="249"/>
      <c r="R47" s="249"/>
      <c r="S47" s="249"/>
      <c r="T47" s="267"/>
      <c r="U47" s="267"/>
      <c r="V47" s="267"/>
      <c r="W47" s="250"/>
      <c r="X47" s="250"/>
      <c r="Y47" s="250"/>
      <c r="Z47" s="250"/>
      <c r="AA47" s="266"/>
      <c r="AB47" s="250"/>
      <c r="AC47" s="250"/>
      <c r="AD47" s="250"/>
      <c r="AE47" s="250"/>
      <c r="AF47" s="250"/>
      <c r="AG47" s="250"/>
      <c r="AH47" s="249"/>
      <c r="AI47" s="249"/>
      <c r="AJ47" s="249"/>
      <c r="AK47" s="249"/>
      <c r="AL47" s="249"/>
      <c r="AM47" s="249"/>
      <c r="AN47" s="249"/>
      <c r="AO47" s="249"/>
      <c r="AP47" s="249"/>
    </row>
    <row r="48" spans="1:42" x14ac:dyDescent="0.25">
      <c r="A48" s="264"/>
      <c r="B48" s="264"/>
      <c r="C48" s="264"/>
      <c r="D48" s="264"/>
      <c r="E48" s="264"/>
      <c r="F48" s="264"/>
      <c r="G48" s="264"/>
      <c r="H48" s="264"/>
      <c r="I48" s="249"/>
      <c r="J48" s="249"/>
      <c r="K48" s="249"/>
      <c r="L48" s="249"/>
      <c r="M48" s="249"/>
      <c r="N48" s="264"/>
      <c r="O48" s="249"/>
      <c r="P48" s="249"/>
      <c r="Q48" s="249"/>
      <c r="R48" s="249"/>
      <c r="S48" s="249"/>
      <c r="T48" s="267"/>
      <c r="U48" s="267"/>
      <c r="V48" s="267"/>
      <c r="W48" s="250"/>
      <c r="X48" s="250"/>
      <c r="Y48" s="250"/>
      <c r="Z48" s="250"/>
      <c r="AA48" s="266"/>
      <c r="AB48" s="250"/>
      <c r="AC48" s="250"/>
      <c r="AD48" s="250"/>
      <c r="AE48" s="250"/>
      <c r="AF48" s="250"/>
      <c r="AG48" s="250"/>
      <c r="AH48" s="249"/>
      <c r="AI48" s="249"/>
      <c r="AJ48" s="249"/>
      <c r="AK48" s="249"/>
      <c r="AL48" s="249"/>
      <c r="AM48" s="249"/>
      <c r="AN48" s="249"/>
      <c r="AO48" s="249"/>
      <c r="AP48" s="249"/>
    </row>
    <row r="49" spans="1:42" x14ac:dyDescent="0.25">
      <c r="A49" s="264"/>
      <c r="B49" s="264"/>
      <c r="C49" s="264"/>
      <c r="D49" s="264"/>
      <c r="E49" s="264"/>
      <c r="F49" s="264"/>
      <c r="G49" s="264"/>
      <c r="H49" s="264"/>
      <c r="I49" s="249"/>
      <c r="J49" s="249"/>
      <c r="K49" s="249"/>
      <c r="L49" s="249"/>
      <c r="M49" s="249"/>
      <c r="N49" s="264"/>
      <c r="O49" s="249"/>
      <c r="P49" s="249"/>
      <c r="Q49" s="249"/>
      <c r="R49" s="249"/>
      <c r="S49" s="249"/>
      <c r="T49" s="267"/>
      <c r="U49" s="267"/>
      <c r="V49" s="267"/>
      <c r="W49" s="250"/>
      <c r="X49" s="250"/>
      <c r="Y49" s="250"/>
      <c r="Z49" s="250"/>
      <c r="AA49" s="266"/>
      <c r="AB49" s="250"/>
      <c r="AC49" s="250"/>
      <c r="AD49" s="250"/>
      <c r="AE49" s="250"/>
      <c r="AF49" s="250"/>
      <c r="AG49" s="250"/>
      <c r="AH49" s="249"/>
      <c r="AI49" s="249"/>
      <c r="AJ49" s="249"/>
      <c r="AK49" s="249"/>
      <c r="AL49" s="249"/>
      <c r="AM49" s="249"/>
      <c r="AN49" s="249"/>
      <c r="AO49" s="249"/>
      <c r="AP49" s="249"/>
    </row>
    <row r="50" spans="1:42" x14ac:dyDescent="0.25">
      <c r="A50" s="264"/>
      <c r="B50" s="264"/>
      <c r="C50" s="264"/>
      <c r="D50" s="264"/>
      <c r="E50" s="264"/>
      <c r="F50" s="264"/>
      <c r="G50" s="264"/>
      <c r="H50" s="264"/>
      <c r="I50" s="249"/>
      <c r="J50" s="249"/>
      <c r="K50" s="249"/>
      <c r="L50" s="249"/>
      <c r="M50" s="249"/>
      <c r="N50" s="264"/>
      <c r="O50" s="249"/>
      <c r="P50" s="249"/>
      <c r="Q50" s="249"/>
      <c r="R50" s="249"/>
      <c r="S50" s="249"/>
      <c r="T50" s="267"/>
      <c r="U50" s="267"/>
      <c r="V50" s="267"/>
      <c r="W50" s="250"/>
      <c r="X50" s="250"/>
      <c r="Y50" s="250"/>
      <c r="Z50" s="250"/>
      <c r="AA50" s="266"/>
      <c r="AB50" s="250"/>
      <c r="AC50" s="250"/>
      <c r="AD50" s="250"/>
      <c r="AE50" s="250"/>
      <c r="AF50" s="250"/>
      <c r="AG50" s="250"/>
      <c r="AH50" s="249"/>
      <c r="AI50" s="249"/>
      <c r="AJ50" s="249"/>
      <c r="AK50" s="249"/>
      <c r="AL50" s="249"/>
      <c r="AM50" s="249"/>
      <c r="AN50" s="249"/>
      <c r="AO50" s="249"/>
      <c r="AP50" s="249"/>
    </row>
    <row r="51" spans="1:42" x14ac:dyDescent="0.25">
      <c r="A51" s="264"/>
      <c r="B51" s="264"/>
      <c r="C51" s="264"/>
      <c r="D51" s="264"/>
      <c r="E51" s="264"/>
      <c r="F51" s="264"/>
      <c r="G51" s="264"/>
      <c r="H51" s="264"/>
      <c r="I51" s="249"/>
      <c r="J51" s="249"/>
      <c r="K51" s="249"/>
      <c r="L51" s="249"/>
      <c r="M51" s="249"/>
      <c r="N51" s="264"/>
      <c r="O51" s="249"/>
      <c r="P51" s="249"/>
      <c r="Q51" s="249"/>
      <c r="R51" s="249"/>
      <c r="S51" s="249"/>
      <c r="T51" s="267"/>
      <c r="U51" s="267"/>
      <c r="V51" s="267"/>
      <c r="W51" s="250"/>
      <c r="X51" s="250"/>
      <c r="Y51" s="250"/>
      <c r="Z51" s="250"/>
      <c r="AA51" s="266"/>
      <c r="AB51" s="250"/>
      <c r="AC51" s="250"/>
      <c r="AD51" s="250"/>
      <c r="AE51" s="250"/>
      <c r="AF51" s="250"/>
      <c r="AG51" s="250"/>
      <c r="AH51" s="249"/>
      <c r="AI51" s="249"/>
      <c r="AJ51" s="249"/>
      <c r="AK51" s="249"/>
      <c r="AL51" s="249"/>
      <c r="AM51" s="249"/>
      <c r="AN51" s="249"/>
      <c r="AO51" s="249"/>
      <c r="AP51" s="249"/>
    </row>
    <row r="52" spans="1:42" x14ac:dyDescent="0.25">
      <c r="A52" s="264"/>
      <c r="B52" s="264"/>
      <c r="C52" s="264"/>
      <c r="D52" s="264"/>
      <c r="E52" s="264"/>
      <c r="F52" s="264"/>
      <c r="G52" s="264"/>
      <c r="H52" s="264"/>
      <c r="I52" s="249"/>
      <c r="J52" s="249"/>
      <c r="K52" s="249"/>
      <c r="L52" s="249"/>
      <c r="M52" s="249"/>
      <c r="N52" s="264"/>
      <c r="O52" s="249"/>
      <c r="P52" s="249"/>
      <c r="Q52" s="249"/>
      <c r="R52" s="249"/>
      <c r="S52" s="249"/>
      <c r="T52" s="267"/>
      <c r="U52" s="267"/>
      <c r="V52" s="267"/>
      <c r="W52" s="250"/>
      <c r="X52" s="250"/>
      <c r="Y52" s="250"/>
      <c r="Z52" s="250"/>
      <c r="AA52" s="266"/>
      <c r="AB52" s="250"/>
      <c r="AC52" s="250"/>
      <c r="AD52" s="250"/>
      <c r="AE52" s="250"/>
      <c r="AF52" s="250"/>
      <c r="AG52" s="250"/>
      <c r="AH52" s="249"/>
      <c r="AI52" s="249"/>
      <c r="AJ52" s="249"/>
      <c r="AK52" s="249"/>
      <c r="AL52" s="249"/>
      <c r="AM52" s="249"/>
      <c r="AN52" s="249"/>
      <c r="AO52" s="249"/>
      <c r="AP52" s="249"/>
    </row>
    <row r="53" spans="1:42" x14ac:dyDescent="0.25">
      <c r="A53" s="264"/>
      <c r="B53" s="264"/>
      <c r="C53" s="264"/>
      <c r="D53" s="264"/>
      <c r="E53" s="264"/>
      <c r="F53" s="264"/>
      <c r="G53" s="264"/>
      <c r="H53" s="264"/>
      <c r="I53" s="249"/>
      <c r="J53" s="249"/>
      <c r="K53" s="249"/>
      <c r="L53" s="249"/>
      <c r="M53" s="249"/>
      <c r="N53" s="264"/>
      <c r="O53" s="249"/>
      <c r="P53" s="249"/>
      <c r="Q53" s="249"/>
      <c r="R53" s="249"/>
      <c r="S53" s="249"/>
      <c r="T53" s="267"/>
      <c r="U53" s="267"/>
      <c r="V53" s="267"/>
      <c r="W53" s="250"/>
      <c r="X53" s="250"/>
      <c r="Y53" s="250"/>
      <c r="Z53" s="250"/>
      <c r="AA53" s="266"/>
      <c r="AB53" s="250"/>
      <c r="AC53" s="250"/>
      <c r="AD53" s="250"/>
      <c r="AE53" s="250"/>
      <c r="AF53" s="250"/>
      <c r="AG53" s="250"/>
      <c r="AH53" s="249"/>
      <c r="AI53" s="249"/>
      <c r="AJ53" s="249"/>
      <c r="AK53" s="249"/>
      <c r="AL53" s="249"/>
      <c r="AM53" s="249"/>
      <c r="AN53" s="249"/>
      <c r="AO53" s="249"/>
      <c r="AP53" s="249"/>
    </row>
    <row r="54" spans="1:42" x14ac:dyDescent="0.25">
      <c r="A54" s="264"/>
      <c r="B54" s="264"/>
      <c r="C54" s="264"/>
      <c r="D54" s="264"/>
      <c r="E54" s="264"/>
      <c r="F54" s="264"/>
      <c r="G54" s="264"/>
      <c r="H54" s="264"/>
      <c r="I54" s="249"/>
      <c r="J54" s="249"/>
      <c r="K54" s="249"/>
      <c r="L54" s="249"/>
      <c r="M54" s="249"/>
      <c r="N54" s="264"/>
      <c r="O54" s="249"/>
      <c r="P54" s="249"/>
      <c r="Q54" s="249"/>
      <c r="R54" s="249"/>
      <c r="S54" s="249"/>
      <c r="T54" s="267"/>
      <c r="U54" s="267"/>
      <c r="V54" s="267"/>
      <c r="W54" s="250"/>
      <c r="X54" s="250"/>
      <c r="Y54" s="250"/>
      <c r="Z54" s="250"/>
      <c r="AA54" s="266"/>
      <c r="AB54" s="250"/>
      <c r="AC54" s="250"/>
      <c r="AD54" s="250"/>
      <c r="AE54" s="250"/>
      <c r="AF54" s="250"/>
      <c r="AG54" s="250"/>
      <c r="AH54" s="249"/>
      <c r="AI54" s="249"/>
      <c r="AJ54" s="249"/>
      <c r="AK54" s="249"/>
      <c r="AL54" s="249"/>
      <c r="AM54" s="249"/>
      <c r="AN54" s="249"/>
      <c r="AO54" s="249"/>
      <c r="AP54" s="249"/>
    </row>
    <row r="55" spans="1:42" x14ac:dyDescent="0.25">
      <c r="A55" s="264"/>
      <c r="B55" s="264"/>
      <c r="C55" s="264"/>
      <c r="D55" s="264"/>
      <c r="E55" s="264"/>
      <c r="F55" s="264"/>
      <c r="G55" s="264"/>
      <c r="H55" s="264"/>
      <c r="I55" s="249"/>
      <c r="J55" s="249"/>
      <c r="K55" s="249"/>
      <c r="L55" s="249"/>
      <c r="M55" s="249"/>
      <c r="N55" s="264"/>
      <c r="O55" s="249"/>
      <c r="P55" s="249"/>
      <c r="Q55" s="249"/>
      <c r="R55" s="249"/>
      <c r="S55" s="249"/>
      <c r="T55" s="267"/>
      <c r="U55" s="267"/>
      <c r="V55" s="267"/>
      <c r="W55" s="250"/>
      <c r="X55" s="250"/>
      <c r="Y55" s="250"/>
      <c r="Z55" s="250"/>
      <c r="AA55" s="266"/>
      <c r="AB55" s="250"/>
      <c r="AC55" s="250"/>
      <c r="AD55" s="250"/>
      <c r="AE55" s="250"/>
      <c r="AF55" s="250"/>
      <c r="AG55" s="250"/>
      <c r="AH55" s="249"/>
      <c r="AI55" s="249"/>
      <c r="AJ55" s="249"/>
      <c r="AK55" s="249"/>
      <c r="AL55" s="249"/>
      <c r="AM55" s="249"/>
      <c r="AN55" s="249"/>
      <c r="AO55" s="249"/>
      <c r="AP55" s="249"/>
    </row>
    <row r="56" spans="1:42" x14ac:dyDescent="0.25">
      <c r="A56" s="264"/>
      <c r="B56" s="264"/>
      <c r="C56" s="264"/>
      <c r="D56" s="264"/>
      <c r="E56" s="264"/>
      <c r="F56" s="264"/>
      <c r="G56" s="264"/>
      <c r="H56" s="264"/>
      <c r="I56" s="249"/>
      <c r="J56" s="249"/>
      <c r="K56" s="249"/>
      <c r="L56" s="249"/>
      <c r="M56" s="249"/>
      <c r="N56" s="264"/>
      <c r="O56" s="249"/>
      <c r="P56" s="249"/>
      <c r="Q56" s="249"/>
      <c r="R56" s="249"/>
      <c r="S56" s="249"/>
      <c r="T56" s="267"/>
      <c r="U56" s="267"/>
      <c r="V56" s="267"/>
      <c r="W56" s="250"/>
      <c r="X56" s="250"/>
      <c r="Y56" s="250"/>
      <c r="Z56" s="250"/>
      <c r="AA56" s="266"/>
      <c r="AB56" s="250"/>
      <c r="AC56" s="250"/>
      <c r="AD56" s="250"/>
      <c r="AE56" s="250"/>
      <c r="AF56" s="250"/>
      <c r="AG56" s="250"/>
      <c r="AH56" s="249"/>
      <c r="AI56" s="249"/>
      <c r="AJ56" s="249"/>
      <c r="AK56" s="249"/>
      <c r="AL56" s="249"/>
      <c r="AM56" s="249"/>
      <c r="AN56" s="249"/>
      <c r="AO56" s="249"/>
      <c r="AP56" s="249"/>
    </row>
    <row r="57" spans="1:42" x14ac:dyDescent="0.25">
      <c r="A57" s="264"/>
      <c r="B57" s="264"/>
      <c r="C57" s="264"/>
      <c r="D57" s="264"/>
      <c r="E57" s="264"/>
      <c r="F57" s="264"/>
      <c r="G57" s="264"/>
      <c r="H57" s="264"/>
      <c r="I57" s="249"/>
      <c r="J57" s="249"/>
      <c r="K57" s="249"/>
      <c r="L57" s="249"/>
      <c r="M57" s="249"/>
      <c r="N57" s="264"/>
      <c r="O57" s="249"/>
      <c r="P57" s="249"/>
      <c r="Q57" s="249"/>
      <c r="R57" s="249"/>
      <c r="S57" s="249"/>
      <c r="T57" s="267"/>
      <c r="U57" s="267"/>
      <c r="V57" s="267"/>
      <c r="W57" s="250"/>
      <c r="X57" s="250"/>
      <c r="Y57" s="250"/>
      <c r="Z57" s="250"/>
      <c r="AA57" s="266"/>
      <c r="AB57" s="250"/>
      <c r="AC57" s="250"/>
      <c r="AD57" s="250"/>
      <c r="AE57" s="250"/>
      <c r="AF57" s="250"/>
      <c r="AG57" s="250"/>
      <c r="AH57" s="249"/>
      <c r="AI57" s="249"/>
      <c r="AJ57" s="249"/>
      <c r="AK57" s="249"/>
      <c r="AL57" s="249"/>
      <c r="AM57" s="249"/>
      <c r="AN57" s="249"/>
      <c r="AO57" s="249"/>
      <c r="AP57" s="249"/>
    </row>
    <row r="58" spans="1:42" x14ac:dyDescent="0.25">
      <c r="A58" s="264"/>
      <c r="B58" s="264"/>
      <c r="C58" s="264"/>
      <c r="D58" s="264"/>
      <c r="E58" s="264"/>
      <c r="F58" s="264"/>
      <c r="G58" s="264"/>
      <c r="H58" s="264"/>
      <c r="I58" s="249"/>
      <c r="J58" s="249"/>
      <c r="K58" s="249"/>
      <c r="L58" s="249"/>
      <c r="M58" s="249"/>
      <c r="N58" s="264"/>
      <c r="O58" s="249"/>
      <c r="P58" s="249"/>
      <c r="Q58" s="249"/>
      <c r="R58" s="249"/>
      <c r="S58" s="249"/>
      <c r="T58" s="267"/>
      <c r="U58" s="267"/>
      <c r="V58" s="267"/>
      <c r="W58" s="250"/>
      <c r="X58" s="250"/>
      <c r="Y58" s="250"/>
      <c r="Z58" s="250"/>
      <c r="AA58" s="266"/>
      <c r="AB58" s="250"/>
      <c r="AC58" s="250"/>
      <c r="AD58" s="250"/>
      <c r="AE58" s="250"/>
      <c r="AF58" s="250"/>
      <c r="AG58" s="250"/>
      <c r="AH58" s="249"/>
      <c r="AI58" s="249"/>
      <c r="AJ58" s="249"/>
      <c r="AK58" s="249"/>
      <c r="AL58" s="249"/>
      <c r="AM58" s="249"/>
      <c r="AN58" s="249"/>
      <c r="AO58" s="249"/>
      <c r="AP58" s="249"/>
    </row>
    <row r="59" spans="1:42" x14ac:dyDescent="0.25">
      <c r="A59" s="264"/>
      <c r="B59" s="264"/>
      <c r="C59" s="264"/>
      <c r="D59" s="264"/>
      <c r="E59" s="264"/>
      <c r="F59" s="264"/>
      <c r="G59" s="264"/>
      <c r="H59" s="264"/>
      <c r="I59" s="249"/>
      <c r="J59" s="249"/>
      <c r="K59" s="249"/>
      <c r="L59" s="249"/>
      <c r="M59" s="249"/>
      <c r="N59" s="264"/>
      <c r="O59" s="249"/>
      <c r="P59" s="249"/>
      <c r="Q59" s="249"/>
      <c r="R59" s="249"/>
      <c r="S59" s="249"/>
      <c r="T59" s="267"/>
      <c r="U59" s="267"/>
      <c r="V59" s="267"/>
      <c r="W59" s="250"/>
      <c r="X59" s="250"/>
      <c r="Y59" s="250"/>
      <c r="Z59" s="250"/>
      <c r="AA59" s="266"/>
      <c r="AB59" s="250"/>
      <c r="AC59" s="250"/>
      <c r="AD59" s="250"/>
      <c r="AE59" s="250"/>
      <c r="AF59" s="250"/>
      <c r="AG59" s="250"/>
      <c r="AH59" s="249"/>
      <c r="AI59" s="249"/>
      <c r="AJ59" s="249"/>
      <c r="AK59" s="249"/>
      <c r="AL59" s="249"/>
      <c r="AM59" s="249"/>
      <c r="AN59" s="249"/>
      <c r="AO59" s="249"/>
      <c r="AP59" s="249"/>
    </row>
    <row r="60" spans="1:42" x14ac:dyDescent="0.25">
      <c r="A60" s="264"/>
      <c r="B60" s="264"/>
      <c r="C60" s="264"/>
      <c r="D60" s="264"/>
      <c r="E60" s="264"/>
      <c r="F60" s="264"/>
      <c r="G60" s="264"/>
      <c r="H60" s="264"/>
      <c r="I60" s="249"/>
      <c r="J60" s="249"/>
      <c r="K60" s="249"/>
      <c r="L60" s="249"/>
      <c r="M60" s="249"/>
      <c r="N60" s="264"/>
      <c r="O60" s="249"/>
      <c r="P60" s="249"/>
      <c r="Q60" s="249"/>
      <c r="R60" s="249"/>
      <c r="S60" s="249"/>
      <c r="T60" s="267"/>
      <c r="U60" s="267"/>
      <c r="V60" s="267"/>
      <c r="W60" s="250"/>
      <c r="X60" s="250"/>
      <c r="Y60" s="250"/>
      <c r="Z60" s="250"/>
      <c r="AA60" s="266"/>
      <c r="AB60" s="250"/>
      <c r="AC60" s="250"/>
      <c r="AD60" s="250"/>
      <c r="AE60" s="250"/>
      <c r="AF60" s="250"/>
      <c r="AG60" s="250"/>
      <c r="AH60" s="249"/>
      <c r="AI60" s="249"/>
      <c r="AJ60" s="249"/>
      <c r="AK60" s="249"/>
      <c r="AL60" s="249"/>
      <c r="AM60" s="249"/>
      <c r="AN60" s="249"/>
      <c r="AO60" s="249"/>
      <c r="AP60" s="249"/>
    </row>
    <row r="61" spans="1:42" x14ac:dyDescent="0.25">
      <c r="A61" s="264"/>
      <c r="B61" s="264"/>
      <c r="C61" s="264"/>
      <c r="D61" s="264"/>
      <c r="E61" s="264"/>
      <c r="F61" s="264"/>
      <c r="G61" s="264"/>
      <c r="H61" s="264"/>
      <c r="I61" s="249"/>
      <c r="J61" s="249"/>
      <c r="K61" s="249"/>
      <c r="L61" s="249"/>
      <c r="M61" s="249"/>
      <c r="N61" s="264"/>
      <c r="O61" s="249"/>
      <c r="P61" s="249"/>
      <c r="Q61" s="249"/>
      <c r="R61" s="249"/>
      <c r="S61" s="249"/>
      <c r="T61" s="267"/>
      <c r="U61" s="267"/>
      <c r="V61" s="267"/>
      <c r="W61" s="250"/>
      <c r="X61" s="250"/>
      <c r="Y61" s="250"/>
      <c r="Z61" s="250"/>
      <c r="AA61" s="266"/>
      <c r="AB61" s="250"/>
      <c r="AC61" s="250"/>
      <c r="AD61" s="250"/>
      <c r="AE61" s="250"/>
      <c r="AF61" s="250"/>
      <c r="AG61" s="250"/>
      <c r="AH61" s="249"/>
      <c r="AI61" s="249"/>
      <c r="AJ61" s="249"/>
      <c r="AK61" s="249"/>
      <c r="AL61" s="249"/>
      <c r="AM61" s="249"/>
      <c r="AN61" s="249"/>
      <c r="AO61" s="249"/>
      <c r="AP61" s="249"/>
    </row>
    <row r="62" spans="1:42" x14ac:dyDescent="0.25">
      <c r="A62" s="264"/>
      <c r="B62" s="264"/>
      <c r="C62" s="264"/>
      <c r="D62" s="264"/>
      <c r="E62" s="264"/>
      <c r="F62" s="264"/>
      <c r="G62" s="264"/>
      <c r="H62" s="264"/>
      <c r="I62" s="249"/>
      <c r="J62" s="249"/>
      <c r="K62" s="249"/>
      <c r="L62" s="249"/>
      <c r="M62" s="249"/>
      <c r="N62" s="264"/>
      <c r="O62" s="249"/>
      <c r="P62" s="249"/>
      <c r="Q62" s="249"/>
      <c r="R62" s="249"/>
      <c r="S62" s="249"/>
      <c r="T62" s="267"/>
      <c r="U62" s="267"/>
      <c r="V62" s="267"/>
      <c r="W62" s="250"/>
      <c r="X62" s="250"/>
      <c r="Y62" s="250"/>
      <c r="Z62" s="250"/>
      <c r="AA62" s="266"/>
      <c r="AB62" s="250"/>
      <c r="AC62" s="250"/>
      <c r="AD62" s="250"/>
      <c r="AE62" s="250"/>
      <c r="AF62" s="250"/>
      <c r="AG62" s="250"/>
      <c r="AH62" s="249"/>
      <c r="AI62" s="249"/>
      <c r="AJ62" s="249"/>
      <c r="AK62" s="249"/>
      <c r="AL62" s="249"/>
      <c r="AM62" s="249"/>
      <c r="AN62" s="249"/>
      <c r="AO62" s="249"/>
      <c r="AP62" s="249"/>
    </row>
    <row r="63" spans="1:42" x14ac:dyDescent="0.25">
      <c r="A63" s="264"/>
      <c r="B63" s="264"/>
      <c r="C63" s="264"/>
      <c r="D63" s="264"/>
      <c r="E63" s="264"/>
      <c r="F63" s="264"/>
      <c r="G63" s="264"/>
      <c r="H63" s="264"/>
      <c r="I63" s="249"/>
      <c r="J63" s="249"/>
      <c r="K63" s="249"/>
      <c r="L63" s="249"/>
      <c r="M63" s="249"/>
      <c r="N63" s="264"/>
      <c r="O63" s="249"/>
      <c r="P63" s="249"/>
      <c r="Q63" s="249"/>
      <c r="R63" s="249"/>
      <c r="S63" s="249"/>
      <c r="T63" s="267"/>
      <c r="U63" s="267"/>
      <c r="V63" s="267"/>
      <c r="W63" s="250"/>
      <c r="X63" s="250"/>
      <c r="Y63" s="250"/>
      <c r="Z63" s="250"/>
      <c r="AA63" s="266"/>
      <c r="AB63" s="250"/>
      <c r="AC63" s="250"/>
      <c r="AD63" s="250"/>
      <c r="AE63" s="250"/>
      <c r="AF63" s="250"/>
      <c r="AG63" s="250"/>
      <c r="AH63" s="249"/>
      <c r="AI63" s="249"/>
      <c r="AJ63" s="249"/>
      <c r="AK63" s="249"/>
      <c r="AL63" s="249"/>
      <c r="AM63" s="249"/>
      <c r="AN63" s="249"/>
      <c r="AO63" s="249"/>
      <c r="AP63" s="249"/>
    </row>
    <row r="64" spans="1:42" x14ac:dyDescent="0.25">
      <c r="A64" s="264"/>
      <c r="B64" s="264"/>
      <c r="C64" s="264"/>
      <c r="D64" s="264"/>
      <c r="E64" s="264"/>
      <c r="F64" s="264"/>
      <c r="G64" s="264"/>
      <c r="H64" s="264"/>
      <c r="I64" s="249"/>
      <c r="J64" s="249"/>
      <c r="K64" s="249"/>
      <c r="L64" s="249"/>
      <c r="M64" s="249"/>
      <c r="N64" s="264"/>
      <c r="O64" s="249"/>
      <c r="P64" s="249"/>
      <c r="Q64" s="249"/>
      <c r="R64" s="249"/>
      <c r="S64" s="249"/>
      <c r="T64" s="267"/>
      <c r="U64" s="267"/>
      <c r="V64" s="267"/>
      <c r="W64" s="250"/>
      <c r="X64" s="250"/>
      <c r="Y64" s="250"/>
      <c r="Z64" s="250"/>
      <c r="AA64" s="266"/>
      <c r="AB64" s="250"/>
      <c r="AC64" s="250"/>
      <c r="AD64" s="250"/>
      <c r="AE64" s="250"/>
      <c r="AF64" s="250"/>
      <c r="AG64" s="250"/>
      <c r="AH64" s="249"/>
      <c r="AI64" s="249"/>
      <c r="AJ64" s="249"/>
      <c r="AK64" s="249"/>
      <c r="AL64" s="249"/>
      <c r="AM64" s="249"/>
      <c r="AN64" s="249"/>
      <c r="AO64" s="249"/>
      <c r="AP64" s="249"/>
    </row>
    <row r="65" spans="1:42" x14ac:dyDescent="0.25">
      <c r="A65" s="264"/>
      <c r="B65" s="264"/>
      <c r="C65" s="264"/>
      <c r="D65" s="264"/>
      <c r="E65" s="264"/>
      <c r="F65" s="264"/>
      <c r="G65" s="264"/>
      <c r="H65" s="264"/>
      <c r="I65" s="249"/>
      <c r="J65" s="249"/>
      <c r="K65" s="249"/>
      <c r="L65" s="249"/>
      <c r="M65" s="249"/>
      <c r="N65" s="264"/>
      <c r="O65" s="249"/>
      <c r="P65" s="249"/>
      <c r="Q65" s="249"/>
      <c r="R65" s="249"/>
      <c r="S65" s="249"/>
      <c r="T65" s="267"/>
      <c r="U65" s="267"/>
      <c r="V65" s="267"/>
      <c r="W65" s="250"/>
      <c r="X65" s="250"/>
      <c r="Y65" s="250"/>
      <c r="Z65" s="250"/>
      <c r="AA65" s="266"/>
      <c r="AB65" s="250"/>
      <c r="AC65" s="250"/>
      <c r="AD65" s="250"/>
      <c r="AE65" s="250"/>
      <c r="AF65" s="250"/>
      <c r="AG65" s="250"/>
      <c r="AH65" s="249"/>
      <c r="AI65" s="249"/>
      <c r="AJ65" s="249"/>
      <c r="AK65" s="249"/>
      <c r="AL65" s="249"/>
      <c r="AM65" s="249"/>
      <c r="AN65" s="249"/>
      <c r="AO65" s="249"/>
      <c r="AP65" s="249"/>
    </row>
    <row r="66" spans="1:42" x14ac:dyDescent="0.25">
      <c r="A66" s="264"/>
      <c r="B66" s="264"/>
      <c r="C66" s="264"/>
      <c r="D66" s="264"/>
      <c r="E66" s="264"/>
      <c r="F66" s="264"/>
      <c r="G66" s="264"/>
      <c r="H66" s="264"/>
      <c r="I66" s="249"/>
      <c r="J66" s="249"/>
      <c r="K66" s="249"/>
      <c r="L66" s="249"/>
      <c r="M66" s="249"/>
      <c r="N66" s="264"/>
      <c r="O66" s="249"/>
      <c r="P66" s="249"/>
      <c r="Q66" s="249"/>
      <c r="R66" s="249"/>
      <c r="S66" s="249"/>
      <c r="T66" s="267"/>
      <c r="U66" s="267"/>
      <c r="V66" s="267"/>
      <c r="W66" s="250"/>
      <c r="X66" s="250"/>
      <c r="Y66" s="250"/>
      <c r="Z66" s="250"/>
      <c r="AA66" s="266"/>
      <c r="AB66" s="250"/>
      <c r="AC66" s="250"/>
      <c r="AD66" s="250"/>
      <c r="AE66" s="250"/>
      <c r="AF66" s="250"/>
      <c r="AG66" s="250"/>
      <c r="AH66" s="249"/>
      <c r="AI66" s="249"/>
      <c r="AJ66" s="249"/>
      <c r="AK66" s="249"/>
      <c r="AL66" s="249"/>
      <c r="AM66" s="249"/>
      <c r="AN66" s="249"/>
      <c r="AO66" s="249"/>
      <c r="AP66" s="249"/>
    </row>
    <row r="67" spans="1:42" x14ac:dyDescent="0.25">
      <c r="A67" s="264"/>
      <c r="B67" s="264"/>
      <c r="C67" s="264"/>
      <c r="D67" s="264"/>
      <c r="E67" s="264"/>
      <c r="F67" s="264"/>
      <c r="G67" s="264"/>
      <c r="H67" s="264"/>
      <c r="I67" s="249"/>
      <c r="J67" s="249"/>
      <c r="K67" s="249"/>
      <c r="L67" s="249"/>
      <c r="M67" s="249"/>
      <c r="N67" s="264"/>
      <c r="O67" s="249"/>
      <c r="P67" s="249"/>
      <c r="Q67" s="249"/>
      <c r="R67" s="249"/>
      <c r="S67" s="249"/>
      <c r="T67" s="267"/>
      <c r="U67" s="267"/>
      <c r="V67" s="267"/>
      <c r="W67" s="250"/>
      <c r="X67" s="250"/>
      <c r="Y67" s="250"/>
      <c r="Z67" s="250"/>
      <c r="AA67" s="266"/>
      <c r="AB67" s="250"/>
      <c r="AC67" s="250"/>
      <c r="AD67" s="250"/>
      <c r="AE67" s="250"/>
      <c r="AF67" s="250"/>
      <c r="AG67" s="250"/>
      <c r="AH67" s="249"/>
      <c r="AI67" s="249"/>
      <c r="AJ67" s="249"/>
      <c r="AK67" s="249"/>
      <c r="AL67" s="249"/>
      <c r="AM67" s="249"/>
      <c r="AN67" s="249"/>
      <c r="AO67" s="249"/>
      <c r="AP67" s="249"/>
    </row>
    <row r="68" spans="1:42" x14ac:dyDescent="0.25">
      <c r="A68" s="264"/>
      <c r="B68" s="264"/>
      <c r="C68" s="264"/>
      <c r="D68" s="264"/>
      <c r="E68" s="264"/>
      <c r="F68" s="264"/>
      <c r="G68" s="264"/>
      <c r="H68" s="264"/>
      <c r="I68" s="249"/>
      <c r="J68" s="249"/>
      <c r="K68" s="249"/>
      <c r="L68" s="249"/>
      <c r="M68" s="249"/>
      <c r="N68" s="264"/>
      <c r="O68" s="249"/>
      <c r="P68" s="249"/>
      <c r="Q68" s="249"/>
      <c r="R68" s="249"/>
      <c r="S68" s="249"/>
      <c r="T68" s="267"/>
      <c r="U68" s="267"/>
      <c r="V68" s="267"/>
      <c r="W68" s="250"/>
      <c r="X68" s="250"/>
      <c r="Y68" s="250"/>
      <c r="Z68" s="250"/>
      <c r="AA68" s="266"/>
      <c r="AB68" s="250"/>
      <c r="AC68" s="250"/>
      <c r="AD68" s="250"/>
      <c r="AE68" s="250"/>
      <c r="AF68" s="250"/>
      <c r="AG68" s="250"/>
      <c r="AH68" s="249"/>
      <c r="AI68" s="249"/>
      <c r="AJ68" s="249"/>
      <c r="AK68" s="249"/>
      <c r="AL68" s="249"/>
      <c r="AM68" s="249"/>
      <c r="AN68" s="249"/>
      <c r="AO68" s="249"/>
      <c r="AP68" s="249"/>
    </row>
    <row r="69" spans="1:42" x14ac:dyDescent="0.25">
      <c r="A69" s="264"/>
      <c r="B69" s="264"/>
      <c r="C69" s="264"/>
      <c r="D69" s="264"/>
      <c r="E69" s="264"/>
      <c r="F69" s="264"/>
      <c r="G69" s="264"/>
      <c r="H69" s="264"/>
      <c r="I69" s="249"/>
      <c r="J69" s="249"/>
      <c r="K69" s="249"/>
      <c r="L69" s="249"/>
      <c r="M69" s="249"/>
      <c r="N69" s="264"/>
      <c r="O69" s="249"/>
      <c r="P69" s="249"/>
      <c r="Q69" s="249"/>
      <c r="R69" s="249"/>
      <c r="S69" s="249"/>
      <c r="T69" s="267"/>
      <c r="U69" s="267"/>
      <c r="V69" s="267"/>
      <c r="W69" s="250"/>
      <c r="X69" s="250"/>
      <c r="Y69" s="250"/>
      <c r="Z69" s="250"/>
      <c r="AA69" s="266"/>
      <c r="AB69" s="250"/>
      <c r="AC69" s="250"/>
      <c r="AD69" s="250"/>
      <c r="AE69" s="250"/>
      <c r="AF69" s="250"/>
      <c r="AG69" s="250"/>
      <c r="AH69" s="249"/>
      <c r="AI69" s="249"/>
      <c r="AJ69" s="249"/>
      <c r="AK69" s="249"/>
      <c r="AL69" s="249"/>
      <c r="AM69" s="249"/>
      <c r="AN69" s="249"/>
      <c r="AO69" s="249"/>
      <c r="AP69" s="249"/>
    </row>
    <row r="70" spans="1:42" x14ac:dyDescent="0.25">
      <c r="A70" s="264"/>
      <c r="B70" s="264"/>
      <c r="C70" s="264"/>
      <c r="D70" s="264"/>
      <c r="E70" s="264"/>
      <c r="F70" s="264"/>
      <c r="G70" s="264"/>
      <c r="H70" s="264"/>
      <c r="I70" s="249"/>
      <c r="J70" s="249"/>
      <c r="K70" s="249"/>
      <c r="L70" s="249"/>
      <c r="M70" s="249"/>
      <c r="N70" s="264"/>
      <c r="O70" s="249"/>
      <c r="P70" s="249"/>
      <c r="Q70" s="249"/>
      <c r="R70" s="249"/>
      <c r="S70" s="249"/>
      <c r="T70" s="267"/>
      <c r="U70" s="267"/>
      <c r="V70" s="267"/>
      <c r="W70" s="250"/>
      <c r="X70" s="250"/>
      <c r="Y70" s="250"/>
      <c r="Z70" s="250"/>
      <c r="AA70" s="266"/>
      <c r="AB70" s="250"/>
      <c r="AC70" s="250"/>
      <c r="AD70" s="250"/>
      <c r="AE70" s="250"/>
      <c r="AF70" s="250"/>
      <c r="AG70" s="250"/>
      <c r="AH70" s="249"/>
      <c r="AI70" s="249"/>
      <c r="AJ70" s="249"/>
      <c r="AK70" s="249"/>
      <c r="AL70" s="249"/>
      <c r="AM70" s="249"/>
      <c r="AN70" s="249"/>
      <c r="AO70" s="249"/>
      <c r="AP70" s="249"/>
    </row>
    <row r="71" spans="1:42" x14ac:dyDescent="0.25">
      <c r="A71" s="264"/>
      <c r="B71" s="264"/>
      <c r="C71" s="264"/>
      <c r="D71" s="264"/>
      <c r="E71" s="264"/>
      <c r="F71" s="264"/>
      <c r="G71" s="264"/>
      <c r="H71" s="264"/>
      <c r="I71" s="249"/>
      <c r="J71" s="249"/>
      <c r="K71" s="249"/>
      <c r="L71" s="249"/>
      <c r="M71" s="249"/>
      <c r="N71" s="264"/>
      <c r="O71" s="249"/>
      <c r="P71" s="249"/>
      <c r="Q71" s="249"/>
      <c r="R71" s="249"/>
      <c r="S71" s="249"/>
      <c r="T71" s="267"/>
      <c r="U71" s="267"/>
      <c r="V71" s="267"/>
      <c r="W71" s="250"/>
      <c r="X71" s="250"/>
      <c r="Y71" s="250"/>
      <c r="Z71" s="250"/>
      <c r="AA71" s="266"/>
      <c r="AB71" s="250"/>
      <c r="AC71" s="250"/>
      <c r="AD71" s="250"/>
      <c r="AE71" s="250"/>
      <c r="AF71" s="250"/>
      <c r="AG71" s="250"/>
      <c r="AH71" s="249"/>
      <c r="AI71" s="249"/>
      <c r="AJ71" s="249"/>
      <c r="AK71" s="249"/>
      <c r="AL71" s="249"/>
      <c r="AM71" s="249"/>
      <c r="AN71" s="249"/>
      <c r="AO71" s="249"/>
      <c r="AP71" s="249"/>
    </row>
    <row r="72" spans="1:42" x14ac:dyDescent="0.25">
      <c r="A72" s="264"/>
      <c r="B72" s="264"/>
      <c r="C72" s="264"/>
      <c r="D72" s="264"/>
      <c r="E72" s="264"/>
      <c r="F72" s="264"/>
      <c r="G72" s="264"/>
      <c r="H72" s="264"/>
      <c r="I72" s="249"/>
      <c r="J72" s="249"/>
      <c r="K72" s="249"/>
      <c r="L72" s="249"/>
      <c r="M72" s="249"/>
      <c r="N72" s="264"/>
      <c r="O72" s="249"/>
      <c r="P72" s="249"/>
      <c r="Q72" s="249"/>
      <c r="R72" s="249"/>
      <c r="S72" s="249"/>
      <c r="T72" s="267"/>
      <c r="U72" s="267"/>
      <c r="V72" s="267"/>
      <c r="W72" s="250"/>
      <c r="X72" s="250"/>
      <c r="Y72" s="250"/>
      <c r="Z72" s="250"/>
      <c r="AA72" s="266"/>
      <c r="AB72" s="250"/>
      <c r="AC72" s="250"/>
      <c r="AD72" s="250"/>
      <c r="AE72" s="250"/>
      <c r="AF72" s="250"/>
      <c r="AG72" s="250"/>
      <c r="AH72" s="249"/>
      <c r="AI72" s="249"/>
      <c r="AJ72" s="249"/>
      <c r="AK72" s="249"/>
      <c r="AL72" s="249"/>
      <c r="AM72" s="249"/>
      <c r="AN72" s="249"/>
      <c r="AO72" s="249"/>
      <c r="AP72" s="249"/>
    </row>
    <row r="73" spans="1:42" x14ac:dyDescent="0.25">
      <c r="A73" s="264"/>
      <c r="B73" s="264"/>
      <c r="C73" s="264"/>
      <c r="D73" s="264"/>
      <c r="E73" s="264"/>
      <c r="F73" s="264"/>
      <c r="G73" s="264"/>
      <c r="H73" s="264"/>
      <c r="I73" s="249"/>
      <c r="J73" s="249"/>
      <c r="K73" s="249"/>
      <c r="L73" s="249"/>
      <c r="M73" s="249"/>
      <c r="N73" s="264"/>
      <c r="O73" s="249"/>
      <c r="P73" s="249"/>
      <c r="Q73" s="249"/>
      <c r="R73" s="249"/>
      <c r="S73" s="249"/>
      <c r="T73" s="267"/>
      <c r="U73" s="267"/>
      <c r="V73" s="267"/>
      <c r="W73" s="250"/>
      <c r="X73" s="250"/>
      <c r="Y73" s="250"/>
      <c r="Z73" s="250"/>
      <c r="AA73" s="266"/>
      <c r="AB73" s="250"/>
      <c r="AC73" s="250"/>
      <c r="AD73" s="250"/>
      <c r="AE73" s="250"/>
      <c r="AF73" s="250"/>
      <c r="AG73" s="250"/>
      <c r="AH73" s="249"/>
      <c r="AI73" s="249"/>
      <c r="AJ73" s="249"/>
      <c r="AK73" s="249"/>
      <c r="AL73" s="249"/>
      <c r="AM73" s="249"/>
      <c r="AN73" s="249"/>
      <c r="AO73" s="249"/>
      <c r="AP73" s="249"/>
    </row>
    <row r="74" spans="1:42" x14ac:dyDescent="0.25">
      <c r="A74" s="264"/>
      <c r="B74" s="264"/>
      <c r="C74" s="264"/>
      <c r="D74" s="264"/>
      <c r="E74" s="264"/>
      <c r="F74" s="264"/>
      <c r="G74" s="264"/>
      <c r="H74" s="264"/>
      <c r="I74" s="249"/>
      <c r="J74" s="249"/>
      <c r="K74" s="249"/>
      <c r="L74" s="249"/>
      <c r="M74" s="249"/>
      <c r="N74" s="264"/>
      <c r="O74" s="249"/>
      <c r="P74" s="249"/>
      <c r="Q74" s="249"/>
      <c r="R74" s="249"/>
      <c r="S74" s="249"/>
      <c r="T74" s="267"/>
      <c r="U74" s="267"/>
      <c r="V74" s="267"/>
      <c r="W74" s="250"/>
      <c r="X74" s="250"/>
      <c r="Y74" s="250"/>
      <c r="Z74" s="250"/>
      <c r="AA74" s="266"/>
      <c r="AB74" s="250"/>
      <c r="AC74" s="250"/>
      <c r="AD74" s="250"/>
      <c r="AE74" s="250"/>
      <c r="AF74" s="250"/>
      <c r="AG74" s="250"/>
      <c r="AH74" s="249"/>
      <c r="AI74" s="249"/>
      <c r="AJ74" s="249"/>
      <c r="AK74" s="249"/>
      <c r="AL74" s="249"/>
      <c r="AM74" s="249"/>
      <c r="AN74" s="249"/>
      <c r="AO74" s="249"/>
      <c r="AP74" s="249"/>
    </row>
    <row r="75" spans="1:42" x14ac:dyDescent="0.25">
      <c r="A75" s="264"/>
      <c r="B75" s="264"/>
      <c r="C75" s="264"/>
      <c r="D75" s="264"/>
      <c r="E75" s="264"/>
      <c r="F75" s="264"/>
      <c r="G75" s="264"/>
      <c r="H75" s="264"/>
      <c r="I75" s="249"/>
      <c r="J75" s="249"/>
      <c r="K75" s="249"/>
      <c r="L75" s="249"/>
      <c r="M75" s="249"/>
      <c r="N75" s="264"/>
      <c r="O75" s="249"/>
      <c r="P75" s="249"/>
      <c r="Q75" s="249"/>
      <c r="R75" s="249"/>
      <c r="S75" s="249"/>
      <c r="T75" s="267"/>
      <c r="U75" s="267"/>
      <c r="V75" s="267"/>
      <c r="W75" s="250"/>
      <c r="X75" s="250"/>
      <c r="Y75" s="250"/>
      <c r="Z75" s="250"/>
      <c r="AA75" s="266"/>
      <c r="AB75" s="250"/>
      <c r="AC75" s="250"/>
      <c r="AD75" s="250"/>
      <c r="AE75" s="250"/>
      <c r="AF75" s="250"/>
      <c r="AG75" s="250"/>
      <c r="AH75" s="249"/>
      <c r="AI75" s="249"/>
      <c r="AJ75" s="249"/>
      <c r="AK75" s="249"/>
      <c r="AL75" s="249"/>
      <c r="AM75" s="249"/>
      <c r="AN75" s="249"/>
      <c r="AO75" s="249"/>
      <c r="AP75" s="249"/>
    </row>
    <row r="76" spans="1:42" x14ac:dyDescent="0.25">
      <c r="A76" s="264"/>
      <c r="B76" s="264"/>
      <c r="C76" s="264"/>
      <c r="D76" s="264"/>
      <c r="E76" s="264"/>
      <c r="F76" s="264"/>
      <c r="G76" s="264"/>
      <c r="H76" s="264"/>
      <c r="I76" s="249"/>
      <c r="J76" s="249"/>
      <c r="K76" s="249"/>
      <c r="L76" s="249"/>
      <c r="M76" s="249"/>
      <c r="N76" s="264"/>
      <c r="O76" s="249"/>
      <c r="P76" s="249"/>
      <c r="Q76" s="249"/>
      <c r="R76" s="249"/>
      <c r="S76" s="249"/>
      <c r="T76" s="267"/>
      <c r="U76" s="267"/>
      <c r="V76" s="267"/>
      <c r="W76" s="250"/>
      <c r="X76" s="250"/>
      <c r="Y76" s="250"/>
      <c r="Z76" s="250"/>
      <c r="AA76" s="266"/>
      <c r="AB76" s="250"/>
      <c r="AC76" s="250"/>
      <c r="AD76" s="250"/>
      <c r="AE76" s="250"/>
      <c r="AF76" s="250"/>
      <c r="AG76" s="250"/>
      <c r="AH76" s="249"/>
      <c r="AI76" s="249"/>
      <c r="AJ76" s="249"/>
      <c r="AK76" s="249"/>
      <c r="AL76" s="249"/>
      <c r="AM76" s="249"/>
      <c r="AN76" s="249"/>
      <c r="AO76" s="249"/>
      <c r="AP76" s="249"/>
    </row>
    <row r="77" spans="1:42" x14ac:dyDescent="0.25">
      <c r="A77" s="264"/>
      <c r="B77" s="264"/>
      <c r="C77" s="264"/>
      <c r="D77" s="264"/>
      <c r="E77" s="264"/>
      <c r="F77" s="264"/>
      <c r="G77" s="264"/>
      <c r="H77" s="264"/>
      <c r="I77" s="249"/>
      <c r="J77" s="249"/>
      <c r="K77" s="249"/>
      <c r="L77" s="249"/>
      <c r="M77" s="249"/>
      <c r="N77" s="264"/>
      <c r="O77" s="249"/>
      <c r="P77" s="249"/>
      <c r="Q77" s="249"/>
      <c r="R77" s="249"/>
      <c r="S77" s="249"/>
      <c r="T77" s="267"/>
      <c r="U77" s="267"/>
      <c r="V77" s="267"/>
      <c r="W77" s="250"/>
      <c r="X77" s="250"/>
      <c r="Y77" s="250"/>
      <c r="Z77" s="250"/>
      <c r="AA77" s="266"/>
      <c r="AB77" s="250"/>
      <c r="AC77" s="250"/>
      <c r="AD77" s="250"/>
      <c r="AE77" s="250"/>
      <c r="AF77" s="250"/>
      <c r="AG77" s="250"/>
      <c r="AH77" s="249"/>
      <c r="AI77" s="249"/>
      <c r="AJ77" s="249"/>
      <c r="AK77" s="249"/>
      <c r="AL77" s="249"/>
      <c r="AM77" s="249"/>
      <c r="AN77" s="249"/>
      <c r="AO77" s="249"/>
      <c r="AP77" s="249"/>
    </row>
    <row r="78" spans="1:42" x14ac:dyDescent="0.25">
      <c r="A78" s="264"/>
      <c r="B78" s="264"/>
      <c r="C78" s="264"/>
      <c r="D78" s="264"/>
      <c r="E78" s="264"/>
      <c r="F78" s="264"/>
      <c r="G78" s="264"/>
      <c r="H78" s="264"/>
      <c r="I78" s="249"/>
      <c r="J78" s="249"/>
      <c r="K78" s="249"/>
      <c r="L78" s="249"/>
      <c r="M78" s="249"/>
      <c r="N78" s="264"/>
      <c r="O78" s="249"/>
      <c r="P78" s="249"/>
      <c r="Q78" s="249"/>
      <c r="R78" s="249"/>
      <c r="S78" s="249"/>
      <c r="T78" s="267"/>
      <c r="U78" s="267"/>
      <c r="V78" s="267"/>
      <c r="W78" s="250"/>
      <c r="X78" s="250"/>
      <c r="Y78" s="250"/>
      <c r="Z78" s="250"/>
      <c r="AA78" s="266"/>
      <c r="AB78" s="250"/>
      <c r="AC78" s="250"/>
      <c r="AD78" s="250"/>
      <c r="AE78" s="250"/>
      <c r="AF78" s="250"/>
      <c r="AG78" s="250"/>
      <c r="AH78" s="249"/>
      <c r="AI78" s="249"/>
      <c r="AJ78" s="249"/>
      <c r="AK78" s="249"/>
      <c r="AL78" s="249"/>
      <c r="AM78" s="249"/>
      <c r="AN78" s="249"/>
      <c r="AO78" s="249"/>
      <c r="AP78" s="249"/>
    </row>
    <row r="79" spans="1:42" x14ac:dyDescent="0.25">
      <c r="A79" s="264"/>
      <c r="B79" s="264"/>
      <c r="C79" s="264"/>
      <c r="D79" s="264"/>
      <c r="E79" s="264"/>
      <c r="F79" s="264"/>
      <c r="G79" s="264"/>
      <c r="H79" s="264"/>
      <c r="I79" s="249"/>
      <c r="J79" s="249"/>
      <c r="K79" s="249"/>
      <c r="L79" s="249"/>
      <c r="M79" s="249"/>
      <c r="N79" s="264"/>
      <c r="O79" s="249"/>
      <c r="P79" s="249"/>
      <c r="Q79" s="249"/>
      <c r="R79" s="249"/>
      <c r="S79" s="249"/>
      <c r="T79" s="267"/>
      <c r="U79" s="267"/>
      <c r="V79" s="267"/>
      <c r="W79" s="250"/>
      <c r="X79" s="250"/>
      <c r="Y79" s="250"/>
      <c r="Z79" s="250"/>
      <c r="AA79" s="266"/>
      <c r="AB79" s="250"/>
      <c r="AC79" s="250"/>
      <c r="AD79" s="250"/>
      <c r="AE79" s="250"/>
      <c r="AF79" s="250"/>
      <c r="AG79" s="250"/>
      <c r="AH79" s="249"/>
      <c r="AI79" s="249"/>
      <c r="AJ79" s="249"/>
      <c r="AK79" s="249"/>
      <c r="AL79" s="249"/>
      <c r="AM79" s="249"/>
      <c r="AN79" s="249"/>
      <c r="AO79" s="249"/>
      <c r="AP79" s="249"/>
    </row>
    <row r="80" spans="1:42" x14ac:dyDescent="0.25">
      <c r="A80" s="128" t="e">
        <f>#REF!</f>
        <v>#REF!</v>
      </c>
      <c r="B80" s="128" t="e">
        <f>#REF!</f>
        <v>#REF!</v>
      </c>
      <c r="C80" s="128" t="e">
        <f>#REF!</f>
        <v>#REF!</v>
      </c>
      <c r="D80" s="128" t="e">
        <f>#REF!</f>
        <v>#REF!</v>
      </c>
      <c r="E80" s="128" t="e">
        <f>#REF!</f>
        <v>#REF!</v>
      </c>
      <c r="F80" s="128" t="e">
        <f>#REF!</f>
        <v>#REF!</v>
      </c>
      <c r="G80" s="128" t="e">
        <f>#REF!</f>
        <v>#REF!</v>
      </c>
      <c r="H80" s="128" t="e">
        <f>#REF!</f>
        <v>#REF!</v>
      </c>
    </row>
  </sheetData>
  <sheetProtection algorithmName="SHA-512" hashValue="MEVPEyVKeoY1rJgUNbyc9YFnI9oUuEifcrj2Ga9/MF3HH2dtl+ZmW1+pHI0p+G0ZHi8+x2xXswDrcxE9AdOpMw==" saltValue="5cGyrPnMUZZbG33fPpZIag=="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1"/>
  <sheetViews>
    <sheetView topLeftCell="A4" zoomScale="77" zoomScaleNormal="77" workbookViewId="0">
      <pane ySplit="5" topLeftCell="A9" activePane="bottomLeft" state="frozen"/>
      <selection activeCell="A4" sqref="A4"/>
      <selection pane="bottomLeft" activeCell="D11" sqref="D11"/>
    </sheetView>
  </sheetViews>
  <sheetFormatPr baseColWidth="10" defaultRowHeight="15" x14ac:dyDescent="0.25"/>
  <cols>
    <col min="1" max="1" width="21.7109375" style="1" customWidth="1"/>
    <col min="2" max="2" width="15.42578125" style="1" customWidth="1"/>
    <col min="3" max="3" width="15.85546875" style="1" customWidth="1"/>
    <col min="4" max="4" width="11.42578125" style="1"/>
    <col min="5" max="5" width="20" style="1" customWidth="1"/>
    <col min="6" max="6" width="16" style="1" customWidth="1"/>
    <col min="7" max="7" width="13" style="1" customWidth="1"/>
    <col min="8" max="8" width="30.140625" style="1" customWidth="1"/>
    <col min="9" max="9" width="17.7109375" style="1" customWidth="1"/>
    <col min="10" max="10" width="19.28515625" style="1" customWidth="1"/>
    <col min="11" max="11" width="36.28515625" style="1" customWidth="1"/>
    <col min="12" max="16" width="11.42578125" style="1"/>
    <col min="17" max="17" width="23.7109375" style="1" customWidth="1"/>
    <col min="18" max="16384" width="11.42578125" style="1"/>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row>
    <row r="5" spans="1:97" x14ac:dyDescent="0.25">
      <c r="A5" s="2"/>
      <c r="B5" s="2"/>
      <c r="C5" s="2"/>
      <c r="D5" s="2"/>
      <c r="E5" s="2"/>
      <c r="F5" s="2"/>
      <c r="G5" s="2"/>
      <c r="H5" s="2"/>
      <c r="I5" s="2"/>
      <c r="J5" s="2"/>
      <c r="K5" s="2"/>
      <c r="L5" s="4"/>
      <c r="M5" s="5"/>
      <c r="N5" s="5"/>
      <c r="O5" s="5"/>
      <c r="Q5" s="155">
        <f>'[14]FORMATO FINANCIERO'!J24-'[14]FORMATO FINANCIERO'!H24</f>
        <v>1340000000</v>
      </c>
    </row>
    <row r="6" spans="1:97" x14ac:dyDescent="0.25">
      <c r="A6" s="7" t="s">
        <v>4</v>
      </c>
      <c r="B6" s="606" t="s">
        <v>2559</v>
      </c>
      <c r="C6" s="606"/>
      <c r="D6" s="606"/>
      <c r="E6" s="606"/>
      <c r="F6" s="606"/>
      <c r="G6" s="606"/>
      <c r="H6" s="606"/>
      <c r="I6" s="606"/>
      <c r="J6" s="606"/>
      <c r="K6" s="606"/>
      <c r="L6" s="606"/>
      <c r="M6" s="606"/>
      <c r="N6" s="606"/>
      <c r="O6" s="606"/>
    </row>
    <row r="7" spans="1:97"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9" t="s">
        <v>22</v>
      </c>
    </row>
    <row r="8" spans="1:97" ht="63.75" customHeight="1" x14ac:dyDescent="0.25">
      <c r="A8" s="618"/>
      <c r="B8" s="618"/>
      <c r="C8" s="618"/>
      <c r="D8" s="618"/>
      <c r="E8" s="618"/>
      <c r="F8" s="618"/>
      <c r="G8" s="618"/>
      <c r="H8" s="618"/>
      <c r="I8" s="622"/>
      <c r="J8" s="622"/>
      <c r="K8" s="618"/>
      <c r="L8" s="618"/>
      <c r="M8" s="618"/>
      <c r="N8" s="624"/>
      <c r="O8" s="624"/>
      <c r="P8" s="624"/>
      <c r="Q8" s="620"/>
      <c r="S8" s="8"/>
      <c r="T8" s="8"/>
      <c r="U8" s="8"/>
      <c r="V8" s="8"/>
      <c r="W8" s="8"/>
      <c r="X8" s="8"/>
      <c r="Y8" s="8"/>
      <c r="Z8" s="8"/>
      <c r="AA8" s="8"/>
      <c r="AB8" s="8"/>
      <c r="AC8" s="8"/>
      <c r="AD8" s="8"/>
      <c r="AE8" s="8"/>
      <c r="AF8" s="8"/>
      <c r="AG8" s="8"/>
      <c r="AH8" s="8"/>
      <c r="AK8" s="9"/>
      <c r="AO8" s="9"/>
      <c r="AS8" s="9"/>
      <c r="AW8" s="9"/>
      <c r="BA8" s="9"/>
      <c r="BE8" s="9"/>
      <c r="BI8" s="9"/>
      <c r="BM8" s="9"/>
      <c r="BQ8" s="9"/>
      <c r="BU8" s="9"/>
      <c r="BY8" s="9"/>
      <c r="CC8" s="9"/>
      <c r="CG8" s="9"/>
      <c r="CK8" s="9"/>
      <c r="CO8" s="9"/>
      <c r="CS8" s="9"/>
    </row>
    <row r="9" spans="1:97" ht="122.25" customHeight="1" x14ac:dyDescent="0.25">
      <c r="A9" s="10" t="s">
        <v>55</v>
      </c>
      <c r="B9" s="10" t="s">
        <v>354</v>
      </c>
      <c r="C9" s="10" t="s">
        <v>2560</v>
      </c>
      <c r="D9" s="10">
        <v>241220000</v>
      </c>
      <c r="E9" s="10" t="s">
        <v>2561</v>
      </c>
      <c r="F9" s="11" t="s">
        <v>2562</v>
      </c>
      <c r="G9" s="10" t="s">
        <v>2563</v>
      </c>
      <c r="H9" s="10" t="s">
        <v>2564</v>
      </c>
      <c r="I9" s="14">
        <v>1659778000</v>
      </c>
      <c r="J9" s="14">
        <v>1535778000</v>
      </c>
      <c r="K9" s="10" t="s">
        <v>2565</v>
      </c>
      <c r="L9" s="10">
        <v>200</v>
      </c>
      <c r="M9" s="10">
        <v>200</v>
      </c>
      <c r="N9" s="10"/>
      <c r="O9" s="10">
        <v>0</v>
      </c>
      <c r="P9" s="10">
        <v>0</v>
      </c>
      <c r="Q9" s="10" t="s">
        <v>2566</v>
      </c>
      <c r="R9" s="409"/>
      <c r="S9" s="409"/>
      <c r="T9" s="409"/>
      <c r="U9" s="17"/>
      <c r="V9" s="8"/>
      <c r="W9" s="8"/>
      <c r="X9" s="8"/>
      <c r="Y9" s="8"/>
      <c r="Z9" s="8"/>
      <c r="AA9" s="8"/>
      <c r="AB9" s="8"/>
      <c r="AC9" s="8"/>
      <c r="AD9" s="8"/>
      <c r="AE9" s="8"/>
      <c r="AF9" s="8"/>
      <c r="AG9" s="8"/>
      <c r="AH9" s="8"/>
      <c r="AK9" s="9"/>
      <c r="AO9" s="9"/>
      <c r="AS9" s="9"/>
      <c r="AW9" s="9"/>
      <c r="BA9" s="9"/>
      <c r="BE9" s="9"/>
      <c r="BI9" s="9"/>
      <c r="BM9" s="9"/>
      <c r="BQ9" s="9"/>
      <c r="BU9" s="9"/>
      <c r="BY9" s="9"/>
      <c r="CC9" s="9"/>
      <c r="CG9" s="9"/>
      <c r="CK9" s="9"/>
      <c r="CO9" s="9"/>
      <c r="CS9" s="9"/>
    </row>
    <row r="10" spans="1:97" ht="122.25" customHeight="1" x14ac:dyDescent="0.25">
      <c r="A10" s="10"/>
      <c r="B10" s="10"/>
      <c r="C10" s="10"/>
      <c r="D10" s="10"/>
      <c r="E10" s="10"/>
      <c r="F10" s="11"/>
      <c r="G10" s="10"/>
      <c r="H10" s="10"/>
      <c r="I10" s="14"/>
      <c r="J10" s="82"/>
      <c r="K10" s="10" t="s">
        <v>2567</v>
      </c>
      <c r="L10" s="10">
        <v>10</v>
      </c>
      <c r="M10" s="10">
        <v>10</v>
      </c>
      <c r="N10" s="10"/>
      <c r="O10" s="10">
        <v>0</v>
      </c>
      <c r="P10" s="10">
        <v>74</v>
      </c>
      <c r="Q10" s="10" t="s">
        <v>2566</v>
      </c>
      <c r="R10" s="409"/>
      <c r="S10" s="409"/>
      <c r="T10" s="409"/>
      <c r="U10" s="17"/>
      <c r="V10" s="8"/>
      <c r="W10" s="8"/>
      <c r="X10" s="8"/>
      <c r="Y10" s="8"/>
      <c r="Z10" s="8"/>
      <c r="AA10" s="8"/>
      <c r="AB10" s="8"/>
      <c r="AC10" s="8"/>
      <c r="AD10" s="8"/>
      <c r="AE10" s="8"/>
      <c r="AF10" s="8"/>
      <c r="AG10" s="8"/>
      <c r="AH10" s="8"/>
      <c r="AK10" s="9"/>
      <c r="AO10" s="9"/>
      <c r="AS10" s="9"/>
      <c r="AW10" s="9"/>
      <c r="BA10" s="9"/>
      <c r="BE10" s="9"/>
      <c r="BI10" s="9"/>
      <c r="BM10" s="9"/>
      <c r="BQ10" s="9"/>
      <c r="BU10" s="9"/>
      <c r="BY10" s="9"/>
      <c r="CC10" s="9"/>
      <c r="CG10" s="9"/>
      <c r="CK10" s="9"/>
      <c r="CO10" s="9"/>
      <c r="CS10" s="9"/>
    </row>
    <row r="11" spans="1:97" ht="122.25" customHeight="1" x14ac:dyDescent="0.25">
      <c r="A11" s="10"/>
      <c r="B11" s="10"/>
      <c r="C11" s="10"/>
      <c r="D11" s="10"/>
      <c r="E11" s="10"/>
      <c r="F11" s="11"/>
      <c r="G11" s="10"/>
      <c r="H11" s="10"/>
      <c r="I11" s="14"/>
      <c r="J11" s="82"/>
      <c r="K11" s="10" t="s">
        <v>2568</v>
      </c>
      <c r="L11" s="10">
        <v>40</v>
      </c>
      <c r="M11" s="10">
        <v>40</v>
      </c>
      <c r="N11" s="10"/>
      <c r="O11" s="10">
        <v>0</v>
      </c>
      <c r="P11" s="10">
        <v>6</v>
      </c>
      <c r="Q11" s="10" t="s">
        <v>2566</v>
      </c>
      <c r="R11" s="409"/>
      <c r="S11" s="409"/>
      <c r="T11" s="409"/>
      <c r="U11" s="17"/>
      <c r="V11" s="8"/>
      <c r="W11" s="8"/>
      <c r="X11" s="8"/>
      <c r="Y11" s="8"/>
      <c r="Z11" s="8"/>
      <c r="AA11" s="8"/>
      <c r="AB11" s="8"/>
      <c r="AC11" s="8"/>
      <c r="AD11" s="8"/>
      <c r="AE11" s="8"/>
      <c r="AF11" s="8"/>
      <c r="AG11" s="8"/>
      <c r="AH11" s="8"/>
      <c r="AK11" s="9"/>
      <c r="AO11" s="9"/>
      <c r="AS11" s="9"/>
      <c r="AW11" s="9"/>
      <c r="BA11" s="9"/>
      <c r="BE11" s="9"/>
      <c r="BI11" s="9"/>
      <c r="BM11" s="9"/>
      <c r="BQ11" s="9"/>
      <c r="BU11" s="9"/>
      <c r="BY11" s="9"/>
      <c r="CC11" s="9"/>
      <c r="CG11" s="9"/>
      <c r="CK11" s="9"/>
      <c r="CO11" s="9"/>
      <c r="CS11" s="9"/>
    </row>
    <row r="12" spans="1:97" ht="108.75" customHeight="1" x14ac:dyDescent="0.25">
      <c r="A12" s="10" t="s">
        <v>55</v>
      </c>
      <c r="B12" s="10" t="s">
        <v>354</v>
      </c>
      <c r="C12" s="10" t="s">
        <v>2560</v>
      </c>
      <c r="D12" s="10">
        <v>241210000</v>
      </c>
      <c r="E12" s="10" t="s">
        <v>2569</v>
      </c>
      <c r="F12" s="11" t="s">
        <v>2570</v>
      </c>
      <c r="G12" s="10" t="s">
        <v>2571</v>
      </c>
      <c r="H12" s="10" t="s">
        <v>2572</v>
      </c>
      <c r="I12" s="14">
        <v>0</v>
      </c>
      <c r="J12" s="14">
        <v>-2844293971</v>
      </c>
      <c r="K12" s="10" t="s">
        <v>2573</v>
      </c>
      <c r="L12" s="10">
        <v>216000</v>
      </c>
      <c r="M12" s="10">
        <v>216000</v>
      </c>
      <c r="N12" s="10"/>
      <c r="O12" s="10">
        <v>131951</v>
      </c>
      <c r="P12" s="10">
        <v>156896</v>
      </c>
      <c r="Q12" s="10"/>
      <c r="R12" s="409"/>
      <c r="S12" s="409"/>
      <c r="T12" s="409"/>
      <c r="U12" s="17"/>
      <c r="V12" s="8"/>
      <c r="W12" s="8"/>
      <c r="X12" s="8"/>
      <c r="Y12" s="8"/>
      <c r="Z12" s="8"/>
      <c r="AA12" s="8"/>
      <c r="AB12" s="8"/>
      <c r="AC12" s="8"/>
      <c r="AD12" s="8"/>
      <c r="AE12" s="8"/>
      <c r="AF12" s="8"/>
      <c r="AG12" s="8"/>
      <c r="AH12" s="8"/>
      <c r="AK12" s="9"/>
      <c r="AO12" s="9"/>
      <c r="AS12" s="9"/>
      <c r="AW12" s="9"/>
      <c r="BA12" s="9"/>
      <c r="BE12" s="9"/>
      <c r="BI12" s="9"/>
      <c r="BM12" s="9"/>
      <c r="BQ12" s="9"/>
      <c r="BU12" s="9"/>
      <c r="BY12" s="9"/>
      <c r="CC12" s="9"/>
      <c r="CG12" s="9"/>
      <c r="CK12" s="9"/>
      <c r="CO12" s="9"/>
      <c r="CS12" s="9"/>
    </row>
    <row r="13" spans="1:97" ht="74.25" customHeight="1" x14ac:dyDescent="0.25">
      <c r="A13" s="10" t="s">
        <v>55</v>
      </c>
      <c r="B13" s="10" t="s">
        <v>354</v>
      </c>
      <c r="C13" s="10" t="s">
        <v>2560</v>
      </c>
      <c r="D13" s="10">
        <v>241210000</v>
      </c>
      <c r="E13" s="10" t="s">
        <v>2569</v>
      </c>
      <c r="F13" s="11" t="s">
        <v>2574</v>
      </c>
      <c r="G13" s="10" t="s">
        <v>2575</v>
      </c>
      <c r="H13" s="10" t="s">
        <v>2576</v>
      </c>
      <c r="I13" s="14">
        <v>8589161501</v>
      </c>
      <c r="J13" s="14">
        <v>6959354077</v>
      </c>
      <c r="K13" s="10" t="s">
        <v>2577</v>
      </c>
      <c r="L13" s="10">
        <v>9000</v>
      </c>
      <c r="M13" s="10">
        <v>9000</v>
      </c>
      <c r="N13" s="10"/>
      <c r="O13" s="10">
        <v>629</v>
      </c>
      <c r="P13" s="10">
        <v>953</v>
      </c>
      <c r="Q13" s="10" t="s">
        <v>2578</v>
      </c>
      <c r="R13" s="409"/>
      <c r="S13" s="409"/>
      <c r="T13" s="409"/>
      <c r="U13" s="17"/>
      <c r="V13" s="8"/>
      <c r="W13" s="8"/>
      <c r="X13" s="8"/>
      <c r="Y13" s="8"/>
      <c r="Z13" s="8"/>
      <c r="AA13" s="8"/>
      <c r="AB13" s="8"/>
      <c r="AC13" s="8"/>
      <c r="AD13" s="8"/>
      <c r="AE13" s="8"/>
      <c r="AF13" s="8"/>
      <c r="AG13" s="8"/>
      <c r="AH13" s="8"/>
      <c r="AK13" s="9"/>
      <c r="AO13" s="9"/>
      <c r="AS13" s="9"/>
      <c r="AW13" s="9"/>
      <c r="BA13" s="9"/>
      <c r="BE13" s="9"/>
      <c r="BI13" s="9"/>
      <c r="BM13" s="9"/>
      <c r="BQ13" s="9"/>
      <c r="BU13" s="9"/>
      <c r="BY13" s="9"/>
      <c r="CC13" s="9"/>
      <c r="CG13" s="9"/>
      <c r="CK13" s="9"/>
      <c r="CO13" s="9"/>
      <c r="CS13" s="9"/>
    </row>
    <row r="14" spans="1:97" ht="74.25" customHeight="1" x14ac:dyDescent="0.25">
      <c r="A14" s="10"/>
      <c r="B14" s="10"/>
      <c r="C14" s="10"/>
      <c r="D14" s="10"/>
      <c r="E14" s="10"/>
      <c r="F14" s="11"/>
      <c r="G14" s="10"/>
      <c r="H14" s="10"/>
      <c r="I14" s="14"/>
      <c r="J14" s="10"/>
      <c r="K14" s="10" t="s">
        <v>2579</v>
      </c>
      <c r="L14" s="10">
        <v>3300</v>
      </c>
      <c r="M14" s="10">
        <v>3300</v>
      </c>
      <c r="N14" s="10"/>
      <c r="O14" s="10">
        <v>1630</v>
      </c>
      <c r="P14" s="10">
        <v>2982</v>
      </c>
      <c r="Q14" s="10" t="s">
        <v>2580</v>
      </c>
      <c r="R14" s="409"/>
      <c r="S14" s="409"/>
      <c r="T14" s="409"/>
      <c r="U14" s="17"/>
      <c r="V14" s="8"/>
      <c r="W14" s="8"/>
      <c r="X14" s="8"/>
      <c r="Y14" s="8"/>
      <c r="Z14" s="8"/>
      <c r="AA14" s="8"/>
      <c r="AB14" s="8"/>
      <c r="AC14" s="8"/>
      <c r="AD14" s="8"/>
      <c r="AE14" s="8"/>
      <c r="AF14" s="8"/>
      <c r="AG14" s="8"/>
      <c r="AH14" s="8"/>
      <c r="AK14" s="9"/>
      <c r="AO14" s="9"/>
      <c r="AS14" s="9"/>
      <c r="AW14" s="9"/>
      <c r="BA14" s="9"/>
      <c r="BE14" s="9"/>
      <c r="BI14" s="9"/>
      <c r="BM14" s="9"/>
      <c r="BQ14" s="9"/>
      <c r="BU14" s="9"/>
      <c r="BY14" s="9"/>
      <c r="CC14" s="9"/>
      <c r="CG14" s="9"/>
      <c r="CK14" s="9"/>
      <c r="CO14" s="9"/>
      <c r="CS14" s="9"/>
    </row>
    <row r="15" spans="1:97" ht="131.25" customHeight="1" x14ac:dyDescent="0.25">
      <c r="A15" s="10" t="s">
        <v>55</v>
      </c>
      <c r="B15" s="10" t="s">
        <v>354</v>
      </c>
      <c r="C15" s="10" t="s">
        <v>2560</v>
      </c>
      <c r="D15" s="10">
        <v>241210000</v>
      </c>
      <c r="E15" s="10" t="s">
        <v>2569</v>
      </c>
      <c r="F15" s="11" t="s">
        <v>2581</v>
      </c>
      <c r="G15" s="10" t="s">
        <v>2582</v>
      </c>
      <c r="H15" s="10" t="s">
        <v>2583</v>
      </c>
      <c r="I15" s="14">
        <v>1549117454</v>
      </c>
      <c r="J15" s="14">
        <v>-14888782364</v>
      </c>
      <c r="K15" s="10" t="s">
        <v>2584</v>
      </c>
      <c r="L15" s="10">
        <v>348568</v>
      </c>
      <c r="M15" s="10">
        <v>348568</v>
      </c>
      <c r="N15" s="10"/>
      <c r="O15" s="10">
        <v>342964</v>
      </c>
      <c r="P15" s="10">
        <v>343700</v>
      </c>
      <c r="Q15" s="10"/>
      <c r="R15" s="409"/>
      <c r="S15" s="409"/>
      <c r="T15" s="409"/>
      <c r="U15" s="17"/>
      <c r="V15" s="8"/>
      <c r="W15" s="8"/>
      <c r="X15" s="8"/>
      <c r="Y15" s="8"/>
      <c r="Z15" s="8"/>
      <c r="AA15" s="8"/>
      <c r="AB15" s="8"/>
      <c r="AC15" s="8"/>
      <c r="AD15" s="8"/>
      <c r="AE15" s="8"/>
      <c r="AF15" s="8"/>
      <c r="AG15" s="8"/>
      <c r="AH15" s="8"/>
      <c r="AK15" s="9"/>
      <c r="AO15" s="9"/>
      <c r="AS15" s="9"/>
      <c r="AW15" s="9"/>
      <c r="BA15" s="9"/>
      <c r="BE15" s="9"/>
      <c r="BI15" s="9"/>
      <c r="BM15" s="9"/>
      <c r="BQ15" s="9"/>
      <c r="BU15" s="9"/>
      <c r="BY15" s="9"/>
      <c r="CC15" s="9"/>
      <c r="CG15" s="9"/>
      <c r="CK15" s="9"/>
      <c r="CO15" s="9"/>
      <c r="CS15" s="9"/>
    </row>
    <row r="16" spans="1:97" ht="70.5" customHeight="1" x14ac:dyDescent="0.25">
      <c r="A16" s="10" t="s">
        <v>55</v>
      </c>
      <c r="B16" s="10" t="s">
        <v>354</v>
      </c>
      <c r="C16" s="10" t="s">
        <v>2560</v>
      </c>
      <c r="D16" s="10">
        <v>241210000</v>
      </c>
      <c r="E16" s="10" t="s">
        <v>2569</v>
      </c>
      <c r="F16" s="11" t="s">
        <v>2585</v>
      </c>
      <c r="G16" s="10" t="s">
        <v>2586</v>
      </c>
      <c r="H16" s="10" t="s">
        <v>2587</v>
      </c>
      <c r="I16" s="14">
        <v>0</v>
      </c>
      <c r="J16" s="14">
        <v>1500000000</v>
      </c>
      <c r="K16" s="10" t="s">
        <v>2588</v>
      </c>
      <c r="L16" s="10">
        <v>13030</v>
      </c>
      <c r="M16" s="10">
        <v>13030</v>
      </c>
      <c r="N16" s="10"/>
      <c r="O16" s="10">
        <v>0</v>
      </c>
      <c r="P16" s="10">
        <v>14400</v>
      </c>
      <c r="Q16" s="10" t="s">
        <v>2589</v>
      </c>
      <c r="R16" s="409"/>
      <c r="S16" s="409"/>
      <c r="T16" s="409"/>
      <c r="U16" s="17"/>
      <c r="V16" s="8"/>
      <c r="W16" s="8"/>
      <c r="X16" s="8"/>
      <c r="Y16" s="8"/>
      <c r="Z16" s="8"/>
      <c r="AA16" s="8"/>
      <c r="AB16" s="8"/>
      <c r="AC16" s="8"/>
      <c r="AD16" s="8"/>
      <c r="AE16" s="8"/>
      <c r="AF16" s="8"/>
      <c r="AG16" s="8"/>
      <c r="AH16" s="8"/>
      <c r="AK16" s="9"/>
      <c r="AO16" s="9"/>
      <c r="AS16" s="9"/>
      <c r="AW16" s="9"/>
      <c r="BA16" s="9"/>
      <c r="BE16" s="9"/>
      <c r="BI16" s="9"/>
      <c r="BM16" s="9"/>
      <c r="BQ16" s="9"/>
      <c r="BU16" s="9"/>
      <c r="BY16" s="9"/>
      <c r="CC16" s="9"/>
      <c r="CG16" s="9"/>
      <c r="CK16" s="9"/>
      <c r="CO16" s="9"/>
      <c r="CS16" s="9"/>
    </row>
    <row r="17" spans="1:97" ht="91.5" customHeight="1" x14ac:dyDescent="0.25">
      <c r="A17" s="10" t="s">
        <v>55</v>
      </c>
      <c r="B17" s="10" t="s">
        <v>354</v>
      </c>
      <c r="C17" s="10" t="s">
        <v>2560</v>
      </c>
      <c r="D17" s="10">
        <v>241220000</v>
      </c>
      <c r="E17" s="10" t="s">
        <v>2561</v>
      </c>
      <c r="F17" s="11" t="s">
        <v>2590</v>
      </c>
      <c r="G17" s="10" t="s">
        <v>2591</v>
      </c>
      <c r="H17" s="10" t="s">
        <v>2592</v>
      </c>
      <c r="I17" s="14">
        <v>978222000</v>
      </c>
      <c r="J17" s="14">
        <v>978222000</v>
      </c>
      <c r="K17" s="10" t="s">
        <v>2593</v>
      </c>
      <c r="L17" s="10">
        <v>400</v>
      </c>
      <c r="M17" s="10">
        <v>400</v>
      </c>
      <c r="N17" s="10"/>
      <c r="O17" s="10">
        <v>0</v>
      </c>
      <c r="P17" s="10">
        <v>500</v>
      </c>
      <c r="Q17" s="10" t="s">
        <v>2566</v>
      </c>
      <c r="R17" s="409"/>
      <c r="S17" s="409"/>
      <c r="T17" s="409"/>
      <c r="U17" s="17"/>
      <c r="V17" s="8"/>
      <c r="W17" s="8"/>
      <c r="X17" s="8"/>
      <c r="Y17" s="8"/>
      <c r="Z17" s="8"/>
      <c r="AA17" s="8"/>
      <c r="AB17" s="8"/>
      <c r="AC17" s="8"/>
      <c r="AD17" s="8"/>
      <c r="AE17" s="8"/>
      <c r="AF17" s="8"/>
      <c r="AG17" s="8"/>
      <c r="AH17" s="8"/>
      <c r="AK17" s="9"/>
      <c r="AO17" s="9"/>
      <c r="AS17" s="9"/>
      <c r="AW17" s="9"/>
      <c r="BA17" s="9"/>
      <c r="BE17" s="9"/>
      <c r="BI17" s="9"/>
      <c r="BM17" s="9"/>
      <c r="BQ17" s="9"/>
      <c r="BU17" s="9"/>
      <c r="BY17" s="9"/>
      <c r="CC17" s="9"/>
      <c r="CG17" s="9"/>
      <c r="CK17" s="9"/>
      <c r="CO17" s="9"/>
      <c r="CS17" s="9"/>
    </row>
    <row r="18" spans="1:97" ht="81" customHeight="1" x14ac:dyDescent="0.25">
      <c r="A18" s="10" t="s">
        <v>55</v>
      </c>
      <c r="B18" s="10" t="s">
        <v>354</v>
      </c>
      <c r="C18" s="10" t="s">
        <v>2560</v>
      </c>
      <c r="D18" s="10">
        <v>241230000</v>
      </c>
      <c r="E18" s="10" t="s">
        <v>2594</v>
      </c>
      <c r="F18" s="11" t="s">
        <v>2595</v>
      </c>
      <c r="G18" s="10" t="s">
        <v>2596</v>
      </c>
      <c r="H18" s="10" t="s">
        <v>2597</v>
      </c>
      <c r="I18" s="14">
        <v>1340000000</v>
      </c>
      <c r="J18" s="14">
        <v>1340000000</v>
      </c>
      <c r="K18" s="10" t="s">
        <v>2598</v>
      </c>
      <c r="L18" s="10">
        <v>40</v>
      </c>
      <c r="M18" s="10">
        <v>40</v>
      </c>
      <c r="N18" s="10"/>
      <c r="O18" s="10">
        <v>0</v>
      </c>
      <c r="P18" s="10">
        <v>0</v>
      </c>
      <c r="Q18" s="10"/>
      <c r="R18" s="409"/>
      <c r="S18" s="409"/>
      <c r="T18" s="409"/>
      <c r="U18" s="17"/>
      <c r="V18" s="8"/>
      <c r="W18" s="8"/>
      <c r="X18" s="8"/>
      <c r="Y18" s="8"/>
      <c r="Z18" s="8"/>
      <c r="AA18" s="8"/>
      <c r="AB18" s="8"/>
      <c r="AC18" s="8"/>
      <c r="AD18" s="8"/>
      <c r="AE18" s="8"/>
      <c r="AF18" s="8"/>
      <c r="AG18" s="8"/>
      <c r="AH18" s="8"/>
      <c r="AK18" s="9"/>
      <c r="AO18" s="9"/>
      <c r="AS18" s="9"/>
      <c r="AW18" s="9"/>
      <c r="BA18" s="9"/>
      <c r="BE18" s="9"/>
      <c r="BI18" s="9"/>
      <c r="BM18" s="9"/>
      <c r="BQ18" s="9"/>
      <c r="BU18" s="9"/>
      <c r="BY18" s="9"/>
      <c r="CC18" s="9"/>
      <c r="CG18" s="9"/>
      <c r="CK18" s="9"/>
      <c r="CO18" s="9"/>
      <c r="CS18" s="9"/>
    </row>
    <row r="19" spans="1:97" ht="30" x14ac:dyDescent="0.25">
      <c r="A19" s="10"/>
      <c r="B19" s="10"/>
      <c r="C19" s="10"/>
      <c r="D19" s="10"/>
      <c r="E19" s="10"/>
      <c r="F19" s="11"/>
      <c r="G19" s="50"/>
      <c r="H19" s="10"/>
      <c r="I19" s="10"/>
      <c r="J19" s="10"/>
      <c r="K19" s="10" t="s">
        <v>2599</v>
      </c>
      <c r="L19" s="10">
        <v>10</v>
      </c>
      <c r="M19" s="10">
        <v>10</v>
      </c>
      <c r="N19" s="10"/>
      <c r="O19" s="10">
        <v>0</v>
      </c>
      <c r="P19" s="10">
        <v>5</v>
      </c>
      <c r="Q19" s="10"/>
      <c r="R19" s="409"/>
      <c r="S19" s="409"/>
      <c r="T19" s="409"/>
      <c r="U19" s="17"/>
      <c r="V19" s="8"/>
      <c r="W19" s="8"/>
      <c r="X19" s="8"/>
      <c r="Y19" s="8"/>
      <c r="Z19" s="8"/>
      <c r="AA19" s="8"/>
      <c r="AB19" s="8"/>
      <c r="AC19" s="8"/>
      <c r="AD19" s="8"/>
      <c r="AE19" s="8"/>
      <c r="AF19" s="8"/>
      <c r="AG19" s="8"/>
      <c r="AH19" s="8"/>
      <c r="AK19" s="9"/>
      <c r="AO19" s="9"/>
      <c r="AS19" s="9"/>
      <c r="AW19" s="9"/>
      <c r="BA19" s="9"/>
      <c r="BE19" s="9"/>
      <c r="BI19" s="9"/>
      <c r="BM19" s="9"/>
      <c r="BQ19" s="9"/>
      <c r="BU19" s="9"/>
      <c r="BY19" s="9"/>
      <c r="CC19" s="9"/>
      <c r="CG19" s="9"/>
      <c r="CK19" s="9"/>
      <c r="CO19" s="9"/>
      <c r="CS19" s="9"/>
    </row>
    <row r="20" spans="1:97" ht="45" x14ac:dyDescent="0.25">
      <c r="A20" s="10"/>
      <c r="B20" s="10"/>
      <c r="C20" s="10"/>
      <c r="D20" s="10"/>
      <c r="E20" s="10"/>
      <c r="F20" s="11"/>
      <c r="G20" s="50"/>
      <c r="H20" s="10"/>
      <c r="I20" s="10"/>
      <c r="J20" s="10"/>
      <c r="K20" s="10" t="s">
        <v>2600</v>
      </c>
      <c r="L20" s="10">
        <v>10</v>
      </c>
      <c r="M20" s="10">
        <v>10</v>
      </c>
      <c r="N20" s="10"/>
      <c r="O20" s="10">
        <v>0</v>
      </c>
      <c r="P20" s="10">
        <v>10</v>
      </c>
      <c r="Q20" s="10"/>
      <c r="R20" s="409"/>
      <c r="S20" s="409"/>
      <c r="T20" s="409"/>
      <c r="U20" s="17"/>
      <c r="V20" s="8"/>
      <c r="W20" s="8"/>
      <c r="X20" s="8"/>
      <c r="Y20" s="8"/>
      <c r="Z20" s="8"/>
      <c r="AA20" s="8"/>
      <c r="AB20" s="8"/>
      <c r="AC20" s="8"/>
      <c r="AD20" s="8"/>
      <c r="AE20" s="8"/>
      <c r="AF20" s="8"/>
      <c r="AG20" s="8"/>
      <c r="AH20" s="8"/>
      <c r="AK20" s="9"/>
      <c r="AO20" s="9"/>
      <c r="AS20" s="9"/>
      <c r="AW20" s="9"/>
      <c r="BA20" s="9"/>
      <c r="BE20" s="9"/>
      <c r="BI20" s="9"/>
      <c r="BM20" s="9"/>
      <c r="BQ20" s="9"/>
      <c r="BU20" s="9"/>
      <c r="BY20" s="9"/>
      <c r="CC20" s="9"/>
      <c r="CG20" s="9"/>
      <c r="CK20" s="9"/>
      <c r="CO20" s="9"/>
      <c r="CS20" s="9"/>
    </row>
    <row r="21" spans="1:97" x14ac:dyDescent="0.25">
      <c r="A21" s="263"/>
      <c r="B21" s="263"/>
      <c r="C21" s="263"/>
      <c r="D21" s="263"/>
      <c r="E21" s="263"/>
      <c r="F21" s="263"/>
      <c r="G21" s="410"/>
      <c r="H21" s="263"/>
      <c r="I21" s="263"/>
      <c r="J21" s="263"/>
      <c r="K21" s="263"/>
      <c r="L21" s="263"/>
      <c r="M21" s="263"/>
      <c r="N21" s="262"/>
      <c r="O21" s="262"/>
      <c r="P21" s="262"/>
      <c r="Q21" s="262"/>
      <c r="S21" s="8"/>
      <c r="T21" s="8"/>
      <c r="U21" s="8"/>
      <c r="V21" s="8"/>
      <c r="W21" s="8"/>
      <c r="X21" s="8"/>
      <c r="Y21" s="8"/>
      <c r="Z21" s="8"/>
      <c r="AA21" s="8"/>
      <c r="AB21" s="8"/>
      <c r="AC21" s="8"/>
      <c r="AD21" s="8"/>
      <c r="AE21" s="8"/>
      <c r="AF21" s="8"/>
      <c r="AG21" s="8"/>
      <c r="AH21" s="8"/>
      <c r="AK21" s="9"/>
      <c r="AO21" s="9"/>
      <c r="AS21" s="9"/>
      <c r="AW21" s="9"/>
      <c r="BA21" s="9"/>
      <c r="BE21" s="9"/>
      <c r="BI21" s="9"/>
      <c r="BM21" s="9"/>
      <c r="BQ21" s="9"/>
      <c r="BU21" s="9"/>
      <c r="BY21" s="9"/>
      <c r="CC21" s="9"/>
      <c r="CG21" s="9"/>
      <c r="CK21" s="9"/>
      <c r="CO21" s="9"/>
      <c r="CS21" s="9"/>
    </row>
  </sheetData>
  <sheetProtection algorithmName="SHA-512" hashValue="p+qQ13vmqJqhCxKZMwg/l86DBD/zGwdUs2C9oZLDXKI/leNegq8ovzRMlj+QobyB84wbDAnf+hBClGt99HCFqw==" saltValue="H0Cf0gUX/gv4JUNC8au0tQ=="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7"/>
  <sheetViews>
    <sheetView topLeftCell="A4" zoomScale="129" zoomScaleNormal="129" workbookViewId="0">
      <pane ySplit="5" topLeftCell="A9" activePane="bottomLeft" state="frozen"/>
      <selection activeCell="A4" sqref="A4"/>
      <selection pane="bottomLeft" activeCell="C10" sqref="C10"/>
    </sheetView>
  </sheetViews>
  <sheetFormatPr baseColWidth="10" defaultRowHeight="15" x14ac:dyDescent="0.25"/>
  <cols>
    <col min="1" max="1" width="15.7109375" style="1" customWidth="1"/>
    <col min="2" max="2" width="14.42578125" style="1" customWidth="1"/>
    <col min="3" max="3" width="14" style="1" customWidth="1"/>
    <col min="4" max="4" width="13" style="1" customWidth="1"/>
    <col min="5" max="5" width="12" style="1" customWidth="1"/>
    <col min="6" max="6" width="14.140625" style="1" customWidth="1"/>
    <col min="7" max="7" width="18.42578125" style="1" customWidth="1"/>
    <col min="8" max="8" width="14.140625" style="1" customWidth="1"/>
    <col min="9" max="9" width="14" style="1" customWidth="1"/>
    <col min="10" max="10" width="13.7109375" style="1" customWidth="1"/>
    <col min="11" max="11" width="12.85546875" style="1" customWidth="1"/>
    <col min="12" max="12" width="12.7109375" style="1" customWidth="1"/>
    <col min="13" max="13" width="12.140625" style="1" customWidth="1"/>
    <col min="14" max="14" width="13" style="1" customWidth="1"/>
    <col min="15" max="16" width="13.140625" style="1" customWidth="1"/>
    <col min="17" max="17" width="13.7109375" style="1" customWidth="1"/>
    <col min="18" max="18" width="10.5703125" style="1" customWidth="1"/>
    <col min="19" max="19" width="10.28515625" style="1" customWidth="1"/>
    <col min="20" max="20" width="18.28515625" style="1" customWidth="1"/>
    <col min="21" max="21" width="11.85546875" style="1" customWidth="1"/>
    <col min="22" max="22" width="11.42578125" style="1"/>
    <col min="23" max="23" width="12.7109375" style="1" customWidth="1"/>
    <col min="24" max="24" width="13.140625" style="1" customWidth="1"/>
    <col min="25" max="25" width="11.7109375" style="1" customWidth="1"/>
    <col min="26" max="29" width="11.42578125" style="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c r="B4" s="605"/>
      <c r="C4" s="605"/>
      <c r="D4" s="605"/>
      <c r="E4" s="605"/>
      <c r="F4" s="605"/>
      <c r="G4" s="605"/>
      <c r="H4" s="605"/>
      <c r="I4" s="605"/>
      <c r="J4" s="605"/>
      <c r="K4" s="605"/>
      <c r="L4" s="605"/>
      <c r="M4" s="605"/>
      <c r="N4" s="605"/>
      <c r="O4" s="605"/>
      <c r="P4" s="605"/>
    </row>
    <row r="5" spans="1:42" x14ac:dyDescent="0.25">
      <c r="A5" s="606" t="s">
        <v>4</v>
      </c>
      <c r="B5" s="606"/>
      <c r="C5" s="24" t="s">
        <v>2517</v>
      </c>
      <c r="D5" s="24"/>
      <c r="E5" s="24"/>
      <c r="F5" s="24"/>
      <c r="G5" s="24"/>
      <c r="H5" s="26"/>
      <c r="I5" s="25"/>
      <c r="J5" s="25"/>
      <c r="K5" s="24"/>
      <c r="L5" s="25"/>
      <c r="M5" s="25"/>
      <c r="N5" s="25"/>
      <c r="O5" s="25"/>
      <c r="P5" s="25"/>
      <c r="Q5" s="27"/>
      <c r="R5" s="27"/>
      <c r="S5" s="27"/>
      <c r="T5" s="27"/>
      <c r="U5" s="27"/>
      <c r="V5" s="27"/>
      <c r="W5" s="27"/>
      <c r="X5" s="27"/>
      <c r="Y5" s="27"/>
      <c r="Z5" s="27"/>
      <c r="AA5" s="27"/>
      <c r="AB5" s="27"/>
      <c r="AC5" s="27"/>
      <c r="AD5" s="27"/>
    </row>
    <row r="7" spans="1:42" s="29" customFormat="1" ht="14.25"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36"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52.5" customHeight="1" x14ac:dyDescent="0.25">
      <c r="A9" s="34" t="s">
        <v>23</v>
      </c>
      <c r="B9" s="34" t="s">
        <v>136</v>
      </c>
      <c r="C9" s="34" t="s">
        <v>2518</v>
      </c>
      <c r="D9" s="34">
        <v>211230002</v>
      </c>
      <c r="E9" s="74" t="s">
        <v>2520</v>
      </c>
      <c r="F9" s="34" t="s">
        <v>2521</v>
      </c>
      <c r="G9" s="34" t="s">
        <v>2522</v>
      </c>
      <c r="H9" s="36">
        <v>5000000</v>
      </c>
      <c r="I9" s="36">
        <v>5000000</v>
      </c>
      <c r="J9" s="404">
        <v>5000000</v>
      </c>
      <c r="K9" s="36">
        <v>0</v>
      </c>
      <c r="L9" s="36">
        <v>0</v>
      </c>
      <c r="M9" s="404">
        <v>5000000</v>
      </c>
      <c r="N9" s="36">
        <f>H9+K9</f>
        <v>5000000</v>
      </c>
      <c r="O9" s="36">
        <f>I9+L9</f>
        <v>5000000</v>
      </c>
      <c r="P9" s="36">
        <f>J9+M9</f>
        <v>10000000</v>
      </c>
      <c r="Q9" s="405">
        <v>5000000</v>
      </c>
      <c r="R9" s="405">
        <v>5000000</v>
      </c>
      <c r="S9" s="36">
        <f>Q9+R9</f>
        <v>10000000</v>
      </c>
      <c r="T9" s="160" t="s">
        <v>2544</v>
      </c>
      <c r="U9" s="37" t="s">
        <v>316</v>
      </c>
      <c r="V9" s="37">
        <v>1</v>
      </c>
      <c r="W9" s="34"/>
      <c r="X9" s="34"/>
      <c r="Y9" s="34">
        <v>0</v>
      </c>
      <c r="Z9" s="38">
        <v>1</v>
      </c>
      <c r="AA9" s="34">
        <v>10</v>
      </c>
      <c r="AB9" s="34"/>
      <c r="AC9" s="38">
        <v>10</v>
      </c>
      <c r="AD9" s="406"/>
      <c r="AE9" s="10"/>
      <c r="AF9" s="10"/>
      <c r="AG9" s="10"/>
      <c r="AH9" s="10" t="s">
        <v>218</v>
      </c>
      <c r="AI9" s="10"/>
      <c r="AJ9" s="10"/>
      <c r="AK9" s="10"/>
      <c r="AL9" s="10"/>
      <c r="AM9" s="10"/>
      <c r="AN9" s="10"/>
      <c r="AO9" s="10"/>
      <c r="AP9" s="10"/>
    </row>
    <row r="10" spans="1:42" ht="52.5" customHeight="1" x14ac:dyDescent="0.25">
      <c r="A10" s="34" t="s">
        <v>55</v>
      </c>
      <c r="B10" s="34" t="s">
        <v>343</v>
      </c>
      <c r="C10" s="34" t="s">
        <v>2525</v>
      </c>
      <c r="D10" s="34">
        <v>245110002</v>
      </c>
      <c r="E10" s="74" t="s">
        <v>2527</v>
      </c>
      <c r="F10" s="34" t="s">
        <v>2528</v>
      </c>
      <c r="G10" s="34" t="s">
        <v>2529</v>
      </c>
      <c r="H10" s="36">
        <v>434950000</v>
      </c>
      <c r="I10" s="36">
        <v>496107500</v>
      </c>
      <c r="J10" s="404">
        <v>745000000</v>
      </c>
      <c r="K10" s="39"/>
      <c r="L10" s="39">
        <v>43500000</v>
      </c>
      <c r="M10" s="404">
        <v>745000000</v>
      </c>
      <c r="N10" s="36">
        <f t="shared" ref="N10:P26" si="0">H10+K10</f>
        <v>434950000</v>
      </c>
      <c r="O10" s="36">
        <f t="shared" si="0"/>
        <v>539607500</v>
      </c>
      <c r="P10" s="36">
        <f t="shared" si="0"/>
        <v>1490000000</v>
      </c>
      <c r="Q10" s="405">
        <v>745000000</v>
      </c>
      <c r="R10" s="405">
        <v>1490000</v>
      </c>
      <c r="S10" s="36">
        <f t="shared" ref="S10:S27" si="1">Q10+R10</f>
        <v>746490000</v>
      </c>
      <c r="T10" s="37"/>
      <c r="U10" s="37"/>
      <c r="V10" s="37"/>
      <c r="W10" s="10"/>
      <c r="X10" s="10"/>
      <c r="Y10" s="10"/>
      <c r="Z10" s="18"/>
      <c r="AA10" s="34">
        <v>0</v>
      </c>
      <c r="AB10" s="10"/>
      <c r="AC10" s="18"/>
      <c r="AD10" s="406"/>
      <c r="AE10" s="10"/>
      <c r="AF10" s="10"/>
      <c r="AG10" s="10"/>
      <c r="AH10" s="10"/>
      <c r="AI10" s="10"/>
      <c r="AJ10" s="10"/>
      <c r="AK10" s="10"/>
      <c r="AL10" s="10"/>
      <c r="AM10" s="10"/>
      <c r="AN10" s="10"/>
      <c r="AO10" s="10"/>
      <c r="AP10" s="10"/>
    </row>
    <row r="11" spans="1:42" ht="77.25" customHeight="1" x14ac:dyDescent="0.25">
      <c r="A11" s="34"/>
      <c r="B11" s="34"/>
      <c r="C11" s="34"/>
      <c r="D11" s="34"/>
      <c r="E11" s="74"/>
      <c r="F11" s="34"/>
      <c r="G11" s="34"/>
      <c r="H11" s="36"/>
      <c r="I11" s="219"/>
      <c r="J11" s="39"/>
      <c r="K11" s="39"/>
      <c r="L11" s="39"/>
      <c r="M11" s="39"/>
      <c r="N11" s="36">
        <f t="shared" si="0"/>
        <v>0</v>
      </c>
      <c r="O11" s="36">
        <f t="shared" si="0"/>
        <v>0</v>
      </c>
      <c r="P11" s="36">
        <f t="shared" si="0"/>
        <v>0</v>
      </c>
      <c r="Q11" s="39"/>
      <c r="R11" s="407"/>
      <c r="S11" s="36">
        <f t="shared" si="1"/>
        <v>0</v>
      </c>
      <c r="T11" s="160" t="s">
        <v>2545</v>
      </c>
      <c r="U11" s="160" t="s">
        <v>316</v>
      </c>
      <c r="V11" s="37">
        <v>2</v>
      </c>
      <c r="W11" s="10">
        <v>4</v>
      </c>
      <c r="X11" s="10"/>
      <c r="Y11" s="10">
        <v>2</v>
      </c>
      <c r="Z11" s="18">
        <v>2</v>
      </c>
      <c r="AA11" s="34">
        <v>270</v>
      </c>
      <c r="AB11" s="10">
        <v>140</v>
      </c>
      <c r="AC11" s="18">
        <v>270</v>
      </c>
      <c r="AD11" s="406"/>
      <c r="AE11" s="10"/>
      <c r="AF11" s="10"/>
      <c r="AG11" s="10" t="s">
        <v>218</v>
      </c>
      <c r="AH11" s="10" t="s">
        <v>218</v>
      </c>
      <c r="AI11" s="10" t="s">
        <v>218</v>
      </c>
      <c r="AJ11" s="10" t="s">
        <v>218</v>
      </c>
      <c r="AK11" s="10" t="s">
        <v>218</v>
      </c>
      <c r="AL11" s="10" t="s">
        <v>218</v>
      </c>
      <c r="AM11" s="10" t="s">
        <v>218</v>
      </c>
      <c r="AN11" s="10" t="s">
        <v>218</v>
      </c>
      <c r="AO11" s="10" t="s">
        <v>218</v>
      </c>
      <c r="AP11" s="10" t="s">
        <v>218</v>
      </c>
    </row>
    <row r="12" spans="1:42" ht="36" x14ac:dyDescent="0.25">
      <c r="A12" s="34"/>
      <c r="B12" s="34"/>
      <c r="C12" s="34"/>
      <c r="D12" s="34"/>
      <c r="E12" s="74"/>
      <c r="F12" s="34"/>
      <c r="G12" s="34"/>
      <c r="H12" s="36"/>
      <c r="I12" s="219"/>
      <c r="J12" s="39"/>
      <c r="K12" s="39"/>
      <c r="L12" s="39"/>
      <c r="M12" s="39"/>
      <c r="N12" s="36">
        <f t="shared" si="0"/>
        <v>0</v>
      </c>
      <c r="O12" s="36">
        <f t="shared" si="0"/>
        <v>0</v>
      </c>
      <c r="P12" s="36">
        <f t="shared" si="0"/>
        <v>0</v>
      </c>
      <c r="Q12" s="39"/>
      <c r="R12" s="407"/>
      <c r="S12" s="36">
        <f t="shared" si="1"/>
        <v>0</v>
      </c>
      <c r="T12" s="160" t="s">
        <v>2546</v>
      </c>
      <c r="U12" s="160" t="s">
        <v>316</v>
      </c>
      <c r="V12" s="37">
        <v>1</v>
      </c>
      <c r="W12" s="10">
        <v>1</v>
      </c>
      <c r="X12" s="10"/>
      <c r="Y12" s="10">
        <v>1</v>
      </c>
      <c r="Z12" s="18">
        <v>1</v>
      </c>
      <c r="AA12" s="34">
        <v>270</v>
      </c>
      <c r="AB12" s="10">
        <v>180</v>
      </c>
      <c r="AC12" s="18">
        <v>270</v>
      </c>
      <c r="AD12" s="406"/>
      <c r="AE12" s="10"/>
      <c r="AF12" s="10"/>
      <c r="AG12" s="10" t="s">
        <v>218</v>
      </c>
      <c r="AH12" s="10" t="s">
        <v>218</v>
      </c>
      <c r="AI12" s="10" t="s">
        <v>218</v>
      </c>
      <c r="AJ12" s="10" t="s">
        <v>218</v>
      </c>
      <c r="AK12" s="10" t="s">
        <v>218</v>
      </c>
      <c r="AL12" s="10" t="s">
        <v>218</v>
      </c>
      <c r="AM12" s="10" t="s">
        <v>218</v>
      </c>
      <c r="AN12" s="10" t="s">
        <v>218</v>
      </c>
      <c r="AO12" s="10" t="s">
        <v>218</v>
      </c>
      <c r="AP12" s="10" t="s">
        <v>218</v>
      </c>
    </row>
    <row r="13" spans="1:42" ht="65.25" customHeight="1" x14ac:dyDescent="0.25">
      <c r="A13" s="34"/>
      <c r="B13" s="34"/>
      <c r="C13" s="34"/>
      <c r="D13" s="34"/>
      <c r="E13" s="74"/>
      <c r="F13" s="34"/>
      <c r="G13" s="34"/>
      <c r="H13" s="36"/>
      <c r="I13" s="219"/>
      <c r="J13" s="39"/>
      <c r="K13" s="39"/>
      <c r="L13" s="39"/>
      <c r="M13" s="39"/>
      <c r="N13" s="36">
        <f t="shared" si="0"/>
        <v>0</v>
      </c>
      <c r="O13" s="36">
        <f t="shared" si="0"/>
        <v>0</v>
      </c>
      <c r="P13" s="36">
        <f t="shared" si="0"/>
        <v>0</v>
      </c>
      <c r="Q13" s="39"/>
      <c r="R13" s="407"/>
      <c r="S13" s="36">
        <f t="shared" si="1"/>
        <v>0</v>
      </c>
      <c r="T13" s="160" t="s">
        <v>2547</v>
      </c>
      <c r="U13" s="160" t="s">
        <v>316</v>
      </c>
      <c r="V13" s="37">
        <v>2</v>
      </c>
      <c r="W13" s="10">
        <v>6</v>
      </c>
      <c r="X13" s="10"/>
      <c r="Y13" s="10">
        <v>1</v>
      </c>
      <c r="Z13" s="18">
        <v>1</v>
      </c>
      <c r="AA13" s="34">
        <v>270</v>
      </c>
      <c r="AB13" s="10">
        <v>100</v>
      </c>
      <c r="AC13" s="18">
        <v>270</v>
      </c>
      <c r="AD13" s="406"/>
      <c r="AE13" s="10"/>
      <c r="AF13" s="10"/>
      <c r="AG13" s="10" t="s">
        <v>218</v>
      </c>
      <c r="AH13" s="10" t="s">
        <v>218</v>
      </c>
      <c r="AI13" s="10" t="s">
        <v>218</v>
      </c>
      <c r="AJ13" s="10" t="s">
        <v>218</v>
      </c>
      <c r="AK13" s="10" t="s">
        <v>218</v>
      </c>
      <c r="AL13" s="10" t="s">
        <v>218</v>
      </c>
      <c r="AM13" s="10" t="s">
        <v>218</v>
      </c>
      <c r="AN13" s="10" t="s">
        <v>218</v>
      </c>
      <c r="AO13" s="10" t="s">
        <v>218</v>
      </c>
      <c r="AP13" s="10" t="s">
        <v>218</v>
      </c>
    </row>
    <row r="14" spans="1:42" ht="49.5" customHeight="1" x14ac:dyDescent="0.25">
      <c r="A14" s="34"/>
      <c r="B14" s="34"/>
      <c r="C14" s="34"/>
      <c r="D14" s="34"/>
      <c r="E14" s="74"/>
      <c r="F14" s="34"/>
      <c r="G14" s="34"/>
      <c r="H14" s="36"/>
      <c r="I14" s="219"/>
      <c r="J14" s="39"/>
      <c r="K14" s="39"/>
      <c r="L14" s="39"/>
      <c r="M14" s="39"/>
      <c r="N14" s="36">
        <f t="shared" si="0"/>
        <v>0</v>
      </c>
      <c r="O14" s="36">
        <f t="shared" si="0"/>
        <v>0</v>
      </c>
      <c r="P14" s="36">
        <f t="shared" si="0"/>
        <v>0</v>
      </c>
      <c r="Q14" s="39"/>
      <c r="R14" s="407"/>
      <c r="S14" s="36">
        <f t="shared" si="1"/>
        <v>0</v>
      </c>
      <c r="T14" s="160" t="s">
        <v>2548</v>
      </c>
      <c r="U14" s="160" t="s">
        <v>316</v>
      </c>
      <c r="V14" s="37">
        <v>1</v>
      </c>
      <c r="W14" s="10">
        <v>0</v>
      </c>
      <c r="X14" s="10"/>
      <c r="Y14" s="10">
        <v>0</v>
      </c>
      <c r="Z14" s="18">
        <v>0</v>
      </c>
      <c r="AA14" s="34">
        <v>270</v>
      </c>
      <c r="AB14" s="10">
        <v>0</v>
      </c>
      <c r="AC14" s="18">
        <v>0</v>
      </c>
      <c r="AD14" s="406"/>
      <c r="AE14" s="10"/>
      <c r="AF14" s="10"/>
      <c r="AG14" s="10" t="s">
        <v>218</v>
      </c>
      <c r="AH14" s="10" t="s">
        <v>218</v>
      </c>
      <c r="AI14" s="10" t="s">
        <v>218</v>
      </c>
      <c r="AJ14" s="10" t="s">
        <v>218</v>
      </c>
      <c r="AK14" s="10" t="s">
        <v>218</v>
      </c>
      <c r="AL14" s="10" t="s">
        <v>218</v>
      </c>
      <c r="AM14" s="10" t="s">
        <v>218</v>
      </c>
      <c r="AN14" s="10" t="s">
        <v>218</v>
      </c>
      <c r="AO14" s="10" t="s">
        <v>218</v>
      </c>
      <c r="AP14" s="10" t="s">
        <v>218</v>
      </c>
    </row>
    <row r="15" spans="1:42" ht="52.5" customHeight="1" x14ac:dyDescent="0.25">
      <c r="A15" s="34"/>
      <c r="B15" s="34"/>
      <c r="C15" s="34"/>
      <c r="D15" s="34"/>
      <c r="E15" s="74"/>
      <c r="F15" s="34"/>
      <c r="G15" s="34"/>
      <c r="H15" s="36"/>
      <c r="I15" s="219"/>
      <c r="J15" s="39"/>
      <c r="K15" s="39"/>
      <c r="L15" s="39"/>
      <c r="M15" s="39"/>
      <c r="N15" s="36">
        <f t="shared" si="0"/>
        <v>0</v>
      </c>
      <c r="O15" s="36">
        <f t="shared" si="0"/>
        <v>0</v>
      </c>
      <c r="P15" s="36">
        <f t="shared" si="0"/>
        <v>0</v>
      </c>
      <c r="Q15" s="39"/>
      <c r="R15" s="407"/>
      <c r="S15" s="36">
        <f t="shared" si="1"/>
        <v>0</v>
      </c>
      <c r="T15" s="160" t="s">
        <v>2549</v>
      </c>
      <c r="U15" s="160" t="s">
        <v>316</v>
      </c>
      <c r="V15" s="37">
        <v>1</v>
      </c>
      <c r="W15" s="10">
        <v>1</v>
      </c>
      <c r="X15" s="10"/>
      <c r="Y15" s="10">
        <v>1</v>
      </c>
      <c r="Z15" s="18">
        <v>1</v>
      </c>
      <c r="AA15" s="34">
        <v>270</v>
      </c>
      <c r="AB15" s="10">
        <v>180</v>
      </c>
      <c r="AC15" s="18">
        <v>270</v>
      </c>
      <c r="AD15" s="406"/>
      <c r="AE15" s="10"/>
      <c r="AF15" s="10"/>
      <c r="AG15" s="10" t="s">
        <v>218</v>
      </c>
      <c r="AH15" s="10" t="s">
        <v>218</v>
      </c>
      <c r="AI15" s="10" t="s">
        <v>218</v>
      </c>
      <c r="AJ15" s="10" t="s">
        <v>218</v>
      </c>
      <c r="AK15" s="10" t="s">
        <v>218</v>
      </c>
      <c r="AL15" s="10" t="s">
        <v>218</v>
      </c>
      <c r="AM15" s="10" t="s">
        <v>218</v>
      </c>
      <c r="AN15" s="10" t="s">
        <v>218</v>
      </c>
      <c r="AO15" s="10" t="s">
        <v>218</v>
      </c>
      <c r="AP15" s="10" t="s">
        <v>218</v>
      </c>
    </row>
    <row r="16" spans="1:42" ht="28.5" customHeight="1" x14ac:dyDescent="0.25">
      <c r="A16" s="34"/>
      <c r="B16" s="34"/>
      <c r="C16" s="34"/>
      <c r="D16" s="34"/>
      <c r="E16" s="74"/>
      <c r="F16" s="34"/>
      <c r="G16" s="34"/>
      <c r="H16" s="36"/>
      <c r="I16" s="219"/>
      <c r="J16" s="39"/>
      <c r="K16" s="39"/>
      <c r="L16" s="39"/>
      <c r="M16" s="39"/>
      <c r="N16" s="36">
        <f t="shared" si="0"/>
        <v>0</v>
      </c>
      <c r="O16" s="36">
        <f t="shared" si="0"/>
        <v>0</v>
      </c>
      <c r="P16" s="36">
        <f t="shared" si="0"/>
        <v>0</v>
      </c>
      <c r="Q16" s="39"/>
      <c r="R16" s="407"/>
      <c r="S16" s="36">
        <f t="shared" si="1"/>
        <v>0</v>
      </c>
      <c r="T16" s="160" t="s">
        <v>2550</v>
      </c>
      <c r="U16" s="160" t="s">
        <v>316</v>
      </c>
      <c r="V16" s="37">
        <v>3</v>
      </c>
      <c r="W16" s="10">
        <v>3</v>
      </c>
      <c r="X16" s="10"/>
      <c r="Y16" s="10">
        <v>1</v>
      </c>
      <c r="Z16" s="18">
        <v>1</v>
      </c>
      <c r="AA16" s="34">
        <v>270</v>
      </c>
      <c r="AB16" s="10">
        <v>140</v>
      </c>
      <c r="AC16" s="18">
        <v>270</v>
      </c>
      <c r="AD16" s="406"/>
      <c r="AE16" s="10"/>
      <c r="AF16" s="10"/>
      <c r="AG16" s="10" t="s">
        <v>218</v>
      </c>
      <c r="AH16" s="10" t="s">
        <v>218</v>
      </c>
      <c r="AI16" s="10" t="s">
        <v>218</v>
      </c>
      <c r="AJ16" s="10" t="s">
        <v>218</v>
      </c>
      <c r="AK16" s="10" t="s">
        <v>218</v>
      </c>
      <c r="AL16" s="10" t="s">
        <v>218</v>
      </c>
      <c r="AM16" s="10" t="s">
        <v>218</v>
      </c>
      <c r="AN16" s="10" t="s">
        <v>218</v>
      </c>
      <c r="AO16" s="10" t="s">
        <v>218</v>
      </c>
      <c r="AP16" s="10" t="s">
        <v>218</v>
      </c>
    </row>
    <row r="17" spans="1:42" ht="49.5" customHeight="1" x14ac:dyDescent="0.25">
      <c r="A17" s="34"/>
      <c r="B17" s="34"/>
      <c r="C17" s="34"/>
      <c r="D17" s="34"/>
      <c r="E17" s="74"/>
      <c r="F17" s="34"/>
      <c r="G17" s="34"/>
      <c r="H17" s="36"/>
      <c r="I17" s="219"/>
      <c r="J17" s="39"/>
      <c r="K17" s="39"/>
      <c r="L17" s="39"/>
      <c r="M17" s="39"/>
      <c r="N17" s="36">
        <f t="shared" si="0"/>
        <v>0</v>
      </c>
      <c r="O17" s="36">
        <f t="shared" si="0"/>
        <v>0</v>
      </c>
      <c r="P17" s="36">
        <f t="shared" si="0"/>
        <v>0</v>
      </c>
      <c r="Q17" s="39"/>
      <c r="R17" s="407"/>
      <c r="S17" s="36">
        <f t="shared" si="1"/>
        <v>0</v>
      </c>
      <c r="T17" s="160" t="s">
        <v>2551</v>
      </c>
      <c r="U17" s="160" t="s">
        <v>316</v>
      </c>
      <c r="V17" s="37">
        <v>1</v>
      </c>
      <c r="W17" s="10">
        <v>1</v>
      </c>
      <c r="X17" s="10"/>
      <c r="Y17" s="10">
        <v>1</v>
      </c>
      <c r="Z17" s="18">
        <v>2</v>
      </c>
      <c r="AA17" s="34">
        <v>270</v>
      </c>
      <c r="AB17" s="10">
        <v>180</v>
      </c>
      <c r="AC17" s="18">
        <v>270</v>
      </c>
      <c r="AD17" s="406"/>
      <c r="AE17" s="10"/>
      <c r="AF17" s="10"/>
      <c r="AG17" s="10" t="s">
        <v>218</v>
      </c>
      <c r="AH17" s="10" t="s">
        <v>218</v>
      </c>
      <c r="AI17" s="10" t="s">
        <v>218</v>
      </c>
      <c r="AJ17" s="10" t="s">
        <v>218</v>
      </c>
      <c r="AK17" s="10" t="s">
        <v>218</v>
      </c>
      <c r="AL17" s="10" t="s">
        <v>218</v>
      </c>
      <c r="AM17" s="10" t="s">
        <v>218</v>
      </c>
      <c r="AN17" s="10" t="s">
        <v>218</v>
      </c>
      <c r="AO17" s="10" t="s">
        <v>218</v>
      </c>
      <c r="AP17" s="10" t="s">
        <v>218</v>
      </c>
    </row>
    <row r="18" spans="1:42" ht="38.25" customHeight="1" x14ac:dyDescent="0.25">
      <c r="A18" s="34"/>
      <c r="B18" s="34"/>
      <c r="C18" s="34"/>
      <c r="D18" s="34"/>
      <c r="E18" s="74"/>
      <c r="F18" s="34"/>
      <c r="G18" s="34"/>
      <c r="H18" s="36"/>
      <c r="I18" s="219"/>
      <c r="J18" s="39"/>
      <c r="K18" s="39"/>
      <c r="L18" s="39"/>
      <c r="M18" s="39"/>
      <c r="N18" s="36">
        <f t="shared" si="0"/>
        <v>0</v>
      </c>
      <c r="O18" s="36">
        <f t="shared" si="0"/>
        <v>0</v>
      </c>
      <c r="P18" s="36">
        <f t="shared" si="0"/>
        <v>0</v>
      </c>
      <c r="Q18" s="39"/>
      <c r="R18" s="407"/>
      <c r="S18" s="36">
        <f t="shared" si="1"/>
        <v>0</v>
      </c>
      <c r="T18" s="160" t="s">
        <v>2552</v>
      </c>
      <c r="U18" s="160" t="s">
        <v>316</v>
      </c>
      <c r="V18" s="37">
        <v>1</v>
      </c>
      <c r="W18" s="10">
        <v>1</v>
      </c>
      <c r="X18" s="10"/>
      <c r="Y18" s="10">
        <v>0</v>
      </c>
      <c r="Z18" s="18">
        <v>1</v>
      </c>
      <c r="AA18" s="34">
        <v>270</v>
      </c>
      <c r="AB18" s="10">
        <v>0</v>
      </c>
      <c r="AC18" s="18">
        <v>270</v>
      </c>
      <c r="AD18" s="406"/>
      <c r="AE18" s="10"/>
      <c r="AF18" s="10"/>
      <c r="AG18" s="10" t="s">
        <v>218</v>
      </c>
      <c r="AH18" s="10" t="s">
        <v>218</v>
      </c>
      <c r="AI18" s="10" t="s">
        <v>218</v>
      </c>
      <c r="AJ18" s="10" t="s">
        <v>218</v>
      </c>
      <c r="AK18" s="10" t="s">
        <v>218</v>
      </c>
      <c r="AL18" s="10" t="s">
        <v>218</v>
      </c>
      <c r="AM18" s="10" t="s">
        <v>218</v>
      </c>
      <c r="AN18" s="10" t="s">
        <v>218</v>
      </c>
      <c r="AO18" s="10" t="s">
        <v>218</v>
      </c>
      <c r="AP18" s="10" t="s">
        <v>218</v>
      </c>
    </row>
    <row r="19" spans="1:42" ht="43.5" customHeight="1" x14ac:dyDescent="0.25">
      <c r="A19" s="34"/>
      <c r="B19" s="34"/>
      <c r="C19" s="34"/>
      <c r="D19" s="34"/>
      <c r="E19" s="74"/>
      <c r="F19" s="34"/>
      <c r="G19" s="34"/>
      <c r="H19" s="36"/>
      <c r="I19" s="219"/>
      <c r="J19" s="39"/>
      <c r="K19" s="39"/>
      <c r="L19" s="39"/>
      <c r="M19" s="39"/>
      <c r="N19" s="36">
        <f t="shared" si="0"/>
        <v>0</v>
      </c>
      <c r="O19" s="36">
        <f t="shared" si="0"/>
        <v>0</v>
      </c>
      <c r="P19" s="36">
        <f t="shared" si="0"/>
        <v>0</v>
      </c>
      <c r="Q19" s="39"/>
      <c r="R19" s="407"/>
      <c r="S19" s="36">
        <f t="shared" si="1"/>
        <v>0</v>
      </c>
      <c r="T19" s="160" t="s">
        <v>2553</v>
      </c>
      <c r="U19" s="160" t="s">
        <v>316</v>
      </c>
      <c r="V19" s="37">
        <v>1</v>
      </c>
      <c r="W19" s="10">
        <v>0</v>
      </c>
      <c r="X19" s="10"/>
      <c r="Y19" s="10">
        <v>0</v>
      </c>
      <c r="Z19" s="18">
        <v>0</v>
      </c>
      <c r="AA19" s="34">
        <v>270</v>
      </c>
      <c r="AB19" s="10">
        <v>0</v>
      </c>
      <c r="AC19" s="18">
        <v>0</v>
      </c>
      <c r="AD19" s="406"/>
      <c r="AE19" s="10"/>
      <c r="AF19" s="10"/>
      <c r="AG19" s="10" t="s">
        <v>218</v>
      </c>
      <c r="AH19" s="10" t="s">
        <v>218</v>
      </c>
      <c r="AI19" s="10" t="s">
        <v>218</v>
      </c>
      <c r="AJ19" s="10" t="s">
        <v>218</v>
      </c>
      <c r="AK19" s="10" t="s">
        <v>218</v>
      </c>
      <c r="AL19" s="10" t="s">
        <v>218</v>
      </c>
      <c r="AM19" s="10" t="s">
        <v>218</v>
      </c>
      <c r="AN19" s="10" t="s">
        <v>218</v>
      </c>
      <c r="AO19" s="10" t="s">
        <v>218</v>
      </c>
      <c r="AP19" s="10" t="s">
        <v>218</v>
      </c>
    </row>
    <row r="20" spans="1:42" ht="74.25" customHeight="1" x14ac:dyDescent="0.25">
      <c r="A20" s="34" t="s">
        <v>55</v>
      </c>
      <c r="B20" s="34" t="s">
        <v>343</v>
      </c>
      <c r="C20" s="34" t="s">
        <v>2525</v>
      </c>
      <c r="D20" s="34">
        <v>245120002</v>
      </c>
      <c r="E20" s="74" t="s">
        <v>2533</v>
      </c>
      <c r="F20" s="34" t="s">
        <v>2534</v>
      </c>
      <c r="G20" s="34" t="s">
        <v>2535</v>
      </c>
      <c r="H20" s="36">
        <v>145050000</v>
      </c>
      <c r="I20" s="36">
        <v>145050000</v>
      </c>
      <c r="J20" s="36">
        <v>145050000</v>
      </c>
      <c r="K20" s="39"/>
      <c r="L20" s="39">
        <v>0</v>
      </c>
      <c r="M20" s="39"/>
      <c r="N20" s="36">
        <f t="shared" si="0"/>
        <v>145050000</v>
      </c>
      <c r="O20" s="36">
        <f t="shared" si="0"/>
        <v>145050000</v>
      </c>
      <c r="P20" s="36">
        <f t="shared" si="0"/>
        <v>145050000</v>
      </c>
      <c r="Q20" s="36">
        <v>145050000</v>
      </c>
      <c r="R20" s="36">
        <v>145050000</v>
      </c>
      <c r="S20" s="36">
        <f t="shared" si="1"/>
        <v>290100000</v>
      </c>
      <c r="T20" s="37"/>
      <c r="U20" s="37"/>
      <c r="V20" s="37"/>
      <c r="W20" s="10"/>
      <c r="X20" s="10"/>
      <c r="Y20" s="10"/>
      <c r="Z20" s="18"/>
      <c r="AA20" s="34">
        <v>0</v>
      </c>
      <c r="AB20" s="10"/>
      <c r="AC20" s="18"/>
      <c r="AD20" s="406"/>
      <c r="AE20" s="10"/>
      <c r="AF20" s="10"/>
      <c r="AG20" s="10"/>
      <c r="AH20" s="10"/>
      <c r="AI20" s="10"/>
      <c r="AJ20" s="10"/>
      <c r="AK20" s="10"/>
      <c r="AL20" s="10"/>
      <c r="AM20" s="10"/>
      <c r="AN20" s="10"/>
      <c r="AO20" s="10"/>
      <c r="AP20" s="10"/>
    </row>
    <row r="21" spans="1:42" ht="83.25" customHeight="1" x14ac:dyDescent="0.25">
      <c r="A21" s="34"/>
      <c r="B21" s="34"/>
      <c r="C21" s="34"/>
      <c r="D21" s="34"/>
      <c r="E21" s="74"/>
      <c r="F21" s="34"/>
      <c r="G21" s="34"/>
      <c r="H21" s="36"/>
      <c r="I21" s="219"/>
      <c r="J21" s="39"/>
      <c r="K21" s="39"/>
      <c r="L21" s="39"/>
      <c r="M21" s="39"/>
      <c r="N21" s="36">
        <f t="shared" si="0"/>
        <v>0</v>
      </c>
      <c r="O21" s="36">
        <f t="shared" si="0"/>
        <v>0</v>
      </c>
      <c r="P21" s="36">
        <f t="shared" si="0"/>
        <v>0</v>
      </c>
      <c r="Q21" s="39"/>
      <c r="R21" s="407"/>
      <c r="S21" s="36">
        <f t="shared" si="1"/>
        <v>0</v>
      </c>
      <c r="T21" s="160" t="s">
        <v>2554</v>
      </c>
      <c r="U21" s="160" t="s">
        <v>325</v>
      </c>
      <c r="V21" s="160">
        <v>1</v>
      </c>
      <c r="W21" s="10">
        <v>1</v>
      </c>
      <c r="X21" s="10"/>
      <c r="Y21" s="10">
        <v>0</v>
      </c>
      <c r="Z21" s="18">
        <v>1</v>
      </c>
      <c r="AA21" s="34">
        <v>330</v>
      </c>
      <c r="AB21" s="10">
        <v>0</v>
      </c>
      <c r="AC21" s="18">
        <v>330</v>
      </c>
      <c r="AD21" s="406"/>
      <c r="AE21" s="10"/>
      <c r="AF21" s="10" t="s">
        <v>218</v>
      </c>
      <c r="AG21" s="10" t="s">
        <v>218</v>
      </c>
      <c r="AH21" s="10" t="s">
        <v>218</v>
      </c>
      <c r="AI21" s="10" t="s">
        <v>218</v>
      </c>
      <c r="AJ21" s="10" t="s">
        <v>218</v>
      </c>
      <c r="AK21" s="10" t="s">
        <v>218</v>
      </c>
      <c r="AL21" s="10" t="s">
        <v>218</v>
      </c>
      <c r="AM21" s="10" t="s">
        <v>218</v>
      </c>
      <c r="AN21" s="10" t="s">
        <v>218</v>
      </c>
      <c r="AO21" s="10" t="s">
        <v>218</v>
      </c>
      <c r="AP21" s="10" t="s">
        <v>218</v>
      </c>
    </row>
    <row r="22" spans="1:42" ht="99" customHeight="1" x14ac:dyDescent="0.25">
      <c r="A22" s="34"/>
      <c r="B22" s="34"/>
      <c r="C22" s="34"/>
      <c r="D22" s="34"/>
      <c r="E22" s="74"/>
      <c r="F22" s="34"/>
      <c r="G22" s="34"/>
      <c r="H22" s="36"/>
      <c r="I22" s="219"/>
      <c r="J22" s="39"/>
      <c r="K22" s="39"/>
      <c r="L22" s="39"/>
      <c r="M22" s="39"/>
      <c r="N22" s="36">
        <f t="shared" si="0"/>
        <v>0</v>
      </c>
      <c r="O22" s="36">
        <f t="shared" si="0"/>
        <v>0</v>
      </c>
      <c r="P22" s="36">
        <f t="shared" si="0"/>
        <v>0</v>
      </c>
      <c r="Q22" s="39"/>
      <c r="R22" s="407"/>
      <c r="S22" s="36">
        <f t="shared" si="1"/>
        <v>0</v>
      </c>
      <c r="T22" s="160" t="s">
        <v>2555</v>
      </c>
      <c r="U22" s="160" t="s">
        <v>325</v>
      </c>
      <c r="V22" s="160">
        <v>1</v>
      </c>
      <c r="W22" s="10">
        <v>0</v>
      </c>
      <c r="X22" s="10"/>
      <c r="Y22" s="10">
        <v>0</v>
      </c>
      <c r="Z22" s="18">
        <v>0</v>
      </c>
      <c r="AA22" s="34">
        <v>240</v>
      </c>
      <c r="AB22" s="10">
        <v>0</v>
      </c>
      <c r="AC22" s="18">
        <v>0</v>
      </c>
      <c r="AD22" s="406"/>
      <c r="AE22" s="10"/>
      <c r="AF22" s="10"/>
      <c r="AG22" s="10"/>
      <c r="AH22" s="10"/>
      <c r="AI22" s="10" t="s">
        <v>218</v>
      </c>
      <c r="AJ22" s="10" t="s">
        <v>218</v>
      </c>
      <c r="AK22" s="10" t="s">
        <v>218</v>
      </c>
      <c r="AL22" s="10" t="s">
        <v>218</v>
      </c>
      <c r="AM22" s="10" t="s">
        <v>218</v>
      </c>
      <c r="AN22" s="10" t="s">
        <v>218</v>
      </c>
      <c r="AO22" s="10" t="s">
        <v>218</v>
      </c>
      <c r="AP22" s="10" t="s">
        <v>218</v>
      </c>
    </row>
    <row r="23" spans="1:42" ht="71.25" customHeight="1" x14ac:dyDescent="0.25">
      <c r="A23" s="34" t="s">
        <v>55</v>
      </c>
      <c r="B23" s="34" t="s">
        <v>343</v>
      </c>
      <c r="C23" s="34" t="s">
        <v>2525</v>
      </c>
      <c r="D23" s="34">
        <v>245130002</v>
      </c>
      <c r="E23" s="74" t="s">
        <v>2539</v>
      </c>
      <c r="F23" s="34" t="s">
        <v>2540</v>
      </c>
      <c r="G23" s="34" t="s">
        <v>2541</v>
      </c>
      <c r="H23" s="36">
        <v>65000000</v>
      </c>
      <c r="I23" s="36">
        <v>65000000</v>
      </c>
      <c r="J23" s="36">
        <v>65000000</v>
      </c>
      <c r="K23" s="39"/>
      <c r="L23" s="39">
        <v>17000000</v>
      </c>
      <c r="M23" s="39"/>
      <c r="N23" s="36">
        <f t="shared" si="0"/>
        <v>65000000</v>
      </c>
      <c r="O23" s="36">
        <f t="shared" si="0"/>
        <v>82000000</v>
      </c>
      <c r="P23" s="36">
        <f t="shared" si="0"/>
        <v>65000000</v>
      </c>
      <c r="Q23" s="408">
        <v>65000000</v>
      </c>
      <c r="R23" s="408">
        <v>62470400</v>
      </c>
      <c r="S23" s="36">
        <f t="shared" si="1"/>
        <v>127470400</v>
      </c>
      <c r="T23" s="37">
        <v>0</v>
      </c>
      <c r="U23" s="37">
        <v>0</v>
      </c>
      <c r="V23" s="37">
        <v>0</v>
      </c>
      <c r="W23" s="10"/>
      <c r="X23" s="10"/>
      <c r="Y23" s="10"/>
      <c r="Z23" s="18"/>
      <c r="AA23" s="34">
        <v>0</v>
      </c>
      <c r="AB23" s="10"/>
      <c r="AC23" s="18"/>
      <c r="AD23" s="406"/>
      <c r="AE23" s="10"/>
      <c r="AF23" s="10"/>
      <c r="AG23" s="10"/>
      <c r="AH23" s="10"/>
      <c r="AI23" s="10"/>
      <c r="AJ23" s="10"/>
      <c r="AK23" s="10"/>
      <c r="AL23" s="10"/>
      <c r="AM23" s="10"/>
      <c r="AN23" s="10"/>
      <c r="AO23" s="10"/>
      <c r="AP23" s="10"/>
    </row>
    <row r="24" spans="1:42" ht="57.75" customHeight="1" x14ac:dyDescent="0.25">
      <c r="A24" s="34"/>
      <c r="B24" s="34"/>
      <c r="C24" s="34"/>
      <c r="D24" s="34"/>
      <c r="E24" s="34"/>
      <c r="F24" s="34"/>
      <c r="G24" s="34"/>
      <c r="H24" s="36"/>
      <c r="I24" s="219"/>
      <c r="J24" s="39"/>
      <c r="K24" s="39"/>
      <c r="L24" s="39"/>
      <c r="M24" s="39"/>
      <c r="N24" s="36">
        <f t="shared" si="0"/>
        <v>0</v>
      </c>
      <c r="O24" s="36">
        <f t="shared" si="0"/>
        <v>0</v>
      </c>
      <c r="P24" s="36">
        <f t="shared" si="0"/>
        <v>0</v>
      </c>
      <c r="Q24" s="39"/>
      <c r="R24" s="407"/>
      <c r="S24" s="36">
        <f t="shared" si="1"/>
        <v>0</v>
      </c>
      <c r="T24" s="160" t="s">
        <v>2556</v>
      </c>
      <c r="U24" s="160" t="s">
        <v>316</v>
      </c>
      <c r="V24" s="160">
        <v>1</v>
      </c>
      <c r="W24" s="10">
        <v>2</v>
      </c>
      <c r="X24" s="10"/>
      <c r="Y24" s="10">
        <v>3</v>
      </c>
      <c r="Z24" s="18">
        <v>3</v>
      </c>
      <c r="AA24" s="34">
        <v>180</v>
      </c>
      <c r="AB24" s="10">
        <v>180</v>
      </c>
      <c r="AC24" s="18">
        <v>180</v>
      </c>
      <c r="AD24" s="406"/>
      <c r="AE24" s="10"/>
      <c r="AF24" s="10"/>
      <c r="AG24" s="10"/>
      <c r="AH24" s="10"/>
      <c r="AI24" s="10" t="s">
        <v>218</v>
      </c>
      <c r="AJ24" s="10" t="s">
        <v>218</v>
      </c>
      <c r="AK24" s="10" t="s">
        <v>218</v>
      </c>
      <c r="AL24" s="10" t="s">
        <v>218</v>
      </c>
      <c r="AM24" s="10" t="s">
        <v>218</v>
      </c>
      <c r="AN24" s="10" t="s">
        <v>218</v>
      </c>
      <c r="AO24" s="10"/>
      <c r="AP24" s="10"/>
    </row>
    <row r="25" spans="1:42" ht="53.25" customHeight="1" x14ac:dyDescent="0.25">
      <c r="A25" s="34"/>
      <c r="B25" s="34"/>
      <c r="C25" s="34"/>
      <c r="D25" s="34"/>
      <c r="E25" s="34"/>
      <c r="F25" s="34"/>
      <c r="G25" s="34"/>
      <c r="H25" s="36"/>
      <c r="I25" s="219"/>
      <c r="J25" s="39"/>
      <c r="K25" s="39"/>
      <c r="L25" s="39"/>
      <c r="M25" s="39"/>
      <c r="N25" s="36">
        <f t="shared" si="0"/>
        <v>0</v>
      </c>
      <c r="O25" s="36">
        <f t="shared" si="0"/>
        <v>0</v>
      </c>
      <c r="P25" s="36">
        <f t="shared" si="0"/>
        <v>0</v>
      </c>
      <c r="Q25" s="39"/>
      <c r="R25" s="407"/>
      <c r="S25" s="36">
        <f t="shared" si="1"/>
        <v>0</v>
      </c>
      <c r="T25" s="160" t="s">
        <v>2557</v>
      </c>
      <c r="U25" s="160" t="s">
        <v>316</v>
      </c>
      <c r="V25" s="160">
        <v>1</v>
      </c>
      <c r="W25" s="10">
        <v>1</v>
      </c>
      <c r="X25" s="10"/>
      <c r="Y25" s="10">
        <v>1</v>
      </c>
      <c r="Z25" s="18">
        <v>1</v>
      </c>
      <c r="AA25" s="34">
        <v>180</v>
      </c>
      <c r="AB25" s="10">
        <v>180</v>
      </c>
      <c r="AC25" s="18">
        <v>180</v>
      </c>
      <c r="AD25" s="406"/>
      <c r="AE25" s="10"/>
      <c r="AF25" s="10"/>
      <c r="AG25" s="10"/>
      <c r="AH25" s="10"/>
      <c r="AI25" s="10" t="s">
        <v>218</v>
      </c>
      <c r="AJ25" s="10" t="s">
        <v>218</v>
      </c>
      <c r="AK25" s="10" t="s">
        <v>218</v>
      </c>
      <c r="AL25" s="10" t="s">
        <v>218</v>
      </c>
      <c r="AM25" s="10" t="s">
        <v>218</v>
      </c>
      <c r="AN25" s="10" t="s">
        <v>218</v>
      </c>
      <c r="AO25" s="10"/>
      <c r="AP25" s="10"/>
    </row>
    <row r="26" spans="1:42" ht="57" customHeight="1" x14ac:dyDescent="0.25">
      <c r="A26" s="34"/>
      <c r="B26" s="34"/>
      <c r="C26" s="34"/>
      <c r="D26" s="34"/>
      <c r="E26" s="34"/>
      <c r="F26" s="34"/>
      <c r="G26" s="34"/>
      <c r="H26" s="36"/>
      <c r="I26" s="219"/>
      <c r="J26" s="39"/>
      <c r="K26" s="39"/>
      <c r="L26" s="39"/>
      <c r="M26" s="39"/>
      <c r="N26" s="36">
        <f t="shared" si="0"/>
        <v>0</v>
      </c>
      <c r="O26" s="36">
        <f t="shared" si="0"/>
        <v>0</v>
      </c>
      <c r="P26" s="36">
        <f t="shared" si="0"/>
        <v>0</v>
      </c>
      <c r="Q26" s="39"/>
      <c r="R26" s="407"/>
      <c r="S26" s="36">
        <f t="shared" si="1"/>
        <v>0</v>
      </c>
      <c r="T26" s="160" t="s">
        <v>2558</v>
      </c>
      <c r="U26" s="160" t="s">
        <v>316</v>
      </c>
      <c r="V26" s="160">
        <v>1</v>
      </c>
      <c r="W26" s="10">
        <v>1</v>
      </c>
      <c r="X26" s="10"/>
      <c r="Y26" s="10">
        <v>1</v>
      </c>
      <c r="Z26" s="18">
        <v>1</v>
      </c>
      <c r="AA26" s="34">
        <v>180</v>
      </c>
      <c r="AB26" s="10">
        <v>180</v>
      </c>
      <c r="AC26" s="18">
        <v>180</v>
      </c>
      <c r="AD26" s="406"/>
      <c r="AE26" s="10"/>
      <c r="AF26" s="10"/>
      <c r="AG26" s="10"/>
      <c r="AH26" s="10"/>
      <c r="AI26" s="10" t="s">
        <v>218</v>
      </c>
      <c r="AJ26" s="10" t="s">
        <v>218</v>
      </c>
      <c r="AK26" s="10" t="s">
        <v>218</v>
      </c>
      <c r="AL26" s="10" t="s">
        <v>218</v>
      </c>
      <c r="AM26" s="10" t="s">
        <v>218</v>
      </c>
      <c r="AN26" s="10" t="s">
        <v>218</v>
      </c>
      <c r="AO26" s="10"/>
      <c r="AP26" s="10"/>
    </row>
    <row r="27" spans="1:42" x14ac:dyDescent="0.25">
      <c r="A27" s="34"/>
      <c r="B27" s="34"/>
      <c r="C27" s="34"/>
      <c r="D27" s="34"/>
      <c r="E27" s="10"/>
      <c r="F27" s="34"/>
      <c r="G27" s="34"/>
      <c r="H27" s="36"/>
      <c r="I27" s="389"/>
      <c r="J27" s="39"/>
      <c r="K27" s="39"/>
      <c r="L27" s="39"/>
      <c r="M27" s="39"/>
      <c r="N27" s="36"/>
      <c r="O27" s="36">
        <f t="shared" ref="O27:P27" si="2">I27+L27</f>
        <v>0</v>
      </c>
      <c r="P27" s="36">
        <f t="shared" si="2"/>
        <v>0</v>
      </c>
      <c r="Q27" s="39"/>
      <c r="R27" s="407"/>
      <c r="S27" s="36">
        <f t="shared" si="1"/>
        <v>0</v>
      </c>
      <c r="T27" s="37"/>
      <c r="U27" s="37"/>
      <c r="V27" s="37"/>
      <c r="W27" s="10"/>
      <c r="X27" s="10"/>
      <c r="Y27" s="10"/>
      <c r="Z27" s="18"/>
      <c r="AA27" s="34"/>
      <c r="AB27" s="10"/>
      <c r="AC27" s="18"/>
      <c r="AD27" s="10"/>
      <c r="AE27" s="10"/>
      <c r="AF27" s="10"/>
      <c r="AG27" s="10"/>
      <c r="AH27" s="10"/>
      <c r="AI27" s="10"/>
      <c r="AJ27" s="10"/>
      <c r="AK27" s="10"/>
      <c r="AL27" s="10"/>
      <c r="AM27" s="10"/>
      <c r="AN27" s="10"/>
      <c r="AO27" s="10"/>
      <c r="AP27" s="10"/>
    </row>
  </sheetData>
  <sheetProtection algorithmName="SHA-512" hashValue="N9eGcUPIsdbFUbZyb4rvawr1gL6i6zFluHFWOuKck7xsqGvhZmoVGHwHtK3ScRp5hWtgUPELe0QzP8F6af61KA==" saltValue="0OBTn7tBSvIOFYSMPI5Pxw=="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2"/>
  <sheetViews>
    <sheetView topLeftCell="A4" workbookViewId="0">
      <pane ySplit="5" topLeftCell="A9" activePane="bottomLeft" state="frozen"/>
      <selection activeCell="A4" sqref="A4"/>
      <selection pane="bottomLeft" activeCell="H10" sqref="H10"/>
    </sheetView>
  </sheetViews>
  <sheetFormatPr baseColWidth="10" defaultRowHeight="15" x14ac:dyDescent="0.25"/>
  <cols>
    <col min="1" max="1" width="15.85546875" style="1" customWidth="1"/>
    <col min="2" max="2" width="15.140625" style="1" customWidth="1"/>
    <col min="3" max="3" width="15.5703125" style="1" customWidth="1"/>
    <col min="4" max="4" width="11.42578125" style="1"/>
    <col min="5" max="5" width="14.42578125" style="1" customWidth="1"/>
    <col min="6" max="6" width="14.85546875" style="1" customWidth="1"/>
    <col min="7" max="7" width="14.42578125" style="1" customWidth="1"/>
    <col min="8" max="8" width="20.28515625" style="1" customWidth="1"/>
    <col min="9" max="9" width="14.42578125" style="1" customWidth="1"/>
    <col min="10" max="10" width="16.5703125" style="1" customWidth="1"/>
    <col min="11" max="11" width="19.5703125" style="1" customWidth="1"/>
    <col min="12" max="12" width="11.85546875" style="1" customWidth="1"/>
    <col min="13" max="13" width="13.28515625" style="1" customWidth="1"/>
    <col min="14" max="14" width="13.7109375" style="1" customWidth="1"/>
    <col min="15" max="16" width="11.42578125" style="1"/>
    <col min="17" max="17" width="18.28515625" style="1" customWidth="1"/>
    <col min="18" max="16384" width="11.42578125" style="1"/>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row>
    <row r="5" spans="1:97" x14ac:dyDescent="0.25">
      <c r="A5" s="2"/>
      <c r="B5" s="2"/>
      <c r="C5" s="2"/>
      <c r="D5" s="2"/>
      <c r="E5" s="2"/>
      <c r="F5" s="2"/>
      <c r="G5" s="2"/>
      <c r="H5" s="2"/>
      <c r="I5" s="2"/>
      <c r="J5" s="2"/>
      <c r="K5" s="2"/>
      <c r="L5" s="4"/>
      <c r="M5" s="6">
        <f>'[15]FORMATO FINANCIERO'!J10-'[15]FORMATO FINANCIERO'!H10</f>
        <v>310050000</v>
      </c>
      <c r="N5" s="5"/>
      <c r="O5" s="5"/>
    </row>
    <row r="6" spans="1:97" x14ac:dyDescent="0.25">
      <c r="A6" s="7" t="s">
        <v>4</v>
      </c>
      <c r="B6" s="606" t="s">
        <v>2517</v>
      </c>
      <c r="C6" s="606"/>
      <c r="D6" s="606"/>
      <c r="E6" s="606"/>
      <c r="F6" s="606"/>
      <c r="G6" s="606"/>
      <c r="H6" s="606"/>
      <c r="I6" s="606"/>
      <c r="J6" s="606"/>
      <c r="K6" s="606"/>
      <c r="L6" s="606"/>
      <c r="M6" s="606"/>
      <c r="N6" s="606"/>
      <c r="O6" s="606"/>
    </row>
    <row r="7" spans="1:97"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73" t="s">
        <v>18</v>
      </c>
      <c r="N7" s="674" t="s">
        <v>19</v>
      </c>
      <c r="O7" s="674" t="s">
        <v>20</v>
      </c>
      <c r="P7" s="623" t="s">
        <v>21</v>
      </c>
      <c r="Q7" s="671" t="s">
        <v>22</v>
      </c>
    </row>
    <row r="8" spans="1:97" ht="42" customHeight="1" x14ac:dyDescent="0.25">
      <c r="A8" s="618"/>
      <c r="B8" s="618"/>
      <c r="C8" s="618"/>
      <c r="D8" s="618"/>
      <c r="E8" s="618"/>
      <c r="F8" s="618"/>
      <c r="G8" s="618"/>
      <c r="H8" s="618"/>
      <c r="I8" s="622"/>
      <c r="J8" s="622"/>
      <c r="K8" s="618"/>
      <c r="L8" s="618"/>
      <c r="M8" s="618"/>
      <c r="N8" s="624"/>
      <c r="O8" s="624"/>
      <c r="P8" s="624"/>
      <c r="Q8" s="672"/>
      <c r="S8" s="8"/>
      <c r="T8" s="8"/>
      <c r="U8" s="8"/>
      <c r="V8" s="8"/>
      <c r="W8" s="8"/>
      <c r="X8" s="8"/>
      <c r="Y8" s="8"/>
      <c r="Z8" s="8"/>
      <c r="AA8" s="8"/>
      <c r="AB8" s="8"/>
      <c r="AC8" s="8"/>
      <c r="AD8" s="8"/>
      <c r="AE8" s="8"/>
      <c r="AF8" s="8"/>
      <c r="AG8" s="8"/>
      <c r="AH8" s="8"/>
      <c r="AK8" s="9"/>
      <c r="AO8" s="9"/>
      <c r="AS8" s="9"/>
      <c r="AW8" s="9"/>
      <c r="BA8" s="9"/>
      <c r="BE8" s="9"/>
      <c r="BI8" s="9"/>
      <c r="BM8" s="9"/>
      <c r="BQ8" s="9"/>
      <c r="BU8" s="9"/>
      <c r="BY8" s="9"/>
      <c r="CC8" s="9"/>
      <c r="CG8" s="9"/>
      <c r="CK8" s="9"/>
      <c r="CO8" s="9"/>
      <c r="CS8" s="9"/>
    </row>
    <row r="9" spans="1:97" ht="75.75" customHeight="1" x14ac:dyDescent="0.25">
      <c r="A9" s="10" t="s">
        <v>23</v>
      </c>
      <c r="B9" s="10" t="s">
        <v>136</v>
      </c>
      <c r="C9" s="10" t="s">
        <v>2518</v>
      </c>
      <c r="D9" s="10">
        <v>211230002</v>
      </c>
      <c r="E9" s="10" t="s">
        <v>2519</v>
      </c>
      <c r="F9" s="50" t="s">
        <v>2520</v>
      </c>
      <c r="G9" s="10" t="s">
        <v>2521</v>
      </c>
      <c r="H9" s="10" t="s">
        <v>2522</v>
      </c>
      <c r="I9" s="12">
        <v>0</v>
      </c>
      <c r="J9" s="402">
        <v>0</v>
      </c>
      <c r="K9" s="10" t="s">
        <v>2523</v>
      </c>
      <c r="L9" s="10">
        <v>1</v>
      </c>
      <c r="M9" s="177">
        <v>1</v>
      </c>
      <c r="N9" s="177"/>
      <c r="O9" s="177">
        <v>0</v>
      </c>
      <c r="P9" s="403">
        <v>1</v>
      </c>
      <c r="Q9" s="49" t="s">
        <v>2524</v>
      </c>
      <c r="R9" s="16"/>
      <c r="U9" s="334"/>
      <c r="V9" s="8"/>
      <c r="W9" s="8"/>
      <c r="X9" s="8"/>
      <c r="Y9" s="8"/>
      <c r="Z9" s="8"/>
      <c r="AA9" s="8"/>
      <c r="AB9" s="8"/>
      <c r="AC9" s="8"/>
      <c r="AD9" s="8"/>
      <c r="AE9" s="8"/>
      <c r="AF9" s="8"/>
      <c r="AG9" s="8"/>
      <c r="AH9" s="8"/>
      <c r="AK9" s="9"/>
      <c r="AO9" s="9"/>
      <c r="AS9" s="9"/>
      <c r="AW9" s="9"/>
      <c r="BA9" s="9"/>
      <c r="BE9" s="9"/>
      <c r="BI9" s="9"/>
      <c r="BM9" s="9"/>
      <c r="BQ9" s="9"/>
      <c r="BU9" s="9"/>
      <c r="BY9" s="9"/>
      <c r="CC9" s="9"/>
      <c r="CG9" s="9"/>
      <c r="CK9" s="9"/>
      <c r="CO9" s="9"/>
      <c r="CS9" s="9"/>
    </row>
    <row r="10" spans="1:97" ht="60.75" customHeight="1" x14ac:dyDescent="0.25">
      <c r="A10" s="10" t="s">
        <v>55</v>
      </c>
      <c r="B10" s="10" t="s">
        <v>343</v>
      </c>
      <c r="C10" s="10" t="s">
        <v>2525</v>
      </c>
      <c r="D10" s="10">
        <v>245110002</v>
      </c>
      <c r="E10" s="10" t="s">
        <v>2526</v>
      </c>
      <c r="F10" s="50" t="s">
        <v>2527</v>
      </c>
      <c r="G10" s="10" t="s">
        <v>2528</v>
      </c>
      <c r="H10" s="10" t="s">
        <v>2529</v>
      </c>
      <c r="I10" s="12">
        <v>61157500</v>
      </c>
      <c r="J10" s="402">
        <v>310050000</v>
      </c>
      <c r="K10" s="10" t="s">
        <v>2530</v>
      </c>
      <c r="L10" s="10">
        <v>13</v>
      </c>
      <c r="M10" s="177">
        <v>17</v>
      </c>
      <c r="N10" s="177"/>
      <c r="O10" s="177">
        <v>7</v>
      </c>
      <c r="P10" s="403">
        <v>17</v>
      </c>
      <c r="Q10" s="49" t="s">
        <v>2531</v>
      </c>
      <c r="R10" s="16"/>
      <c r="U10" s="334"/>
      <c r="V10" s="8"/>
      <c r="W10" s="8"/>
      <c r="X10" s="8"/>
      <c r="Y10" s="8"/>
      <c r="Z10" s="8"/>
      <c r="AA10" s="8"/>
      <c r="AB10" s="8"/>
      <c r="AC10" s="8"/>
      <c r="AD10" s="8"/>
      <c r="AE10" s="8"/>
      <c r="AF10" s="8"/>
      <c r="AG10" s="8"/>
      <c r="AH10" s="8"/>
      <c r="AK10" s="9"/>
      <c r="AO10" s="9"/>
      <c r="AS10" s="9"/>
      <c r="AW10" s="9"/>
      <c r="BA10" s="9"/>
      <c r="BE10" s="9"/>
      <c r="BI10" s="9"/>
      <c r="BM10" s="9"/>
      <c r="BQ10" s="9"/>
      <c r="BU10" s="9"/>
      <c r="BY10" s="9"/>
      <c r="CC10" s="9"/>
      <c r="CG10" s="9"/>
      <c r="CK10" s="9"/>
      <c r="CO10" s="9"/>
      <c r="CS10" s="9"/>
    </row>
    <row r="11" spans="1:97" ht="88.5" customHeight="1" x14ac:dyDescent="0.25">
      <c r="A11" s="10" t="s">
        <v>55</v>
      </c>
      <c r="B11" s="10" t="s">
        <v>343</v>
      </c>
      <c r="C11" s="10" t="s">
        <v>2525</v>
      </c>
      <c r="D11" s="10">
        <v>245120002</v>
      </c>
      <c r="E11" s="10" t="s">
        <v>2532</v>
      </c>
      <c r="F11" s="50" t="s">
        <v>2533</v>
      </c>
      <c r="G11" s="10" t="s">
        <v>2534</v>
      </c>
      <c r="H11" s="10" t="s">
        <v>2535</v>
      </c>
      <c r="I11" s="12">
        <v>0</v>
      </c>
      <c r="J11" s="402">
        <v>0</v>
      </c>
      <c r="K11" s="10" t="s">
        <v>2536</v>
      </c>
      <c r="L11" s="10">
        <v>1</v>
      </c>
      <c r="M11" s="177">
        <v>1</v>
      </c>
      <c r="N11" s="177"/>
      <c r="O11" s="177">
        <v>0</v>
      </c>
      <c r="P11" s="403">
        <v>1</v>
      </c>
      <c r="Q11" s="49" t="s">
        <v>2537</v>
      </c>
      <c r="R11" s="16"/>
      <c r="U11" s="334"/>
      <c r="V11" s="8"/>
      <c r="W11" s="8"/>
      <c r="X11" s="8"/>
      <c r="Y11" s="8"/>
      <c r="Z11" s="8"/>
      <c r="AA11" s="8"/>
      <c r="AB11" s="8"/>
      <c r="AC11" s="8"/>
      <c r="AD11" s="8"/>
      <c r="AE11" s="8"/>
      <c r="AF11" s="8"/>
      <c r="AG11" s="8"/>
      <c r="AH11" s="8"/>
      <c r="AK11" s="9"/>
      <c r="AO11" s="9"/>
      <c r="AS11" s="9"/>
      <c r="AW11" s="9"/>
      <c r="BA11" s="9"/>
      <c r="BE11" s="9"/>
      <c r="BI11" s="9"/>
      <c r="BM11" s="9"/>
      <c r="BQ11" s="9"/>
      <c r="BU11" s="9"/>
      <c r="BY11" s="9"/>
      <c r="CC11" s="9"/>
      <c r="CG11" s="9"/>
      <c r="CK11" s="9"/>
      <c r="CO11" s="9"/>
      <c r="CS11" s="9"/>
    </row>
    <row r="12" spans="1:97" ht="91.5" customHeight="1" x14ac:dyDescent="0.25">
      <c r="A12" s="10" t="s">
        <v>55</v>
      </c>
      <c r="B12" s="10" t="s">
        <v>343</v>
      </c>
      <c r="C12" s="10" t="s">
        <v>2525</v>
      </c>
      <c r="D12" s="10">
        <v>245130002</v>
      </c>
      <c r="E12" s="10" t="s">
        <v>2538</v>
      </c>
      <c r="F12" s="50" t="s">
        <v>2539</v>
      </c>
      <c r="G12" s="10" t="s">
        <v>2540</v>
      </c>
      <c r="H12" s="10" t="s">
        <v>2541</v>
      </c>
      <c r="I12" s="12">
        <v>0</v>
      </c>
      <c r="J12" s="402">
        <v>0</v>
      </c>
      <c r="K12" s="10" t="s">
        <v>2542</v>
      </c>
      <c r="L12" s="10">
        <v>3</v>
      </c>
      <c r="M12" s="177">
        <v>3</v>
      </c>
      <c r="N12" s="177"/>
      <c r="O12" s="177">
        <v>5</v>
      </c>
      <c r="P12" s="403">
        <v>5</v>
      </c>
      <c r="Q12" s="49" t="s">
        <v>2543</v>
      </c>
      <c r="R12" s="16"/>
      <c r="U12" s="334"/>
      <c r="V12" s="8"/>
      <c r="W12" s="8"/>
      <c r="X12" s="8"/>
      <c r="Y12" s="8"/>
      <c r="Z12" s="8"/>
      <c r="AA12" s="8"/>
      <c r="AB12" s="8"/>
      <c r="AC12" s="8"/>
      <c r="AD12" s="8"/>
      <c r="AE12" s="8"/>
      <c r="AF12" s="8"/>
      <c r="AG12" s="8"/>
      <c r="AH12" s="8"/>
      <c r="AK12" s="9"/>
      <c r="AO12" s="9"/>
      <c r="AS12" s="9"/>
      <c r="AW12" s="9"/>
      <c r="BA12" s="9"/>
      <c r="BE12" s="9"/>
      <c r="BI12" s="9"/>
      <c r="BM12" s="9"/>
      <c r="BQ12" s="9"/>
      <c r="BU12" s="9"/>
      <c r="BY12" s="9"/>
      <c r="CC12" s="9"/>
      <c r="CG12" s="9"/>
      <c r="CK12" s="9"/>
      <c r="CO12" s="9"/>
      <c r="CS12" s="9"/>
    </row>
  </sheetData>
  <sheetProtection algorithmName="SHA-512" hashValue="Ikiq7CzQklb6tSQ9h7MrROKy5qL5yeN3mADiiTznOCawUfFbp8LdY6vNg6XokzowtmpecEY4eCBevtQDm7G1BQ==" saltValue="COd7QC7OhtO5Qq/b8pS0XA=="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59"/>
  <sheetViews>
    <sheetView showZeros="0" topLeftCell="F4" zoomScaleNormal="100" workbookViewId="0">
      <pane ySplit="5" topLeftCell="A9" activePane="bottomLeft" state="frozen"/>
      <selection activeCell="A4" sqref="A4"/>
      <selection pane="bottomLeft" activeCell="T10" sqref="T10"/>
    </sheetView>
  </sheetViews>
  <sheetFormatPr baseColWidth="10" defaultRowHeight="15" x14ac:dyDescent="0.25"/>
  <cols>
    <col min="1" max="1" width="9" style="1" customWidth="1"/>
    <col min="2" max="2" width="11.5703125" style="1" customWidth="1"/>
    <col min="3" max="3" width="9.5703125" style="1" customWidth="1"/>
    <col min="4" max="4" width="13" style="1" customWidth="1"/>
    <col min="5" max="5" width="12" style="1" customWidth="1"/>
    <col min="6" max="6" width="16" style="1" customWidth="1"/>
    <col min="7" max="7" width="17.85546875" style="1" customWidth="1"/>
    <col min="8" max="8" width="14.140625" style="1" customWidth="1"/>
    <col min="9" max="9" width="14" style="27" customWidth="1"/>
    <col min="10" max="10" width="13.7109375" style="1" customWidth="1"/>
    <col min="11" max="11" width="12.85546875" style="1" customWidth="1"/>
    <col min="12" max="12" width="12.7109375" style="27" customWidth="1"/>
    <col min="13" max="13" width="14" style="1" customWidth="1"/>
    <col min="14" max="14" width="13" style="1" customWidth="1"/>
    <col min="15" max="15" width="14.42578125" style="1" customWidth="1"/>
    <col min="16" max="16" width="14.5703125" style="1" customWidth="1"/>
    <col min="17" max="18" width="13.7109375" style="27" customWidth="1"/>
    <col min="19" max="19" width="12.28515625" style="1" customWidth="1"/>
    <col min="20" max="20" width="16" style="1" customWidth="1"/>
    <col min="21" max="21" width="8.28515625" style="1" customWidth="1"/>
    <col min="22" max="22" width="11.42578125" style="1"/>
    <col min="23" max="23" width="12.7109375" style="1" customWidth="1"/>
    <col min="24" max="24" width="13.140625" style="1" customWidth="1"/>
    <col min="25" max="25" width="13.5703125" style="1" customWidth="1"/>
    <col min="26" max="29" width="11.42578125" style="1"/>
    <col min="30" max="30" width="25.855468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2320</v>
      </c>
      <c r="D5" s="24"/>
      <c r="E5" s="24"/>
      <c r="F5" s="24"/>
      <c r="G5" s="24"/>
      <c r="H5" s="26">
        <f>I44-H44</f>
        <v>1333037033</v>
      </c>
      <c r="I5" s="25"/>
      <c r="J5" s="25"/>
      <c r="K5" s="24"/>
      <c r="L5" s="25"/>
      <c r="M5" s="25"/>
      <c r="N5" s="25"/>
      <c r="O5" s="25"/>
      <c r="P5" s="25"/>
      <c r="S5" s="27"/>
      <c r="T5" s="27"/>
      <c r="U5" s="27"/>
      <c r="V5" s="27"/>
      <c r="W5" s="27"/>
      <c r="X5" s="27"/>
      <c r="Y5" s="27"/>
      <c r="Z5" s="27"/>
      <c r="AA5" s="27"/>
      <c r="AB5" s="27"/>
      <c r="AC5" s="27"/>
      <c r="AD5" s="27"/>
    </row>
    <row r="6" spans="1:42" x14ac:dyDescent="0.25">
      <c r="I6" s="391"/>
      <c r="K6" s="392"/>
      <c r="L6" s="393"/>
      <c r="Q6" s="393"/>
      <c r="R6" s="393"/>
      <c r="W6" s="392"/>
      <c r="Y6" s="392"/>
      <c r="AB6" s="392"/>
      <c r="AD6" s="392"/>
    </row>
    <row r="7" spans="1:42" s="29" customFormat="1" ht="14.25" x14ac:dyDescent="0.2">
      <c r="A7" s="603" t="s">
        <v>6</v>
      </c>
      <c r="B7" s="603" t="s">
        <v>7</v>
      </c>
      <c r="C7" s="603" t="s">
        <v>8</v>
      </c>
      <c r="D7" s="603" t="s">
        <v>9</v>
      </c>
      <c r="E7" s="603" t="s">
        <v>11</v>
      </c>
      <c r="F7" s="603" t="s">
        <v>12</v>
      </c>
      <c r="G7" s="603" t="s">
        <v>13</v>
      </c>
      <c r="H7" s="603" t="s">
        <v>62</v>
      </c>
      <c r="I7" s="675" t="s">
        <v>63</v>
      </c>
      <c r="J7" s="675" t="s">
        <v>64</v>
      </c>
      <c r="K7" s="603" t="s">
        <v>65</v>
      </c>
      <c r="L7" s="675" t="s">
        <v>66</v>
      </c>
      <c r="M7" s="675" t="s">
        <v>67</v>
      </c>
      <c r="N7" s="603" t="s">
        <v>68</v>
      </c>
      <c r="O7" s="607" t="s">
        <v>69</v>
      </c>
      <c r="P7" s="607" t="s">
        <v>70</v>
      </c>
      <c r="Q7" s="675" t="s">
        <v>71</v>
      </c>
      <c r="R7" s="675" t="s">
        <v>72</v>
      </c>
      <c r="S7" s="603" t="s">
        <v>73</v>
      </c>
      <c r="T7" s="610" t="s">
        <v>74</v>
      </c>
      <c r="U7" s="611"/>
      <c r="V7" s="611"/>
      <c r="W7" s="611"/>
      <c r="X7" s="611"/>
      <c r="Y7" s="611"/>
      <c r="Z7" s="611"/>
      <c r="AA7" s="611"/>
      <c r="AB7" s="611"/>
      <c r="AC7" s="611"/>
      <c r="AD7" s="675" t="s">
        <v>22</v>
      </c>
      <c r="AE7" s="614" t="s">
        <v>75</v>
      </c>
      <c r="AF7" s="615"/>
      <c r="AG7" s="615"/>
      <c r="AH7" s="615"/>
      <c r="AI7" s="615"/>
      <c r="AJ7" s="615"/>
      <c r="AK7" s="615"/>
      <c r="AL7" s="615"/>
      <c r="AM7" s="615"/>
      <c r="AN7" s="615"/>
      <c r="AO7" s="615"/>
      <c r="AP7" s="616"/>
    </row>
    <row r="8" spans="1:42" ht="36" x14ac:dyDescent="0.25">
      <c r="A8" s="604"/>
      <c r="B8" s="604"/>
      <c r="C8" s="604"/>
      <c r="D8" s="604"/>
      <c r="E8" s="604"/>
      <c r="F8" s="604"/>
      <c r="G8" s="604"/>
      <c r="H8" s="604"/>
      <c r="I8" s="676"/>
      <c r="J8" s="676"/>
      <c r="K8" s="604"/>
      <c r="L8" s="676"/>
      <c r="M8" s="676"/>
      <c r="N8" s="604"/>
      <c r="O8" s="608"/>
      <c r="P8" s="608"/>
      <c r="Q8" s="676"/>
      <c r="R8" s="676"/>
      <c r="S8" s="609"/>
      <c r="T8" s="30" t="s">
        <v>76</v>
      </c>
      <c r="U8" s="30" t="s">
        <v>77</v>
      </c>
      <c r="V8" s="30" t="s">
        <v>78</v>
      </c>
      <c r="W8" s="394" t="s">
        <v>79</v>
      </c>
      <c r="X8" s="394" t="s">
        <v>80</v>
      </c>
      <c r="Y8" s="394" t="s">
        <v>81</v>
      </c>
      <c r="Z8" s="394" t="s">
        <v>82</v>
      </c>
      <c r="AA8" s="32" t="s">
        <v>83</v>
      </c>
      <c r="AB8" s="394" t="s">
        <v>84</v>
      </c>
      <c r="AC8" s="394" t="s">
        <v>85</v>
      </c>
      <c r="AD8" s="676"/>
      <c r="AE8" s="33" t="s">
        <v>86</v>
      </c>
      <c r="AF8" s="33" t="s">
        <v>87</v>
      </c>
      <c r="AG8" s="33" t="s">
        <v>88</v>
      </c>
      <c r="AH8" s="33" t="s">
        <v>89</v>
      </c>
      <c r="AI8" s="33" t="s">
        <v>90</v>
      </c>
      <c r="AJ8" s="33" t="s">
        <v>91</v>
      </c>
      <c r="AK8" s="33" t="s">
        <v>92</v>
      </c>
      <c r="AL8" s="33" t="s">
        <v>93</v>
      </c>
      <c r="AM8" s="33" t="s">
        <v>94</v>
      </c>
      <c r="AN8" s="33" t="s">
        <v>95</v>
      </c>
      <c r="AO8" s="33" t="s">
        <v>96</v>
      </c>
      <c r="AP8" s="33" t="s">
        <v>97</v>
      </c>
    </row>
    <row r="9" spans="1:42" ht="108" x14ac:dyDescent="0.25">
      <c r="A9" s="34" t="s">
        <v>23</v>
      </c>
      <c r="B9" s="34" t="s">
        <v>142</v>
      </c>
      <c r="C9" s="34" t="s">
        <v>150</v>
      </c>
      <c r="D9" s="34">
        <v>212320000</v>
      </c>
      <c r="E9" s="74" t="s">
        <v>2321</v>
      </c>
      <c r="F9" s="34" t="s">
        <v>2322</v>
      </c>
      <c r="G9" s="34" t="s">
        <v>2323</v>
      </c>
      <c r="H9" s="36">
        <v>100000000</v>
      </c>
      <c r="I9" s="36">
        <v>103581279</v>
      </c>
      <c r="J9" s="36">
        <v>59823735</v>
      </c>
      <c r="K9" s="36">
        <v>0</v>
      </c>
      <c r="L9" s="36"/>
      <c r="M9" s="36">
        <v>0</v>
      </c>
      <c r="N9" s="36">
        <f>H9+K9</f>
        <v>100000000</v>
      </c>
      <c r="O9" s="36">
        <f>I9+L9</f>
        <v>103581279</v>
      </c>
      <c r="P9" s="36">
        <f>J9+M9</f>
        <v>59823735</v>
      </c>
      <c r="Q9" s="36">
        <v>59823735</v>
      </c>
      <c r="R9" s="36"/>
      <c r="S9" s="36">
        <f>Q9+R9</f>
        <v>59823735</v>
      </c>
      <c r="T9" s="37" t="s">
        <v>2441</v>
      </c>
      <c r="U9" s="37" t="s">
        <v>225</v>
      </c>
      <c r="V9" s="37">
        <v>15</v>
      </c>
      <c r="W9" s="38">
        <v>8</v>
      </c>
      <c r="X9" s="34"/>
      <c r="Y9" s="34">
        <v>5</v>
      </c>
      <c r="Z9" s="34">
        <v>10</v>
      </c>
      <c r="AA9" s="34">
        <v>330</v>
      </c>
      <c r="AB9" s="34">
        <v>150</v>
      </c>
      <c r="AC9" s="79">
        <v>330</v>
      </c>
      <c r="AD9" s="10" t="s">
        <v>2442</v>
      </c>
      <c r="AE9" s="124">
        <v>0</v>
      </c>
      <c r="AF9" s="124">
        <v>1</v>
      </c>
      <c r="AG9" s="124">
        <v>1</v>
      </c>
      <c r="AH9" s="124">
        <v>2</v>
      </c>
      <c r="AI9" s="124">
        <v>2</v>
      </c>
      <c r="AJ9" s="124">
        <v>2</v>
      </c>
      <c r="AK9" s="124">
        <v>2</v>
      </c>
      <c r="AL9" s="124">
        <v>1</v>
      </c>
      <c r="AM9" s="124">
        <v>1</v>
      </c>
      <c r="AN9" s="124">
        <v>1</v>
      </c>
      <c r="AO9" s="124">
        <v>1</v>
      </c>
      <c r="AP9" s="124">
        <v>1</v>
      </c>
    </row>
    <row r="10" spans="1:42" ht="60" x14ac:dyDescent="0.25">
      <c r="A10" s="34">
        <v>0</v>
      </c>
      <c r="B10" s="34">
        <v>0</v>
      </c>
      <c r="C10" s="34">
        <v>0</v>
      </c>
      <c r="D10" s="34">
        <v>0</v>
      </c>
      <c r="E10" s="74"/>
      <c r="F10" s="34">
        <v>0</v>
      </c>
      <c r="G10" s="34">
        <v>0</v>
      </c>
      <c r="H10" s="36">
        <v>0</v>
      </c>
      <c r="I10" s="39"/>
      <c r="J10" s="39"/>
      <c r="K10" s="39"/>
      <c r="L10" s="39"/>
      <c r="M10" s="39"/>
      <c r="N10" s="36">
        <f t="shared" ref="N10:P56" si="0">H10+K10</f>
        <v>0</v>
      </c>
      <c r="O10" s="36">
        <f t="shared" si="0"/>
        <v>0</v>
      </c>
      <c r="P10" s="36">
        <f t="shared" si="0"/>
        <v>0</v>
      </c>
      <c r="Q10" s="39"/>
      <c r="R10" s="39"/>
      <c r="S10" s="36">
        <f t="shared" ref="S10:S56" si="1">Q10+R10</f>
        <v>0</v>
      </c>
      <c r="T10" s="37" t="s">
        <v>2443</v>
      </c>
      <c r="U10" s="37" t="s">
        <v>225</v>
      </c>
      <c r="V10" s="37">
        <v>2</v>
      </c>
      <c r="W10" s="10">
        <v>1</v>
      </c>
      <c r="X10" s="10"/>
      <c r="Y10" s="10">
        <v>1</v>
      </c>
      <c r="Z10" s="34">
        <v>1</v>
      </c>
      <c r="AA10" s="34">
        <v>60</v>
      </c>
      <c r="AB10" s="10">
        <v>30</v>
      </c>
      <c r="AC10" s="81">
        <v>60</v>
      </c>
      <c r="AD10" s="10" t="s">
        <v>2444</v>
      </c>
      <c r="AE10" s="124">
        <v>0</v>
      </c>
      <c r="AF10" s="124">
        <v>1</v>
      </c>
      <c r="AG10" s="124">
        <v>0</v>
      </c>
      <c r="AH10" s="124">
        <v>0</v>
      </c>
      <c r="AI10" s="124">
        <v>0</v>
      </c>
      <c r="AJ10" s="124">
        <v>0</v>
      </c>
      <c r="AK10" s="124">
        <v>0</v>
      </c>
      <c r="AL10" s="124">
        <v>0</v>
      </c>
      <c r="AM10" s="124">
        <v>1</v>
      </c>
      <c r="AN10" s="124">
        <v>0</v>
      </c>
      <c r="AO10" s="124">
        <v>0</v>
      </c>
      <c r="AP10" s="124">
        <v>0</v>
      </c>
    </row>
    <row r="11" spans="1:42" ht="36" x14ac:dyDescent="0.25">
      <c r="A11" s="34">
        <v>0</v>
      </c>
      <c r="B11" s="34">
        <v>0</v>
      </c>
      <c r="C11" s="34">
        <v>0</v>
      </c>
      <c r="D11" s="34">
        <v>0</v>
      </c>
      <c r="E11" s="74"/>
      <c r="F11" s="34">
        <v>0</v>
      </c>
      <c r="G11" s="34">
        <v>0</v>
      </c>
      <c r="H11" s="36">
        <v>0</v>
      </c>
      <c r="I11" s="39"/>
      <c r="J11" s="39"/>
      <c r="K11" s="39"/>
      <c r="L11" s="39"/>
      <c r="M11" s="39"/>
      <c r="N11" s="36">
        <f t="shared" si="0"/>
        <v>0</v>
      </c>
      <c r="O11" s="36">
        <f t="shared" si="0"/>
        <v>0</v>
      </c>
      <c r="P11" s="36">
        <f t="shared" si="0"/>
        <v>0</v>
      </c>
      <c r="Q11" s="39"/>
      <c r="R11" s="39"/>
      <c r="S11" s="36">
        <f t="shared" si="1"/>
        <v>0</v>
      </c>
      <c r="T11" s="37" t="s">
        <v>2445</v>
      </c>
      <c r="U11" s="37" t="s">
        <v>2446</v>
      </c>
      <c r="V11" s="37">
        <v>2</v>
      </c>
      <c r="W11" s="10">
        <v>1</v>
      </c>
      <c r="X11" s="10"/>
      <c r="Y11" s="10">
        <v>0</v>
      </c>
      <c r="Z11" s="45"/>
      <c r="AA11" s="34">
        <v>60</v>
      </c>
      <c r="AB11" s="10">
        <v>0</v>
      </c>
      <c r="AC11" s="81"/>
      <c r="AD11" s="10"/>
      <c r="AE11" s="124">
        <v>0</v>
      </c>
      <c r="AF11" s="124">
        <v>0</v>
      </c>
      <c r="AG11" s="124">
        <v>0</v>
      </c>
      <c r="AH11" s="124">
        <v>1</v>
      </c>
      <c r="AI11" s="124">
        <v>0</v>
      </c>
      <c r="AJ11" s="124">
        <v>0</v>
      </c>
      <c r="AK11" s="124">
        <v>1</v>
      </c>
      <c r="AL11" s="124">
        <v>0</v>
      </c>
      <c r="AM11" s="124">
        <v>0</v>
      </c>
      <c r="AN11" s="124">
        <v>0</v>
      </c>
      <c r="AO11" s="124">
        <v>0</v>
      </c>
      <c r="AP11" s="124">
        <v>0</v>
      </c>
    </row>
    <row r="12" spans="1:42" ht="108" x14ac:dyDescent="0.25">
      <c r="A12" s="34" t="s">
        <v>23</v>
      </c>
      <c r="B12" s="34" t="s">
        <v>142</v>
      </c>
      <c r="C12" s="34" t="s">
        <v>150</v>
      </c>
      <c r="D12" s="34">
        <v>212360000</v>
      </c>
      <c r="E12" s="74" t="s">
        <v>2326</v>
      </c>
      <c r="F12" s="34" t="s">
        <v>2327</v>
      </c>
      <c r="G12" s="34" t="s">
        <v>2328</v>
      </c>
      <c r="H12" s="36">
        <v>50000000</v>
      </c>
      <c r="I12" s="39">
        <v>51790639</v>
      </c>
      <c r="J12" s="39">
        <v>0</v>
      </c>
      <c r="K12" s="39"/>
      <c r="L12" s="39"/>
      <c r="M12" s="39">
        <v>0</v>
      </c>
      <c r="N12" s="36">
        <f t="shared" si="0"/>
        <v>50000000</v>
      </c>
      <c r="O12" s="36">
        <f t="shared" si="0"/>
        <v>51790639</v>
      </c>
      <c r="P12" s="36">
        <f t="shared" si="0"/>
        <v>0</v>
      </c>
      <c r="Q12" s="39">
        <v>0</v>
      </c>
      <c r="R12" s="39"/>
      <c r="S12" s="36">
        <f t="shared" si="1"/>
        <v>0</v>
      </c>
      <c r="T12" s="37" t="s">
        <v>2447</v>
      </c>
      <c r="U12" s="37" t="s">
        <v>225</v>
      </c>
      <c r="V12" s="37">
        <v>1</v>
      </c>
      <c r="W12" s="10"/>
      <c r="X12" s="10"/>
      <c r="Y12" s="10"/>
      <c r="Z12" s="45">
        <v>0</v>
      </c>
      <c r="AA12" s="34">
        <v>30</v>
      </c>
      <c r="AB12" s="10"/>
      <c r="AC12" s="81">
        <v>0</v>
      </c>
      <c r="AD12" s="10" t="s">
        <v>2448</v>
      </c>
      <c r="AE12" s="124">
        <v>0</v>
      </c>
      <c r="AF12" s="124">
        <v>0</v>
      </c>
      <c r="AG12" s="124">
        <v>0</v>
      </c>
      <c r="AH12" s="124">
        <v>0</v>
      </c>
      <c r="AI12" s="124">
        <v>0</v>
      </c>
      <c r="AJ12" s="124">
        <v>0</v>
      </c>
      <c r="AK12" s="124">
        <v>0</v>
      </c>
      <c r="AL12" s="124">
        <v>1</v>
      </c>
      <c r="AM12" s="124">
        <v>0</v>
      </c>
      <c r="AN12" s="124">
        <v>0</v>
      </c>
      <c r="AO12" s="124">
        <v>0</v>
      </c>
      <c r="AP12" s="124">
        <v>0</v>
      </c>
    </row>
    <row r="13" spans="1:42" ht="75" x14ac:dyDescent="0.25">
      <c r="A13" s="34">
        <v>0</v>
      </c>
      <c r="B13" s="34">
        <v>0</v>
      </c>
      <c r="C13" s="34">
        <v>0</v>
      </c>
      <c r="D13" s="34">
        <v>0</v>
      </c>
      <c r="E13" s="74"/>
      <c r="F13" s="34">
        <v>0</v>
      </c>
      <c r="G13" s="34">
        <v>0</v>
      </c>
      <c r="H13" s="36">
        <v>0</v>
      </c>
      <c r="I13" s="39"/>
      <c r="J13" s="39"/>
      <c r="K13" s="39"/>
      <c r="L13" s="39"/>
      <c r="M13" s="39"/>
      <c r="N13" s="36">
        <f t="shared" si="0"/>
        <v>0</v>
      </c>
      <c r="O13" s="36">
        <f t="shared" si="0"/>
        <v>0</v>
      </c>
      <c r="P13" s="36">
        <f t="shared" si="0"/>
        <v>0</v>
      </c>
      <c r="Q13" s="39"/>
      <c r="R13" s="39"/>
      <c r="S13" s="36">
        <f t="shared" si="1"/>
        <v>0</v>
      </c>
      <c r="T13" s="37" t="s">
        <v>2449</v>
      </c>
      <c r="U13" s="37" t="s">
        <v>225</v>
      </c>
      <c r="V13" s="37">
        <v>1</v>
      </c>
      <c r="W13" s="10">
        <v>0</v>
      </c>
      <c r="X13" s="10"/>
      <c r="Y13" s="10"/>
      <c r="Z13" s="45"/>
      <c r="AA13" s="34">
        <v>30</v>
      </c>
      <c r="AB13" s="10"/>
      <c r="AC13" s="81"/>
      <c r="AD13" s="10" t="s">
        <v>2448</v>
      </c>
      <c r="AE13" s="124">
        <v>0</v>
      </c>
      <c r="AF13" s="124">
        <v>0</v>
      </c>
      <c r="AG13" s="124">
        <v>0</v>
      </c>
      <c r="AH13" s="124">
        <v>0</v>
      </c>
      <c r="AI13" s="124">
        <v>0</v>
      </c>
      <c r="AJ13" s="124">
        <v>1</v>
      </c>
      <c r="AK13" s="124">
        <v>0</v>
      </c>
      <c r="AL13" s="124">
        <v>0</v>
      </c>
      <c r="AM13" s="124">
        <v>0</v>
      </c>
      <c r="AN13" s="124">
        <v>0</v>
      </c>
      <c r="AO13" s="124">
        <v>0</v>
      </c>
      <c r="AP13" s="124">
        <v>0</v>
      </c>
    </row>
    <row r="14" spans="1:42" ht="96" x14ac:dyDescent="0.25">
      <c r="A14" s="34" t="s">
        <v>23</v>
      </c>
      <c r="B14" s="34" t="s">
        <v>1573</v>
      </c>
      <c r="C14" s="34" t="s">
        <v>2331</v>
      </c>
      <c r="D14" s="34">
        <v>214530000</v>
      </c>
      <c r="E14" s="74" t="s">
        <v>2333</v>
      </c>
      <c r="F14" s="34" t="s">
        <v>2334</v>
      </c>
      <c r="G14" s="34" t="s">
        <v>2335</v>
      </c>
      <c r="H14" s="36">
        <v>5946000000</v>
      </c>
      <c r="I14" s="39">
        <v>11521524078</v>
      </c>
      <c r="J14" s="39">
        <v>13065976175.487028</v>
      </c>
      <c r="K14" s="39"/>
      <c r="L14" s="39">
        <v>868232985</v>
      </c>
      <c r="M14" s="39">
        <v>549840000</v>
      </c>
      <c r="N14" s="36">
        <f t="shared" si="0"/>
        <v>5946000000</v>
      </c>
      <c r="O14" s="36">
        <f t="shared" si="0"/>
        <v>12389757063</v>
      </c>
      <c r="P14" s="36">
        <f t="shared" si="0"/>
        <v>13615816175.487028</v>
      </c>
      <c r="Q14" s="36">
        <v>12856311981.487028</v>
      </c>
      <c r="R14" s="36">
        <f>+M14/2</f>
        <v>274920000</v>
      </c>
      <c r="S14" s="36">
        <f t="shared" si="1"/>
        <v>13131231981.487028</v>
      </c>
      <c r="T14" s="37" t="s">
        <v>2450</v>
      </c>
      <c r="U14" s="37" t="s">
        <v>225</v>
      </c>
      <c r="V14" s="37">
        <v>3840</v>
      </c>
      <c r="W14" s="10">
        <v>5310</v>
      </c>
      <c r="X14" s="10"/>
      <c r="Y14" s="10">
        <v>5310</v>
      </c>
      <c r="Z14" s="34">
        <f>1028*6</f>
        <v>6168</v>
      </c>
      <c r="AA14" s="34">
        <v>180</v>
      </c>
      <c r="AB14" s="10">
        <v>150</v>
      </c>
      <c r="AC14" s="81">
        <v>180</v>
      </c>
      <c r="AD14" s="10" t="s">
        <v>2451</v>
      </c>
      <c r="AE14" s="124">
        <v>0</v>
      </c>
      <c r="AF14" s="124">
        <v>640</v>
      </c>
      <c r="AG14" s="124">
        <v>640</v>
      </c>
      <c r="AH14" s="124">
        <v>640</v>
      </c>
      <c r="AI14" s="124">
        <v>640</v>
      </c>
      <c r="AJ14" s="124">
        <v>640</v>
      </c>
      <c r="AK14" s="124">
        <v>640</v>
      </c>
      <c r="AL14" s="124">
        <v>0</v>
      </c>
      <c r="AM14" s="124">
        <v>0</v>
      </c>
      <c r="AN14" s="124">
        <v>0</v>
      </c>
      <c r="AO14" s="124">
        <v>0</v>
      </c>
      <c r="AP14" s="124">
        <v>0</v>
      </c>
    </row>
    <row r="15" spans="1:42" ht="90" x14ac:dyDescent="0.25">
      <c r="A15" s="34">
        <v>0</v>
      </c>
      <c r="B15" s="34">
        <v>0</v>
      </c>
      <c r="C15" s="34">
        <v>0</v>
      </c>
      <c r="D15" s="34">
        <v>0</v>
      </c>
      <c r="E15" s="74"/>
      <c r="F15" s="34">
        <v>0</v>
      </c>
      <c r="G15" s="34">
        <v>0</v>
      </c>
      <c r="H15" s="36">
        <v>0</v>
      </c>
      <c r="I15" s="39"/>
      <c r="J15" s="39"/>
      <c r="K15" s="39"/>
      <c r="L15" s="39"/>
      <c r="M15" s="39"/>
      <c r="N15" s="36">
        <f t="shared" si="0"/>
        <v>0</v>
      </c>
      <c r="O15" s="36">
        <f t="shared" si="0"/>
        <v>0</v>
      </c>
      <c r="P15" s="36">
        <f t="shared" si="0"/>
        <v>0</v>
      </c>
      <c r="Q15" s="39"/>
      <c r="R15" s="39"/>
      <c r="S15" s="36">
        <f t="shared" si="1"/>
        <v>0</v>
      </c>
      <c r="T15" s="37" t="s">
        <v>2452</v>
      </c>
      <c r="U15" s="37" t="s">
        <v>225</v>
      </c>
      <c r="V15" s="37">
        <v>456</v>
      </c>
      <c r="W15" s="10">
        <v>1900</v>
      </c>
      <c r="X15" s="10"/>
      <c r="Y15" s="10">
        <v>1900</v>
      </c>
      <c r="Z15" s="34">
        <f>337*6</f>
        <v>2022</v>
      </c>
      <c r="AA15" s="34">
        <v>180</v>
      </c>
      <c r="AB15" s="10">
        <v>150</v>
      </c>
      <c r="AC15" s="81">
        <v>180</v>
      </c>
      <c r="AD15" s="10" t="s">
        <v>2451</v>
      </c>
      <c r="AE15" s="124">
        <v>0</v>
      </c>
      <c r="AF15" s="124">
        <v>76</v>
      </c>
      <c r="AG15" s="124">
        <v>76</v>
      </c>
      <c r="AH15" s="124">
        <v>76</v>
      </c>
      <c r="AI15" s="124">
        <v>76</v>
      </c>
      <c r="AJ15" s="124">
        <v>76</v>
      </c>
      <c r="AK15" s="124">
        <v>76</v>
      </c>
      <c r="AL15" s="124">
        <v>0</v>
      </c>
      <c r="AM15" s="124">
        <v>0</v>
      </c>
      <c r="AN15" s="124">
        <v>0</v>
      </c>
      <c r="AO15" s="124">
        <v>0</v>
      </c>
      <c r="AP15" s="124">
        <v>0</v>
      </c>
    </row>
    <row r="16" spans="1:42" ht="150" x14ac:dyDescent="0.25">
      <c r="A16" s="34">
        <v>0</v>
      </c>
      <c r="B16" s="34">
        <v>0</v>
      </c>
      <c r="C16" s="34">
        <v>0</v>
      </c>
      <c r="D16" s="34">
        <v>0</v>
      </c>
      <c r="E16" s="74"/>
      <c r="F16" s="34">
        <v>0</v>
      </c>
      <c r="G16" s="34">
        <v>0</v>
      </c>
      <c r="H16" s="36">
        <v>0</v>
      </c>
      <c r="I16" s="39"/>
      <c r="J16" s="39"/>
      <c r="K16" s="39"/>
      <c r="L16" s="39"/>
      <c r="M16" s="39"/>
      <c r="N16" s="36">
        <f t="shared" si="0"/>
        <v>0</v>
      </c>
      <c r="O16" s="36">
        <f t="shared" si="0"/>
        <v>0</v>
      </c>
      <c r="P16" s="36">
        <f t="shared" si="0"/>
        <v>0</v>
      </c>
      <c r="Q16" s="39"/>
      <c r="R16" s="39"/>
      <c r="S16" s="36">
        <f t="shared" si="1"/>
        <v>0</v>
      </c>
      <c r="T16" s="37" t="s">
        <v>2453</v>
      </c>
      <c r="U16" s="37" t="s">
        <v>225</v>
      </c>
      <c r="V16" s="37">
        <v>3840</v>
      </c>
      <c r="W16" s="10">
        <v>4000</v>
      </c>
      <c r="X16" s="10"/>
      <c r="Y16" s="10">
        <v>4000</v>
      </c>
      <c r="Z16" s="34">
        <f>(234+340+123+42)*6</f>
        <v>4434</v>
      </c>
      <c r="AA16" s="34">
        <v>180</v>
      </c>
      <c r="AB16" s="10">
        <v>150</v>
      </c>
      <c r="AC16" s="81">
        <v>180</v>
      </c>
      <c r="AD16" s="10" t="s">
        <v>2454</v>
      </c>
      <c r="AE16" s="124">
        <v>0</v>
      </c>
      <c r="AF16" s="124">
        <v>640</v>
      </c>
      <c r="AG16" s="124">
        <v>640</v>
      </c>
      <c r="AH16" s="124">
        <v>640</v>
      </c>
      <c r="AI16" s="124">
        <v>640</v>
      </c>
      <c r="AJ16" s="124">
        <v>640</v>
      </c>
      <c r="AK16" s="124">
        <v>640</v>
      </c>
      <c r="AL16" s="124">
        <v>0</v>
      </c>
      <c r="AM16" s="124">
        <v>0</v>
      </c>
      <c r="AN16" s="124">
        <v>0</v>
      </c>
      <c r="AO16" s="124">
        <v>0</v>
      </c>
      <c r="AP16" s="124">
        <v>0</v>
      </c>
    </row>
    <row r="17" spans="1:42" ht="150" x14ac:dyDescent="0.25">
      <c r="A17" s="34">
        <v>0</v>
      </c>
      <c r="B17" s="34">
        <v>0</v>
      </c>
      <c r="C17" s="34">
        <v>0</v>
      </c>
      <c r="D17" s="34">
        <v>0</v>
      </c>
      <c r="E17" s="74"/>
      <c r="F17" s="34">
        <v>0</v>
      </c>
      <c r="G17" s="34">
        <v>0</v>
      </c>
      <c r="H17" s="36">
        <v>0</v>
      </c>
      <c r="I17" s="39"/>
      <c r="J17" s="39"/>
      <c r="K17" s="39"/>
      <c r="L17" s="39"/>
      <c r="M17" s="39"/>
      <c r="N17" s="36">
        <f t="shared" si="0"/>
        <v>0</v>
      </c>
      <c r="O17" s="36">
        <f t="shared" si="0"/>
        <v>0</v>
      </c>
      <c r="P17" s="36">
        <f t="shared" si="0"/>
        <v>0</v>
      </c>
      <c r="Q17" s="39"/>
      <c r="R17" s="39"/>
      <c r="S17" s="36">
        <f t="shared" si="1"/>
        <v>0</v>
      </c>
      <c r="T17" s="37" t="s">
        <v>2455</v>
      </c>
      <c r="U17" s="37" t="s">
        <v>225</v>
      </c>
      <c r="V17" s="37">
        <v>456</v>
      </c>
      <c r="W17" s="10">
        <v>580</v>
      </c>
      <c r="X17" s="10"/>
      <c r="Y17" s="10">
        <v>580</v>
      </c>
      <c r="Z17" s="34">
        <v>976</v>
      </c>
      <c r="AA17" s="34">
        <v>180</v>
      </c>
      <c r="AB17" s="10">
        <v>150</v>
      </c>
      <c r="AC17" s="81">
        <v>180</v>
      </c>
      <c r="AD17" s="10" t="s">
        <v>2454</v>
      </c>
      <c r="AE17" s="124">
        <v>0</v>
      </c>
      <c r="AF17" s="124">
        <v>76</v>
      </c>
      <c r="AG17" s="124">
        <v>76</v>
      </c>
      <c r="AH17" s="124">
        <v>76</v>
      </c>
      <c r="AI17" s="124">
        <v>76</v>
      </c>
      <c r="AJ17" s="124">
        <v>76</v>
      </c>
      <c r="AK17" s="124">
        <v>76</v>
      </c>
      <c r="AL17" s="124">
        <v>0</v>
      </c>
      <c r="AM17" s="124">
        <v>0</v>
      </c>
      <c r="AN17" s="124">
        <v>0</v>
      </c>
      <c r="AO17" s="124">
        <v>0</v>
      </c>
      <c r="AP17" s="124">
        <v>0</v>
      </c>
    </row>
    <row r="18" spans="1:42" ht="75" x14ac:dyDescent="0.25">
      <c r="A18" s="34">
        <v>0</v>
      </c>
      <c r="B18" s="34">
        <v>0</v>
      </c>
      <c r="C18" s="34">
        <v>0</v>
      </c>
      <c r="D18" s="34">
        <v>0</v>
      </c>
      <c r="E18" s="74"/>
      <c r="F18" s="34">
        <v>0</v>
      </c>
      <c r="G18" s="34">
        <v>0</v>
      </c>
      <c r="H18" s="36">
        <v>0</v>
      </c>
      <c r="I18" s="39"/>
      <c r="J18" s="39"/>
      <c r="K18" s="39"/>
      <c r="L18" s="39"/>
      <c r="M18" s="39"/>
      <c r="N18" s="36">
        <f t="shared" si="0"/>
        <v>0</v>
      </c>
      <c r="O18" s="36">
        <f t="shared" si="0"/>
        <v>0</v>
      </c>
      <c r="P18" s="36">
        <f t="shared" si="0"/>
        <v>0</v>
      </c>
      <c r="Q18" s="39"/>
      <c r="R18" s="39"/>
      <c r="S18" s="36">
        <f t="shared" si="1"/>
        <v>0</v>
      </c>
      <c r="T18" s="37" t="s">
        <v>2456</v>
      </c>
      <c r="U18" s="37" t="s">
        <v>225</v>
      </c>
      <c r="V18" s="37">
        <v>1920</v>
      </c>
      <c r="W18" s="10"/>
      <c r="X18" s="10"/>
      <c r="Y18" s="10"/>
      <c r="Z18" s="34">
        <f>1067*6</f>
        <v>6402</v>
      </c>
      <c r="AA18" s="34">
        <v>330</v>
      </c>
      <c r="AB18" s="10"/>
      <c r="AC18" s="81">
        <v>180</v>
      </c>
      <c r="AD18" s="10" t="s">
        <v>2457</v>
      </c>
      <c r="AE18" s="124">
        <v>0</v>
      </c>
      <c r="AF18" s="124">
        <v>320</v>
      </c>
      <c r="AG18" s="124">
        <v>320</v>
      </c>
      <c r="AH18" s="124">
        <v>320</v>
      </c>
      <c r="AI18" s="124">
        <v>320</v>
      </c>
      <c r="AJ18" s="124">
        <v>320</v>
      </c>
      <c r="AK18" s="124">
        <v>320</v>
      </c>
      <c r="AL18" s="124">
        <v>0</v>
      </c>
      <c r="AM18" s="124">
        <v>0</v>
      </c>
      <c r="AN18" s="124">
        <v>0</v>
      </c>
      <c r="AO18" s="124">
        <v>0</v>
      </c>
      <c r="AP18" s="124">
        <v>0</v>
      </c>
    </row>
    <row r="19" spans="1:42" ht="75" x14ac:dyDescent="0.25">
      <c r="A19" s="34">
        <v>0</v>
      </c>
      <c r="B19" s="34">
        <v>0</v>
      </c>
      <c r="C19" s="34">
        <v>0</v>
      </c>
      <c r="D19" s="34">
        <v>0</v>
      </c>
      <c r="E19" s="74"/>
      <c r="F19" s="34">
        <v>0</v>
      </c>
      <c r="G19" s="34">
        <v>0</v>
      </c>
      <c r="H19" s="36">
        <v>0</v>
      </c>
      <c r="I19" s="39"/>
      <c r="J19" s="39"/>
      <c r="K19" s="39"/>
      <c r="L19" s="39"/>
      <c r="M19" s="39"/>
      <c r="N19" s="36">
        <f t="shared" si="0"/>
        <v>0</v>
      </c>
      <c r="O19" s="36">
        <f t="shared" si="0"/>
        <v>0</v>
      </c>
      <c r="P19" s="36">
        <f t="shared" si="0"/>
        <v>0</v>
      </c>
      <c r="Q19" s="39"/>
      <c r="R19" s="39"/>
      <c r="S19" s="36">
        <f t="shared" si="1"/>
        <v>0</v>
      </c>
      <c r="T19" s="37" t="s">
        <v>2458</v>
      </c>
      <c r="U19" s="37" t="s">
        <v>225</v>
      </c>
      <c r="V19" s="37">
        <v>228</v>
      </c>
      <c r="W19" s="10"/>
      <c r="X19" s="10"/>
      <c r="Y19" s="10"/>
      <c r="Z19" s="34">
        <f>232*6</f>
        <v>1392</v>
      </c>
      <c r="AA19" s="34">
        <v>330</v>
      </c>
      <c r="AB19" s="10"/>
      <c r="AC19" s="81">
        <v>180</v>
      </c>
      <c r="AD19" s="10" t="s">
        <v>2457</v>
      </c>
      <c r="AE19" s="124">
        <v>0</v>
      </c>
      <c r="AF19" s="124">
        <v>38</v>
      </c>
      <c r="AG19" s="124">
        <v>38</v>
      </c>
      <c r="AH19" s="124">
        <v>38</v>
      </c>
      <c r="AI19" s="124">
        <v>38</v>
      </c>
      <c r="AJ19" s="124">
        <v>38</v>
      </c>
      <c r="AK19" s="124">
        <v>38</v>
      </c>
      <c r="AL19" s="124">
        <v>0</v>
      </c>
      <c r="AM19" s="124">
        <v>0</v>
      </c>
      <c r="AN19" s="124">
        <v>0</v>
      </c>
      <c r="AO19" s="124">
        <v>0</v>
      </c>
      <c r="AP19" s="124">
        <v>0</v>
      </c>
    </row>
    <row r="20" spans="1:42" ht="96" x14ac:dyDescent="0.25">
      <c r="A20" s="34" t="s">
        <v>23</v>
      </c>
      <c r="B20" s="34" t="s">
        <v>1573</v>
      </c>
      <c r="C20" s="34" t="s">
        <v>2331</v>
      </c>
      <c r="D20" s="34">
        <v>214520000</v>
      </c>
      <c r="E20" s="74" t="s">
        <v>2341</v>
      </c>
      <c r="F20" s="34" t="s">
        <v>2342</v>
      </c>
      <c r="G20" s="34" t="s">
        <v>2343</v>
      </c>
      <c r="H20" s="36">
        <v>280000000</v>
      </c>
      <c r="I20" s="39">
        <v>282190304</v>
      </c>
      <c r="J20" s="39">
        <v>67086182</v>
      </c>
      <c r="K20" s="39"/>
      <c r="L20" s="39"/>
      <c r="M20" s="39"/>
      <c r="N20" s="36">
        <f t="shared" si="0"/>
        <v>280000000</v>
      </c>
      <c r="O20" s="36">
        <f t="shared" si="0"/>
        <v>282190304</v>
      </c>
      <c r="P20" s="36">
        <f t="shared" si="0"/>
        <v>67086182</v>
      </c>
      <c r="Q20" s="39">
        <v>67086182</v>
      </c>
      <c r="R20" s="39">
        <v>0</v>
      </c>
      <c r="S20" s="36">
        <f t="shared" si="1"/>
        <v>67086182</v>
      </c>
      <c r="T20" s="37" t="s">
        <v>2459</v>
      </c>
      <c r="U20" s="37" t="s">
        <v>225</v>
      </c>
      <c r="V20" s="37">
        <v>50</v>
      </c>
      <c r="W20" s="10">
        <v>2</v>
      </c>
      <c r="X20" s="10"/>
      <c r="Y20" s="10">
        <v>2</v>
      </c>
      <c r="Z20" s="34">
        <v>41</v>
      </c>
      <c r="AA20" s="34">
        <v>270</v>
      </c>
      <c r="AB20" s="10">
        <v>90</v>
      </c>
      <c r="AC20" s="81">
        <v>180</v>
      </c>
      <c r="AD20" s="10"/>
      <c r="AE20" s="124">
        <v>0</v>
      </c>
      <c r="AF20" s="124">
        <v>0</v>
      </c>
      <c r="AG20" s="124">
        <v>0</v>
      </c>
      <c r="AH20" s="124">
        <v>6</v>
      </c>
      <c r="AI20" s="124">
        <v>6</v>
      </c>
      <c r="AJ20" s="124">
        <v>6</v>
      </c>
      <c r="AK20" s="124">
        <v>6</v>
      </c>
      <c r="AL20" s="124">
        <v>6</v>
      </c>
      <c r="AM20" s="124">
        <v>6</v>
      </c>
      <c r="AN20" s="124">
        <v>6</v>
      </c>
      <c r="AO20" s="124">
        <v>6</v>
      </c>
      <c r="AP20" s="124">
        <v>2</v>
      </c>
    </row>
    <row r="21" spans="1:42" ht="60" x14ac:dyDescent="0.25">
      <c r="A21" s="34">
        <v>0</v>
      </c>
      <c r="B21" s="34">
        <v>0</v>
      </c>
      <c r="C21" s="34">
        <v>0</v>
      </c>
      <c r="D21" s="34">
        <v>0</v>
      </c>
      <c r="E21" s="74"/>
      <c r="F21" s="34">
        <v>0</v>
      </c>
      <c r="G21" s="34">
        <v>0</v>
      </c>
      <c r="H21" s="36">
        <v>0</v>
      </c>
      <c r="I21" s="39"/>
      <c r="J21" s="39"/>
      <c r="K21" s="39"/>
      <c r="L21" s="39"/>
      <c r="M21" s="39"/>
      <c r="N21" s="36">
        <f t="shared" si="0"/>
        <v>0</v>
      </c>
      <c r="O21" s="36">
        <f t="shared" si="0"/>
        <v>0</v>
      </c>
      <c r="P21" s="36">
        <f t="shared" si="0"/>
        <v>0</v>
      </c>
      <c r="Q21" s="39"/>
      <c r="R21" s="39"/>
      <c r="S21" s="36">
        <f t="shared" si="1"/>
        <v>0</v>
      </c>
      <c r="T21" s="37" t="s">
        <v>2460</v>
      </c>
      <c r="U21" s="37" t="s">
        <v>225</v>
      </c>
      <c r="V21" s="37">
        <v>22</v>
      </c>
      <c r="W21" s="10">
        <v>0</v>
      </c>
      <c r="X21" s="10"/>
      <c r="Y21" s="10">
        <v>0</v>
      </c>
      <c r="Z21" s="45">
        <v>0</v>
      </c>
      <c r="AA21" s="34">
        <v>30</v>
      </c>
      <c r="AB21" s="10"/>
      <c r="AC21" s="81"/>
      <c r="AD21" s="10"/>
      <c r="AE21" s="124">
        <v>0</v>
      </c>
      <c r="AF21" s="124">
        <v>0</v>
      </c>
      <c r="AG21" s="124">
        <v>0</v>
      </c>
      <c r="AH21" s="124">
        <v>0</v>
      </c>
      <c r="AI21" s="124">
        <v>0</v>
      </c>
      <c r="AJ21" s="124">
        <v>0</v>
      </c>
      <c r="AK21" s="124">
        <v>0</v>
      </c>
      <c r="AL21" s="124">
        <v>0</v>
      </c>
      <c r="AM21" s="124">
        <v>0</v>
      </c>
      <c r="AN21" s="124">
        <v>0</v>
      </c>
      <c r="AO21" s="124">
        <v>22</v>
      </c>
      <c r="AP21" s="124">
        <v>0</v>
      </c>
    </row>
    <row r="22" spans="1:42" ht="135" x14ac:dyDescent="0.25">
      <c r="A22" s="34" t="s">
        <v>23</v>
      </c>
      <c r="B22" s="34" t="s">
        <v>1573</v>
      </c>
      <c r="C22" s="34" t="s">
        <v>2331</v>
      </c>
      <c r="D22" s="34">
        <v>214530000</v>
      </c>
      <c r="E22" s="74" t="s">
        <v>2346</v>
      </c>
      <c r="F22" s="34" t="s">
        <v>2347</v>
      </c>
      <c r="G22" s="34" t="s">
        <v>2348</v>
      </c>
      <c r="H22" s="36">
        <v>1550000000</v>
      </c>
      <c r="I22" s="39">
        <v>2971815945</v>
      </c>
      <c r="J22" s="39">
        <v>3820625388.8224816</v>
      </c>
      <c r="K22" s="39"/>
      <c r="L22" s="39">
        <v>1049037128</v>
      </c>
      <c r="M22" s="39">
        <v>75088972</v>
      </c>
      <c r="N22" s="36">
        <f t="shared" si="0"/>
        <v>1550000000</v>
      </c>
      <c r="O22" s="36">
        <f t="shared" si="0"/>
        <v>4020853073</v>
      </c>
      <c r="P22" s="36">
        <f t="shared" si="0"/>
        <v>3895714360.8224816</v>
      </c>
      <c r="Q22" s="39">
        <v>3625484685.8224816</v>
      </c>
      <c r="R22" s="39">
        <v>75088972</v>
      </c>
      <c r="S22" s="36">
        <f t="shared" si="1"/>
        <v>3700573657.8224816</v>
      </c>
      <c r="T22" s="37" t="s">
        <v>2461</v>
      </c>
      <c r="U22" s="37" t="s">
        <v>225</v>
      </c>
      <c r="V22" s="37">
        <v>35</v>
      </c>
      <c r="W22" s="10">
        <v>69</v>
      </c>
      <c r="X22" s="10"/>
      <c r="Y22" s="10">
        <v>69</v>
      </c>
      <c r="Z22" s="34">
        <v>121</v>
      </c>
      <c r="AA22" s="34">
        <v>330</v>
      </c>
      <c r="AB22" s="10">
        <v>150</v>
      </c>
      <c r="AC22" s="81">
        <v>330</v>
      </c>
      <c r="AD22" s="10" t="s">
        <v>2462</v>
      </c>
      <c r="AE22" s="124">
        <v>0</v>
      </c>
      <c r="AF22" s="124">
        <v>3</v>
      </c>
      <c r="AG22" s="124">
        <v>3</v>
      </c>
      <c r="AH22" s="124">
        <v>4</v>
      </c>
      <c r="AI22" s="124">
        <v>4</v>
      </c>
      <c r="AJ22" s="124">
        <v>4</v>
      </c>
      <c r="AK22" s="124">
        <v>4</v>
      </c>
      <c r="AL22" s="124">
        <v>4</v>
      </c>
      <c r="AM22" s="124">
        <v>3</v>
      </c>
      <c r="AN22" s="124">
        <v>3</v>
      </c>
      <c r="AO22" s="124">
        <v>3</v>
      </c>
      <c r="AP22" s="124">
        <v>0</v>
      </c>
    </row>
    <row r="23" spans="1:42" ht="240" x14ac:dyDescent="0.25">
      <c r="A23" s="34" t="s">
        <v>23</v>
      </c>
      <c r="B23" s="34" t="s">
        <v>1573</v>
      </c>
      <c r="C23" s="34" t="s">
        <v>2331</v>
      </c>
      <c r="D23" s="34">
        <v>214510000</v>
      </c>
      <c r="E23" s="74" t="s">
        <v>2352</v>
      </c>
      <c r="F23" s="34" t="s">
        <v>2353</v>
      </c>
      <c r="G23" s="34" t="s">
        <v>2354</v>
      </c>
      <c r="H23" s="36">
        <v>25000000</v>
      </c>
      <c r="I23" s="39">
        <v>25895320</v>
      </c>
      <c r="J23" s="39">
        <v>585423</v>
      </c>
      <c r="K23" s="39"/>
      <c r="L23" s="39"/>
      <c r="M23" s="39">
        <f>500000*70</f>
        <v>35000000</v>
      </c>
      <c r="N23" s="36">
        <f t="shared" si="0"/>
        <v>25000000</v>
      </c>
      <c r="O23" s="36">
        <f t="shared" si="0"/>
        <v>25895320</v>
      </c>
      <c r="P23" s="36">
        <f t="shared" si="0"/>
        <v>35585423</v>
      </c>
      <c r="Q23" s="39">
        <v>585423</v>
      </c>
      <c r="R23" s="39">
        <f>500000*70</f>
        <v>35000000</v>
      </c>
      <c r="S23" s="36">
        <f t="shared" si="1"/>
        <v>35585423</v>
      </c>
      <c r="T23" s="37" t="s">
        <v>2463</v>
      </c>
      <c r="U23" s="37" t="s">
        <v>225</v>
      </c>
      <c r="V23" s="37">
        <v>1</v>
      </c>
      <c r="W23" s="10"/>
      <c r="X23" s="10"/>
      <c r="Y23" s="10"/>
      <c r="Z23" s="34">
        <v>1</v>
      </c>
      <c r="AA23" s="34">
        <v>270</v>
      </c>
      <c r="AB23" s="10"/>
      <c r="AC23" s="81">
        <v>180</v>
      </c>
      <c r="AD23" s="10" t="s">
        <v>2464</v>
      </c>
      <c r="AE23" s="124">
        <v>0</v>
      </c>
      <c r="AF23" s="124">
        <v>0</v>
      </c>
      <c r="AG23" s="124">
        <v>0</v>
      </c>
      <c r="AH23" s="124">
        <v>0.1111111111111111</v>
      </c>
      <c r="AI23" s="124">
        <v>0.1111111111111111</v>
      </c>
      <c r="AJ23" s="124">
        <v>0.1111111111111111</v>
      </c>
      <c r="AK23" s="124">
        <v>0.1111111111111111</v>
      </c>
      <c r="AL23" s="124">
        <v>0.1111111111111111</v>
      </c>
      <c r="AM23" s="124">
        <v>0.1111111111111111</v>
      </c>
      <c r="AN23" s="124">
        <v>0.1111111111111111</v>
      </c>
      <c r="AO23" s="124">
        <v>0.1111111111111111</v>
      </c>
      <c r="AP23" s="124">
        <v>0.1111111111111111</v>
      </c>
    </row>
    <row r="24" spans="1:42" ht="135" x14ac:dyDescent="0.25">
      <c r="A24" s="34" t="s">
        <v>23</v>
      </c>
      <c r="B24" s="34" t="s">
        <v>136</v>
      </c>
      <c r="C24" s="34" t="s">
        <v>137</v>
      </c>
      <c r="D24" s="34">
        <v>211180000</v>
      </c>
      <c r="E24" s="74" t="s">
        <v>2357</v>
      </c>
      <c r="F24" s="34" t="s">
        <v>2358</v>
      </c>
      <c r="G24" s="34" t="s">
        <v>2359</v>
      </c>
      <c r="H24" s="36">
        <v>1288454000</v>
      </c>
      <c r="I24" s="39">
        <v>1236915840</v>
      </c>
      <c r="J24" s="39">
        <v>774856138</v>
      </c>
      <c r="K24" s="39"/>
      <c r="L24" s="39"/>
      <c r="M24" s="39">
        <v>0</v>
      </c>
      <c r="N24" s="36">
        <f t="shared" si="0"/>
        <v>1288454000</v>
      </c>
      <c r="O24" s="36">
        <f t="shared" si="0"/>
        <v>1236915840</v>
      </c>
      <c r="P24" s="36">
        <f t="shared" si="0"/>
        <v>774856138</v>
      </c>
      <c r="Q24" s="39">
        <v>299830011</v>
      </c>
      <c r="R24" s="39"/>
      <c r="S24" s="36">
        <f t="shared" si="1"/>
        <v>299830011</v>
      </c>
      <c r="T24" s="37" t="s">
        <v>2465</v>
      </c>
      <c r="U24" s="37" t="s">
        <v>325</v>
      </c>
      <c r="V24" s="125">
        <v>1</v>
      </c>
      <c r="W24" s="395">
        <v>0.54700000000000004</v>
      </c>
      <c r="X24" s="10"/>
      <c r="Y24" s="10">
        <v>54.7</v>
      </c>
      <c r="Z24" s="396">
        <v>0.56299999999999994</v>
      </c>
      <c r="AA24" s="34">
        <v>330</v>
      </c>
      <c r="AB24" s="10">
        <v>40</v>
      </c>
      <c r="AC24" s="81">
        <v>180</v>
      </c>
      <c r="AD24" s="10" t="s">
        <v>2466</v>
      </c>
      <c r="AE24" s="124">
        <v>0</v>
      </c>
      <c r="AF24" s="124">
        <v>0</v>
      </c>
      <c r="AG24" s="124">
        <v>10</v>
      </c>
      <c r="AH24" s="124">
        <v>10</v>
      </c>
      <c r="AI24" s="124">
        <v>10</v>
      </c>
      <c r="AJ24" s="124">
        <v>10</v>
      </c>
      <c r="AK24" s="124">
        <v>10</v>
      </c>
      <c r="AL24" s="124">
        <v>10</v>
      </c>
      <c r="AM24" s="124">
        <v>10</v>
      </c>
      <c r="AN24" s="124">
        <v>10</v>
      </c>
      <c r="AO24" s="124">
        <v>10</v>
      </c>
      <c r="AP24" s="124">
        <v>10</v>
      </c>
    </row>
    <row r="25" spans="1:42" ht="210" x14ac:dyDescent="0.25">
      <c r="A25" s="34">
        <v>0</v>
      </c>
      <c r="B25" s="34">
        <v>0</v>
      </c>
      <c r="C25" s="34">
        <v>0</v>
      </c>
      <c r="D25" s="34">
        <v>0</v>
      </c>
      <c r="E25" s="74"/>
      <c r="F25" s="34">
        <v>0</v>
      </c>
      <c r="G25" s="34">
        <v>0</v>
      </c>
      <c r="H25" s="36">
        <v>0</v>
      </c>
      <c r="I25" s="39"/>
      <c r="J25" s="39"/>
      <c r="K25" s="39"/>
      <c r="L25" s="39"/>
      <c r="M25" s="39"/>
      <c r="N25" s="36">
        <f t="shared" si="0"/>
        <v>0</v>
      </c>
      <c r="O25" s="36">
        <f t="shared" si="0"/>
        <v>0</v>
      </c>
      <c r="P25" s="36">
        <f t="shared" si="0"/>
        <v>0</v>
      </c>
      <c r="Q25" s="39"/>
      <c r="R25" s="39"/>
      <c r="S25" s="36">
        <f t="shared" si="1"/>
        <v>0</v>
      </c>
      <c r="T25" s="37" t="s">
        <v>2467</v>
      </c>
      <c r="U25" s="37" t="s">
        <v>325</v>
      </c>
      <c r="V25" s="125">
        <v>0.7</v>
      </c>
      <c r="W25" s="126">
        <v>0.35</v>
      </c>
      <c r="X25" s="10"/>
      <c r="Y25" s="10"/>
      <c r="Z25" s="34">
        <v>0</v>
      </c>
      <c r="AA25" s="34">
        <v>240</v>
      </c>
      <c r="AB25" s="10">
        <v>18</v>
      </c>
      <c r="AC25" s="81">
        <v>18</v>
      </c>
      <c r="AD25" s="10" t="s">
        <v>2468</v>
      </c>
      <c r="AE25" s="124">
        <v>0</v>
      </c>
      <c r="AF25" s="124">
        <v>0</v>
      </c>
      <c r="AG25" s="124">
        <v>0</v>
      </c>
      <c r="AH25" s="124">
        <v>0</v>
      </c>
      <c r="AI25" s="124">
        <v>9</v>
      </c>
      <c r="AJ25" s="124">
        <v>9</v>
      </c>
      <c r="AK25" s="124">
        <v>9</v>
      </c>
      <c r="AL25" s="124">
        <v>9</v>
      </c>
      <c r="AM25" s="124">
        <v>9</v>
      </c>
      <c r="AN25" s="124">
        <v>9</v>
      </c>
      <c r="AO25" s="124">
        <v>9</v>
      </c>
      <c r="AP25" s="124">
        <v>7</v>
      </c>
    </row>
    <row r="26" spans="1:42" ht="60" x14ac:dyDescent="0.25">
      <c r="A26" s="34">
        <v>0</v>
      </c>
      <c r="B26" s="34">
        <v>0</v>
      </c>
      <c r="C26" s="34">
        <v>0</v>
      </c>
      <c r="D26" s="34">
        <v>0</v>
      </c>
      <c r="E26" s="74"/>
      <c r="F26" s="34">
        <v>0</v>
      </c>
      <c r="G26" s="34">
        <v>0</v>
      </c>
      <c r="H26" s="36">
        <v>0</v>
      </c>
      <c r="I26" s="39"/>
      <c r="J26" s="39"/>
      <c r="K26" s="39"/>
      <c r="L26" s="39"/>
      <c r="M26" s="39"/>
      <c r="N26" s="36">
        <f t="shared" si="0"/>
        <v>0</v>
      </c>
      <c r="O26" s="36">
        <f t="shared" si="0"/>
        <v>0</v>
      </c>
      <c r="P26" s="36">
        <f t="shared" si="0"/>
        <v>0</v>
      </c>
      <c r="Q26" s="39"/>
      <c r="R26" s="39"/>
      <c r="S26" s="36">
        <f t="shared" si="1"/>
        <v>0</v>
      </c>
      <c r="T26" s="37" t="s">
        <v>2469</v>
      </c>
      <c r="U26" s="37" t="s">
        <v>325</v>
      </c>
      <c r="V26" s="125">
        <v>0.5</v>
      </c>
      <c r="W26" s="126">
        <v>0.25</v>
      </c>
      <c r="X26" s="10"/>
      <c r="Y26" s="10"/>
      <c r="Z26" s="46">
        <v>0.6</v>
      </c>
      <c r="AA26" s="34">
        <v>150</v>
      </c>
      <c r="AB26" s="10"/>
      <c r="AC26" s="81">
        <v>180</v>
      </c>
      <c r="AD26" s="10" t="s">
        <v>2470</v>
      </c>
      <c r="AE26" s="124">
        <v>0</v>
      </c>
      <c r="AF26" s="124">
        <v>0</v>
      </c>
      <c r="AG26" s="124">
        <v>0</v>
      </c>
      <c r="AH26" s="124">
        <v>0</v>
      </c>
      <c r="AI26" s="124">
        <v>0</v>
      </c>
      <c r="AJ26" s="124">
        <v>0</v>
      </c>
      <c r="AK26" s="124">
        <v>10</v>
      </c>
      <c r="AL26" s="124">
        <v>10</v>
      </c>
      <c r="AM26" s="124">
        <v>10</v>
      </c>
      <c r="AN26" s="124">
        <v>10</v>
      </c>
      <c r="AO26" s="124">
        <v>10</v>
      </c>
      <c r="AP26" s="124">
        <v>0</v>
      </c>
    </row>
    <row r="27" spans="1:42" ht="165" x14ac:dyDescent="0.25">
      <c r="A27" s="34" t="s">
        <v>23</v>
      </c>
      <c r="B27" s="34" t="s">
        <v>1573</v>
      </c>
      <c r="C27" s="34" t="s">
        <v>2331</v>
      </c>
      <c r="D27" s="34">
        <v>214520000</v>
      </c>
      <c r="E27" s="74" t="s">
        <v>2360</v>
      </c>
      <c r="F27" s="34" t="s">
        <v>2361</v>
      </c>
      <c r="G27" s="34" t="s">
        <v>2362</v>
      </c>
      <c r="H27" s="36">
        <v>625000000</v>
      </c>
      <c r="I27" s="39">
        <v>563657000</v>
      </c>
      <c r="J27" s="39">
        <v>654042146.03024137</v>
      </c>
      <c r="K27" s="39"/>
      <c r="L27" s="39"/>
      <c r="M27" s="39">
        <v>0</v>
      </c>
      <c r="N27" s="36">
        <f t="shared" si="0"/>
        <v>625000000</v>
      </c>
      <c r="O27" s="36">
        <f t="shared" si="0"/>
        <v>563657000</v>
      </c>
      <c r="P27" s="36">
        <f t="shared" si="0"/>
        <v>654042146.03024137</v>
      </c>
      <c r="Q27" s="39">
        <v>654042146.03024137</v>
      </c>
      <c r="R27" s="39">
        <v>0</v>
      </c>
      <c r="S27" s="36">
        <f t="shared" si="1"/>
        <v>654042146.03024137</v>
      </c>
      <c r="T27" s="37" t="s">
        <v>2471</v>
      </c>
      <c r="U27" s="37" t="s">
        <v>225</v>
      </c>
      <c r="V27" s="37">
        <v>18</v>
      </c>
      <c r="W27" s="10">
        <v>9</v>
      </c>
      <c r="X27" s="10"/>
      <c r="Y27" s="10">
        <v>5</v>
      </c>
      <c r="Z27" s="10">
        <v>11</v>
      </c>
      <c r="AA27" s="34">
        <v>120</v>
      </c>
      <c r="AB27" s="10">
        <v>90</v>
      </c>
      <c r="AC27" s="81">
        <v>180</v>
      </c>
      <c r="AD27" s="10" t="s">
        <v>2472</v>
      </c>
      <c r="AE27" s="124">
        <v>0</v>
      </c>
      <c r="AF27" s="124">
        <v>0</v>
      </c>
      <c r="AG27" s="124">
        <v>0</v>
      </c>
      <c r="AH27" s="124">
        <v>5</v>
      </c>
      <c r="AI27" s="124">
        <v>5</v>
      </c>
      <c r="AJ27" s="124">
        <v>5</v>
      </c>
      <c r="AK27" s="124">
        <v>3</v>
      </c>
      <c r="AL27" s="124">
        <v>0</v>
      </c>
      <c r="AM27" s="124">
        <v>0</v>
      </c>
      <c r="AN27" s="124">
        <v>0</v>
      </c>
      <c r="AO27" s="124">
        <v>0</v>
      </c>
      <c r="AP27" s="124">
        <v>0</v>
      </c>
    </row>
    <row r="28" spans="1:42" ht="90" x14ac:dyDescent="0.25">
      <c r="A28" s="34" t="s">
        <v>156</v>
      </c>
      <c r="B28" s="34" t="s">
        <v>2367</v>
      </c>
      <c r="C28" s="34" t="s">
        <v>2368</v>
      </c>
      <c r="D28" s="34">
        <v>224110008</v>
      </c>
      <c r="E28" s="74" t="s">
        <v>2370</v>
      </c>
      <c r="F28" s="34" t="s">
        <v>2371</v>
      </c>
      <c r="G28" s="34" t="s">
        <v>2372</v>
      </c>
      <c r="H28" s="36">
        <v>3600000000</v>
      </c>
      <c r="I28" s="39">
        <v>3472843189</v>
      </c>
      <c r="J28" s="39">
        <v>4866013611.6602488</v>
      </c>
      <c r="K28" s="39"/>
      <c r="L28" s="39"/>
      <c r="M28" s="39">
        <v>200000000</v>
      </c>
      <c r="N28" s="36">
        <f t="shared" si="0"/>
        <v>3600000000</v>
      </c>
      <c r="O28" s="36">
        <f t="shared" si="0"/>
        <v>3472843189</v>
      </c>
      <c r="P28" s="36">
        <f t="shared" si="0"/>
        <v>5066013611.6602488</v>
      </c>
      <c r="Q28" s="39">
        <v>4866013611.6602488</v>
      </c>
      <c r="R28" s="39">
        <v>160000000</v>
      </c>
      <c r="S28" s="36">
        <f t="shared" si="1"/>
        <v>5026013611.6602488</v>
      </c>
      <c r="T28" s="37" t="s">
        <v>2471</v>
      </c>
      <c r="U28" s="37" t="s">
        <v>225</v>
      </c>
      <c r="V28" s="37">
        <v>8</v>
      </c>
      <c r="W28" s="10">
        <v>5</v>
      </c>
      <c r="X28" s="10"/>
      <c r="Y28" s="10">
        <v>5</v>
      </c>
      <c r="Z28" s="10">
        <v>8</v>
      </c>
      <c r="AA28" s="34">
        <v>120</v>
      </c>
      <c r="AB28" s="10">
        <v>120</v>
      </c>
      <c r="AC28" s="81">
        <v>180</v>
      </c>
      <c r="AD28" s="10" t="s">
        <v>2473</v>
      </c>
      <c r="AE28" s="124">
        <v>0</v>
      </c>
      <c r="AF28" s="124">
        <v>0</v>
      </c>
      <c r="AG28" s="124">
        <v>2</v>
      </c>
      <c r="AH28" s="124">
        <v>2</v>
      </c>
      <c r="AI28" s="124">
        <v>2</v>
      </c>
      <c r="AJ28" s="124">
        <v>2</v>
      </c>
      <c r="AK28" s="124">
        <v>0</v>
      </c>
      <c r="AL28" s="124">
        <v>0</v>
      </c>
      <c r="AM28" s="124">
        <v>0</v>
      </c>
      <c r="AN28" s="124">
        <v>0</v>
      </c>
      <c r="AO28" s="124">
        <v>0</v>
      </c>
      <c r="AP28" s="124">
        <v>0</v>
      </c>
    </row>
    <row r="29" spans="1:42" ht="144" x14ac:dyDescent="0.25">
      <c r="A29" s="34" t="s">
        <v>156</v>
      </c>
      <c r="B29" s="34" t="s">
        <v>2367</v>
      </c>
      <c r="C29" s="34" t="s">
        <v>2375</v>
      </c>
      <c r="D29" s="34">
        <v>224310000</v>
      </c>
      <c r="E29" s="74" t="s">
        <v>2377</v>
      </c>
      <c r="F29" s="34" t="s">
        <v>2378</v>
      </c>
      <c r="G29" s="34" t="s">
        <v>2379</v>
      </c>
      <c r="H29" s="36">
        <v>1200000000</v>
      </c>
      <c r="I29" s="39">
        <v>1239652395</v>
      </c>
      <c r="J29" s="39">
        <v>1213148346.9487796</v>
      </c>
      <c r="K29" s="39"/>
      <c r="L29" s="39">
        <v>110968875</v>
      </c>
      <c r="M29" s="397"/>
      <c r="N29" s="36">
        <f t="shared" si="0"/>
        <v>1200000000</v>
      </c>
      <c r="O29" s="36">
        <f t="shared" si="0"/>
        <v>1350621270</v>
      </c>
      <c r="P29" s="36">
        <f>J29+M29</f>
        <v>1213148346.9487796</v>
      </c>
      <c r="Q29" s="39">
        <v>1164751801</v>
      </c>
      <c r="R29" s="39"/>
      <c r="S29" s="36">
        <f>Q29+R29</f>
        <v>1164751801</v>
      </c>
      <c r="T29" s="37" t="s">
        <v>2474</v>
      </c>
      <c r="U29" s="37" t="s">
        <v>225</v>
      </c>
      <c r="V29" s="37">
        <v>75</v>
      </c>
      <c r="W29" s="10"/>
      <c r="X29" s="10"/>
      <c r="Y29" s="10"/>
      <c r="Z29" s="10">
        <v>142</v>
      </c>
      <c r="AA29" s="34">
        <v>30</v>
      </c>
      <c r="AB29" s="10"/>
      <c r="AC29" s="81">
        <v>90</v>
      </c>
      <c r="AD29" s="10" t="s">
        <v>2475</v>
      </c>
      <c r="AE29" s="124">
        <v>0</v>
      </c>
      <c r="AF29" s="124">
        <v>0</v>
      </c>
      <c r="AG29" s="124">
        <v>0</v>
      </c>
      <c r="AH29" s="124">
        <v>0</v>
      </c>
      <c r="AI29" s="124">
        <v>0</v>
      </c>
      <c r="AJ29" s="124">
        <v>0</v>
      </c>
      <c r="AK29" s="124">
        <v>0</v>
      </c>
      <c r="AL29" s="124">
        <v>75</v>
      </c>
      <c r="AM29" s="124">
        <v>0</v>
      </c>
      <c r="AN29" s="124">
        <v>0</v>
      </c>
      <c r="AO29" s="124">
        <v>0</v>
      </c>
      <c r="AP29" s="124">
        <v>0</v>
      </c>
    </row>
    <row r="30" spans="1:42" ht="120" x14ac:dyDescent="0.25">
      <c r="A30" s="34">
        <v>0</v>
      </c>
      <c r="B30" s="34">
        <v>0</v>
      </c>
      <c r="C30" s="34">
        <v>0</v>
      </c>
      <c r="D30" s="34">
        <v>0</v>
      </c>
      <c r="E30" s="74"/>
      <c r="F30" s="34">
        <v>0</v>
      </c>
      <c r="G30" s="34">
        <v>0</v>
      </c>
      <c r="H30" s="36">
        <v>0</v>
      </c>
      <c r="I30" s="39"/>
      <c r="J30" s="39"/>
      <c r="K30" s="39"/>
      <c r="L30" s="39"/>
      <c r="M30" s="39"/>
      <c r="N30" s="36">
        <f t="shared" si="0"/>
        <v>0</v>
      </c>
      <c r="O30" s="36">
        <f t="shared" si="0"/>
        <v>0</v>
      </c>
      <c r="P30" s="36">
        <f t="shared" si="0"/>
        <v>0</v>
      </c>
      <c r="Q30" s="39"/>
      <c r="R30" s="39"/>
      <c r="S30" s="36">
        <f t="shared" si="1"/>
        <v>0</v>
      </c>
      <c r="T30" s="37" t="s">
        <v>2476</v>
      </c>
      <c r="U30" s="37" t="s">
        <v>225</v>
      </c>
      <c r="V30" s="37">
        <v>60</v>
      </c>
      <c r="W30" s="10">
        <v>45</v>
      </c>
      <c r="X30" s="10"/>
      <c r="Y30" s="10"/>
      <c r="Z30" s="10">
        <v>45</v>
      </c>
      <c r="AA30" s="34">
        <v>270</v>
      </c>
      <c r="AB30" s="10">
        <v>90</v>
      </c>
      <c r="AC30" s="81">
        <v>150</v>
      </c>
      <c r="AD30" s="10" t="s">
        <v>2477</v>
      </c>
      <c r="AE30" s="124">
        <v>0</v>
      </c>
      <c r="AF30" s="124">
        <v>0</v>
      </c>
      <c r="AG30" s="124">
        <v>0</v>
      </c>
      <c r="AH30" s="124">
        <v>7</v>
      </c>
      <c r="AI30" s="124">
        <v>7</v>
      </c>
      <c r="AJ30" s="124">
        <v>7</v>
      </c>
      <c r="AK30" s="124">
        <v>7</v>
      </c>
      <c r="AL30" s="124">
        <v>7</v>
      </c>
      <c r="AM30" s="124">
        <v>7</v>
      </c>
      <c r="AN30" s="124">
        <v>7</v>
      </c>
      <c r="AO30" s="124">
        <v>7</v>
      </c>
      <c r="AP30" s="124">
        <v>4</v>
      </c>
    </row>
    <row r="31" spans="1:42" ht="96" x14ac:dyDescent="0.25">
      <c r="A31" s="34" t="s">
        <v>156</v>
      </c>
      <c r="B31" s="34" t="s">
        <v>2367</v>
      </c>
      <c r="C31" s="34" t="s">
        <v>2368</v>
      </c>
      <c r="D31" s="34">
        <v>224120007</v>
      </c>
      <c r="E31" s="74" t="s">
        <v>2383</v>
      </c>
      <c r="F31" s="34" t="s">
        <v>2384</v>
      </c>
      <c r="G31" s="34" t="s">
        <v>2385</v>
      </c>
      <c r="H31" s="36">
        <v>2300000000</v>
      </c>
      <c r="I31" s="39">
        <v>3103903023</v>
      </c>
      <c r="J31" s="39">
        <v>3108228785.016715</v>
      </c>
      <c r="K31" s="39"/>
      <c r="L31" s="39">
        <v>1405000000</v>
      </c>
      <c r="M31" s="39">
        <f>1400550069+1505800000</f>
        <v>2906350069</v>
      </c>
      <c r="N31" s="36">
        <f t="shared" si="0"/>
        <v>2300000000</v>
      </c>
      <c r="O31" s="36">
        <f t="shared" si="0"/>
        <v>4508903023</v>
      </c>
      <c r="P31" s="36">
        <f t="shared" si="0"/>
        <v>6014578854.016715</v>
      </c>
      <c r="Q31" s="39">
        <v>2918160180.016715</v>
      </c>
      <c r="R31" s="39">
        <f>685184700+1504976631</f>
        <v>2190161331</v>
      </c>
      <c r="S31" s="36">
        <f t="shared" si="1"/>
        <v>5108321511.016715</v>
      </c>
      <c r="T31" s="37" t="s">
        <v>2478</v>
      </c>
      <c r="U31" s="37" t="s">
        <v>225</v>
      </c>
      <c r="V31" s="37">
        <v>14</v>
      </c>
      <c r="W31" s="10">
        <v>4</v>
      </c>
      <c r="X31" s="10"/>
      <c r="Y31" s="10">
        <v>4</v>
      </c>
      <c r="Z31" s="10">
        <v>10</v>
      </c>
      <c r="AA31" s="34">
        <v>180</v>
      </c>
      <c r="AB31" s="10">
        <v>60</v>
      </c>
      <c r="AC31" s="81">
        <v>90</v>
      </c>
      <c r="AD31" s="10"/>
      <c r="AE31" s="124">
        <v>0</v>
      </c>
      <c r="AF31" s="124">
        <v>0</v>
      </c>
      <c r="AG31" s="124">
        <v>2</v>
      </c>
      <c r="AH31" s="124">
        <v>2</v>
      </c>
      <c r="AI31" s="124">
        <v>0</v>
      </c>
      <c r="AJ31" s="124">
        <v>3</v>
      </c>
      <c r="AK31" s="124">
        <v>3</v>
      </c>
      <c r="AL31" s="124">
        <v>2</v>
      </c>
      <c r="AM31" s="124">
        <v>2</v>
      </c>
      <c r="AN31" s="124">
        <v>0</v>
      </c>
      <c r="AO31" s="124">
        <v>0</v>
      </c>
      <c r="AP31" s="124">
        <v>0</v>
      </c>
    </row>
    <row r="32" spans="1:42" ht="48" x14ac:dyDescent="0.25">
      <c r="A32" s="34">
        <v>0</v>
      </c>
      <c r="B32" s="34">
        <v>0</v>
      </c>
      <c r="C32" s="34">
        <v>0</v>
      </c>
      <c r="D32" s="34">
        <v>0</v>
      </c>
      <c r="E32" s="74"/>
      <c r="F32" s="34">
        <v>0</v>
      </c>
      <c r="G32" s="34">
        <v>0</v>
      </c>
      <c r="H32" s="36">
        <v>0</v>
      </c>
      <c r="I32" s="39"/>
      <c r="J32" s="39"/>
      <c r="K32" s="39"/>
      <c r="L32" s="39"/>
      <c r="M32" s="39"/>
      <c r="N32" s="36">
        <f t="shared" si="0"/>
        <v>0</v>
      </c>
      <c r="O32" s="36">
        <f t="shared" si="0"/>
        <v>0</v>
      </c>
      <c r="P32" s="36">
        <f t="shared" si="0"/>
        <v>0</v>
      </c>
      <c r="Q32" s="39"/>
      <c r="R32" s="39"/>
      <c r="S32" s="36">
        <f t="shared" si="1"/>
        <v>0</v>
      </c>
      <c r="T32" s="37" t="s">
        <v>2479</v>
      </c>
      <c r="U32" s="37" t="s">
        <v>225</v>
      </c>
      <c r="V32" s="37">
        <v>4</v>
      </c>
      <c r="W32" s="10">
        <v>0</v>
      </c>
      <c r="X32" s="10"/>
      <c r="Y32" s="10"/>
      <c r="Z32" s="10">
        <v>4</v>
      </c>
      <c r="AA32" s="34">
        <v>30</v>
      </c>
      <c r="AB32" s="10"/>
      <c r="AC32" s="81">
        <v>60</v>
      </c>
      <c r="AD32" s="10"/>
      <c r="AE32" s="124">
        <v>0</v>
      </c>
      <c r="AF32" s="124">
        <v>0</v>
      </c>
      <c r="AG32" s="124">
        <v>0</v>
      </c>
      <c r="AH32" s="124">
        <v>0</v>
      </c>
      <c r="AI32" s="124">
        <v>0</v>
      </c>
      <c r="AJ32" s="124">
        <v>0</v>
      </c>
      <c r="AK32" s="124">
        <v>0</v>
      </c>
      <c r="AL32" s="124">
        <v>0</v>
      </c>
      <c r="AM32" s="124">
        <v>0</v>
      </c>
      <c r="AN32" s="124">
        <v>4</v>
      </c>
      <c r="AO32" s="124">
        <v>0</v>
      </c>
      <c r="AP32" s="124">
        <v>0</v>
      </c>
    </row>
    <row r="33" spans="1:42" ht="120" x14ac:dyDescent="0.25">
      <c r="A33" s="34">
        <v>0</v>
      </c>
      <c r="B33" s="34">
        <v>0</v>
      </c>
      <c r="C33" s="34">
        <v>0</v>
      </c>
      <c r="D33" s="34">
        <v>0</v>
      </c>
      <c r="E33" s="74"/>
      <c r="F33" s="34">
        <v>0</v>
      </c>
      <c r="G33" s="34">
        <v>0</v>
      </c>
      <c r="H33" s="36">
        <v>0</v>
      </c>
      <c r="I33" s="39"/>
      <c r="J33" s="39"/>
      <c r="K33" s="39"/>
      <c r="L33" s="39"/>
      <c r="M33" s="39"/>
      <c r="N33" s="36">
        <f t="shared" si="0"/>
        <v>0</v>
      </c>
      <c r="O33" s="36">
        <f t="shared" si="0"/>
        <v>0</v>
      </c>
      <c r="P33" s="36">
        <f t="shared" si="0"/>
        <v>0</v>
      </c>
      <c r="Q33" s="39"/>
      <c r="R33" s="39"/>
      <c r="S33" s="36">
        <f t="shared" si="1"/>
        <v>0</v>
      </c>
      <c r="T33" s="37" t="s">
        <v>2480</v>
      </c>
      <c r="U33" s="37" t="s">
        <v>225</v>
      </c>
      <c r="V33" s="37">
        <v>33</v>
      </c>
      <c r="W33" s="10">
        <v>20</v>
      </c>
      <c r="X33" s="10"/>
      <c r="Y33" s="10"/>
      <c r="Z33" s="10">
        <v>20</v>
      </c>
      <c r="AA33" s="34">
        <v>30</v>
      </c>
      <c r="AB33" s="10"/>
      <c r="AC33" s="81">
        <v>30</v>
      </c>
      <c r="AD33" s="10" t="s">
        <v>2481</v>
      </c>
      <c r="AE33" s="124">
        <v>0</v>
      </c>
      <c r="AF33" s="124">
        <v>0</v>
      </c>
      <c r="AG33" s="124">
        <v>0</v>
      </c>
      <c r="AH33" s="124">
        <v>0</v>
      </c>
      <c r="AI33" s="124">
        <v>0</v>
      </c>
      <c r="AJ33" s="124">
        <v>0</v>
      </c>
      <c r="AK33" s="124">
        <v>0</v>
      </c>
      <c r="AL33" s="124">
        <v>33</v>
      </c>
      <c r="AM33" s="124">
        <v>0</v>
      </c>
      <c r="AN33" s="124">
        <v>0</v>
      </c>
      <c r="AO33" s="124">
        <v>0</v>
      </c>
      <c r="AP33" s="124">
        <v>0</v>
      </c>
    </row>
    <row r="34" spans="1:42" ht="24" x14ac:dyDescent="0.25">
      <c r="A34" s="34">
        <v>0</v>
      </c>
      <c r="B34" s="34">
        <v>0</v>
      </c>
      <c r="C34" s="34">
        <v>0</v>
      </c>
      <c r="D34" s="34">
        <v>0</v>
      </c>
      <c r="E34" s="74"/>
      <c r="F34" s="34">
        <v>0</v>
      </c>
      <c r="G34" s="34">
        <v>0</v>
      </c>
      <c r="H34" s="36">
        <v>0</v>
      </c>
      <c r="I34" s="39"/>
      <c r="J34" s="39"/>
      <c r="K34" s="39"/>
      <c r="L34" s="39"/>
      <c r="M34" s="39"/>
      <c r="N34" s="36">
        <f t="shared" si="0"/>
        <v>0</v>
      </c>
      <c r="O34" s="36">
        <f t="shared" si="0"/>
        <v>0</v>
      </c>
      <c r="P34" s="36">
        <f t="shared" si="0"/>
        <v>0</v>
      </c>
      <c r="Q34" s="39"/>
      <c r="R34" s="39"/>
      <c r="S34" s="36">
        <f t="shared" si="1"/>
        <v>0</v>
      </c>
      <c r="T34" s="37" t="s">
        <v>2482</v>
      </c>
      <c r="U34" s="37" t="s">
        <v>225</v>
      </c>
      <c r="V34" s="37">
        <v>1</v>
      </c>
      <c r="W34" s="10"/>
      <c r="X34" s="10"/>
      <c r="Y34" s="10"/>
      <c r="Z34" s="10">
        <v>1</v>
      </c>
      <c r="AA34" s="34">
        <v>70</v>
      </c>
      <c r="AB34" s="10"/>
      <c r="AC34" s="81">
        <f>30*4</f>
        <v>120</v>
      </c>
      <c r="AD34" s="10"/>
      <c r="AE34" s="124">
        <v>0</v>
      </c>
      <c r="AF34" s="124">
        <v>0</v>
      </c>
      <c r="AG34" s="124">
        <v>0</v>
      </c>
      <c r="AH34" s="124">
        <v>0</v>
      </c>
      <c r="AI34" s="124">
        <v>0</v>
      </c>
      <c r="AJ34" s="124">
        <v>0.5</v>
      </c>
      <c r="AK34" s="124">
        <v>0.5</v>
      </c>
      <c r="AL34" s="124">
        <v>0</v>
      </c>
      <c r="AM34" s="124">
        <v>0</v>
      </c>
      <c r="AN34" s="124">
        <v>0</v>
      </c>
      <c r="AO34" s="124">
        <v>0</v>
      </c>
      <c r="AP34" s="124">
        <v>0</v>
      </c>
    </row>
    <row r="35" spans="1:42" ht="144" x14ac:dyDescent="0.25">
      <c r="A35" s="34" t="s">
        <v>156</v>
      </c>
      <c r="B35" s="34" t="s">
        <v>2367</v>
      </c>
      <c r="C35" s="34" t="s">
        <v>2375</v>
      </c>
      <c r="D35" s="34">
        <v>224320000</v>
      </c>
      <c r="E35" s="74" t="s">
        <v>2390</v>
      </c>
      <c r="F35" s="34" t="s">
        <v>2391</v>
      </c>
      <c r="G35" s="34" t="s">
        <v>2392</v>
      </c>
      <c r="H35" s="36">
        <v>3483329338</v>
      </c>
      <c r="I35" s="36">
        <v>9250927759</v>
      </c>
      <c r="J35" s="36">
        <v>9760053649.0512199</v>
      </c>
      <c r="K35" s="36"/>
      <c r="L35" s="36">
        <v>8380411898</v>
      </c>
      <c r="M35" s="36">
        <f>5761474292+250000000+170000000</f>
        <v>6181474292</v>
      </c>
      <c r="N35" s="36">
        <f t="shared" si="0"/>
        <v>3483329338</v>
      </c>
      <c r="O35" s="36">
        <f t="shared" si="0"/>
        <v>17631339657</v>
      </c>
      <c r="P35" s="36">
        <f t="shared" si="0"/>
        <v>15941527941.05122</v>
      </c>
      <c r="Q35" s="36">
        <v>9760053649.0512199</v>
      </c>
      <c r="R35" s="36">
        <f>5761474292+250000000+170000000</f>
        <v>6181474292</v>
      </c>
      <c r="S35" s="36">
        <f t="shared" si="1"/>
        <v>15941527941.05122</v>
      </c>
      <c r="T35" s="37" t="s">
        <v>2483</v>
      </c>
      <c r="U35" s="37" t="s">
        <v>225</v>
      </c>
      <c r="V35" s="37">
        <v>6</v>
      </c>
      <c r="W35" s="10">
        <v>10</v>
      </c>
      <c r="X35" s="10"/>
      <c r="Y35" s="10">
        <v>0</v>
      </c>
      <c r="Z35" s="10">
        <v>7</v>
      </c>
      <c r="AA35" s="34">
        <v>180</v>
      </c>
      <c r="AB35" s="10">
        <v>30</v>
      </c>
      <c r="AC35" s="81">
        <v>180</v>
      </c>
      <c r="AD35" s="10" t="s">
        <v>2484</v>
      </c>
      <c r="AE35" s="124">
        <v>0</v>
      </c>
      <c r="AF35" s="124">
        <v>0</v>
      </c>
      <c r="AG35" s="124">
        <v>0</v>
      </c>
      <c r="AH35" s="124">
        <v>1</v>
      </c>
      <c r="AI35" s="124">
        <v>1</v>
      </c>
      <c r="AJ35" s="124">
        <v>1</v>
      </c>
      <c r="AK35" s="124">
        <v>1</v>
      </c>
      <c r="AL35" s="124">
        <v>1</v>
      </c>
      <c r="AM35" s="124">
        <v>1</v>
      </c>
      <c r="AN35" s="124">
        <v>0</v>
      </c>
      <c r="AO35" s="124">
        <v>0</v>
      </c>
      <c r="AP35" s="124">
        <v>0</v>
      </c>
    </row>
    <row r="36" spans="1:42" ht="165" x14ac:dyDescent="0.25">
      <c r="A36" s="34">
        <v>0</v>
      </c>
      <c r="B36" s="34">
        <v>0</v>
      </c>
      <c r="C36" s="34">
        <v>0</v>
      </c>
      <c r="D36" s="34">
        <v>0</v>
      </c>
      <c r="E36" s="74"/>
      <c r="F36" s="34">
        <v>0</v>
      </c>
      <c r="G36" s="34">
        <v>0</v>
      </c>
      <c r="H36" s="36">
        <v>0</v>
      </c>
      <c r="I36" s="39"/>
      <c r="J36" s="39"/>
      <c r="K36" s="39"/>
      <c r="L36" s="39"/>
      <c r="M36" s="39"/>
      <c r="N36" s="36">
        <f t="shared" si="0"/>
        <v>0</v>
      </c>
      <c r="O36" s="36">
        <f t="shared" si="0"/>
        <v>0</v>
      </c>
      <c r="P36" s="36">
        <f t="shared" si="0"/>
        <v>0</v>
      </c>
      <c r="Q36" s="39"/>
      <c r="R36" s="39"/>
      <c r="S36" s="36">
        <f t="shared" si="1"/>
        <v>0</v>
      </c>
      <c r="T36" s="37" t="s">
        <v>2485</v>
      </c>
      <c r="U36" s="37" t="s">
        <v>225</v>
      </c>
      <c r="V36" s="37">
        <v>6</v>
      </c>
      <c r="W36" s="10">
        <v>39</v>
      </c>
      <c r="X36" s="10"/>
      <c r="Y36" s="10">
        <v>5</v>
      </c>
      <c r="Z36" s="10">
        <v>41</v>
      </c>
      <c r="AA36" s="34">
        <v>180</v>
      </c>
      <c r="AB36" s="10"/>
      <c r="AC36" s="81">
        <v>180</v>
      </c>
      <c r="AD36" s="10" t="s">
        <v>2486</v>
      </c>
      <c r="AE36" s="124">
        <v>0</v>
      </c>
      <c r="AF36" s="124">
        <v>0</v>
      </c>
      <c r="AG36" s="124">
        <v>0</v>
      </c>
      <c r="AH36" s="124">
        <v>0</v>
      </c>
      <c r="AI36" s="124">
        <v>0</v>
      </c>
      <c r="AJ36" s="124">
        <v>0</v>
      </c>
      <c r="AK36" s="124">
        <v>6</v>
      </c>
      <c r="AL36" s="124">
        <v>0</v>
      </c>
      <c r="AM36" s="124">
        <v>0</v>
      </c>
      <c r="AN36" s="124">
        <v>0</v>
      </c>
      <c r="AO36" s="124">
        <v>0</v>
      </c>
      <c r="AP36" s="124">
        <v>0</v>
      </c>
    </row>
    <row r="37" spans="1:42" ht="60" x14ac:dyDescent="0.25">
      <c r="A37" s="34">
        <v>0</v>
      </c>
      <c r="B37" s="34">
        <v>0</v>
      </c>
      <c r="C37" s="34">
        <v>0</v>
      </c>
      <c r="D37" s="34">
        <v>0</v>
      </c>
      <c r="E37" s="74"/>
      <c r="F37" s="34">
        <v>0</v>
      </c>
      <c r="G37" s="34">
        <v>0</v>
      </c>
      <c r="H37" s="36">
        <v>0</v>
      </c>
      <c r="I37" s="39"/>
      <c r="J37" s="39"/>
      <c r="K37" s="39"/>
      <c r="L37" s="39"/>
      <c r="M37" s="39"/>
      <c r="N37" s="36">
        <f t="shared" si="0"/>
        <v>0</v>
      </c>
      <c r="O37" s="36">
        <f t="shared" si="0"/>
        <v>0</v>
      </c>
      <c r="P37" s="36">
        <f t="shared" si="0"/>
        <v>0</v>
      </c>
      <c r="Q37" s="39"/>
      <c r="R37" s="39"/>
      <c r="S37" s="36">
        <f t="shared" si="1"/>
        <v>0</v>
      </c>
      <c r="T37" s="37" t="s">
        <v>2487</v>
      </c>
      <c r="U37" s="37" t="s">
        <v>225</v>
      </c>
      <c r="V37" s="37">
        <v>3</v>
      </c>
      <c r="W37" s="10">
        <v>5</v>
      </c>
      <c r="X37" s="10"/>
      <c r="Y37" s="10">
        <v>1</v>
      </c>
      <c r="Z37" s="10">
        <v>7</v>
      </c>
      <c r="AA37" s="34">
        <v>90</v>
      </c>
      <c r="AB37" s="10">
        <v>0</v>
      </c>
      <c r="AC37" s="81">
        <v>90</v>
      </c>
      <c r="AD37" s="10"/>
      <c r="AE37" s="124">
        <v>0</v>
      </c>
      <c r="AF37" s="124">
        <v>0</v>
      </c>
      <c r="AG37" s="124">
        <v>0</v>
      </c>
      <c r="AH37" s="124">
        <v>0</v>
      </c>
      <c r="AI37" s="124">
        <v>1</v>
      </c>
      <c r="AJ37" s="124">
        <v>1</v>
      </c>
      <c r="AK37" s="124">
        <v>1</v>
      </c>
      <c r="AL37" s="124">
        <v>0</v>
      </c>
      <c r="AM37" s="124">
        <v>0</v>
      </c>
      <c r="AN37" s="124">
        <v>0</v>
      </c>
      <c r="AO37" s="124">
        <v>0</v>
      </c>
      <c r="AP37" s="124">
        <v>0</v>
      </c>
    </row>
    <row r="38" spans="1:42" ht="156" x14ac:dyDescent="0.25">
      <c r="A38" s="34" t="s">
        <v>156</v>
      </c>
      <c r="B38" s="34" t="s">
        <v>2367</v>
      </c>
      <c r="C38" s="34" t="s">
        <v>2397</v>
      </c>
      <c r="D38" s="34">
        <v>224220000</v>
      </c>
      <c r="E38" s="74" t="s">
        <v>2399</v>
      </c>
      <c r="F38" s="34" t="s">
        <v>2400</v>
      </c>
      <c r="G38" s="34" t="s">
        <v>2401</v>
      </c>
      <c r="H38" s="36">
        <v>700000000</v>
      </c>
      <c r="I38" s="39">
        <v>752255529</v>
      </c>
      <c r="J38" s="39">
        <v>631702578.43546987</v>
      </c>
      <c r="K38" s="39"/>
      <c r="L38" s="39"/>
      <c r="M38" s="39">
        <v>0</v>
      </c>
      <c r="N38" s="36">
        <f t="shared" si="0"/>
        <v>700000000</v>
      </c>
      <c r="O38" s="36">
        <f t="shared" si="0"/>
        <v>752255529</v>
      </c>
      <c r="P38" s="36">
        <f t="shared" si="0"/>
        <v>631702578.43546987</v>
      </c>
      <c r="Q38" s="39">
        <v>611935892.43546987</v>
      </c>
      <c r="R38" s="39">
        <v>0</v>
      </c>
      <c r="S38" s="36">
        <f t="shared" si="1"/>
        <v>611935892.43546987</v>
      </c>
      <c r="T38" s="37" t="s">
        <v>2488</v>
      </c>
      <c r="U38" s="37" t="s">
        <v>225</v>
      </c>
      <c r="V38" s="37">
        <v>25</v>
      </c>
      <c r="W38" s="10">
        <v>7</v>
      </c>
      <c r="X38" s="10"/>
      <c r="Y38" s="10">
        <v>7</v>
      </c>
      <c r="Z38" s="10">
        <v>119</v>
      </c>
      <c r="AA38" s="34">
        <v>210</v>
      </c>
      <c r="AB38" s="10">
        <v>60</v>
      </c>
      <c r="AC38" s="81">
        <v>180</v>
      </c>
      <c r="AD38" s="10" t="s">
        <v>2489</v>
      </c>
      <c r="AE38" s="124">
        <v>0</v>
      </c>
      <c r="AF38" s="124">
        <v>0</v>
      </c>
      <c r="AG38" s="124">
        <v>0</v>
      </c>
      <c r="AH38" s="124">
        <v>3</v>
      </c>
      <c r="AI38" s="124">
        <v>3</v>
      </c>
      <c r="AJ38" s="124">
        <v>3</v>
      </c>
      <c r="AK38" s="124">
        <v>3</v>
      </c>
      <c r="AL38" s="124">
        <v>3</v>
      </c>
      <c r="AM38" s="124">
        <v>3</v>
      </c>
      <c r="AN38" s="124">
        <v>3</v>
      </c>
      <c r="AO38" s="124">
        <v>3</v>
      </c>
      <c r="AP38" s="124">
        <v>1</v>
      </c>
    </row>
    <row r="39" spans="1:42" ht="156" x14ac:dyDescent="0.25">
      <c r="A39" s="34" t="s">
        <v>156</v>
      </c>
      <c r="B39" s="34" t="s">
        <v>2367</v>
      </c>
      <c r="C39" s="34" t="s">
        <v>2397</v>
      </c>
      <c r="D39" s="34">
        <v>224210000</v>
      </c>
      <c r="E39" s="74" t="s">
        <v>2404</v>
      </c>
      <c r="F39" s="34" t="s">
        <v>2405</v>
      </c>
      <c r="G39" s="34" t="s">
        <v>2406</v>
      </c>
      <c r="H39" s="36">
        <v>240000000</v>
      </c>
      <c r="I39" s="39">
        <v>303372773</v>
      </c>
      <c r="J39" s="39"/>
      <c r="K39" s="39"/>
      <c r="L39" s="39"/>
      <c r="M39" s="39">
        <v>137316757.74825782</v>
      </c>
      <c r="N39" s="36">
        <f t="shared" si="0"/>
        <v>240000000</v>
      </c>
      <c r="O39" s="36">
        <f t="shared" si="0"/>
        <v>303372773</v>
      </c>
      <c r="P39" s="36">
        <f t="shared" si="0"/>
        <v>137316757.74825782</v>
      </c>
      <c r="Q39" s="39">
        <v>83924013.748257831</v>
      </c>
      <c r="R39" s="39">
        <v>0</v>
      </c>
      <c r="S39" s="36">
        <f t="shared" si="1"/>
        <v>83924013.748257831</v>
      </c>
      <c r="T39" s="37" t="s">
        <v>2490</v>
      </c>
      <c r="U39" s="37" t="s">
        <v>225</v>
      </c>
      <c r="V39" s="37">
        <v>1</v>
      </c>
      <c r="W39" s="10">
        <v>0</v>
      </c>
      <c r="X39" s="10"/>
      <c r="Y39" s="10">
        <v>5</v>
      </c>
      <c r="Z39" s="10">
        <v>5</v>
      </c>
      <c r="AA39" s="34">
        <v>180</v>
      </c>
      <c r="AB39" s="10"/>
      <c r="AC39" s="81">
        <v>180</v>
      </c>
      <c r="AD39" s="10" t="s">
        <v>2491</v>
      </c>
      <c r="AE39" s="124">
        <v>0</v>
      </c>
      <c r="AF39" s="124">
        <v>0.16666666666666666</v>
      </c>
      <c r="AG39" s="124">
        <v>0.16666666666666666</v>
      </c>
      <c r="AH39" s="124">
        <v>0.16666666666666666</v>
      </c>
      <c r="AI39" s="124">
        <v>0.16666666666666666</v>
      </c>
      <c r="AJ39" s="124">
        <v>0.16666666666666666</v>
      </c>
      <c r="AK39" s="124">
        <v>0.16666666666666666</v>
      </c>
      <c r="AL39" s="124">
        <v>0</v>
      </c>
      <c r="AM39" s="124">
        <v>0</v>
      </c>
      <c r="AN39" s="124">
        <v>0</v>
      </c>
      <c r="AO39" s="124">
        <v>0</v>
      </c>
      <c r="AP39" s="124">
        <v>0</v>
      </c>
    </row>
    <row r="40" spans="1:42" ht="135" x14ac:dyDescent="0.25">
      <c r="A40" s="34">
        <v>0</v>
      </c>
      <c r="B40" s="34">
        <v>0</v>
      </c>
      <c r="C40" s="34">
        <v>0</v>
      </c>
      <c r="D40" s="34">
        <v>0</v>
      </c>
      <c r="E40" s="74"/>
      <c r="F40" s="34">
        <v>0</v>
      </c>
      <c r="G40" s="34">
        <v>0</v>
      </c>
      <c r="H40" s="36">
        <v>0</v>
      </c>
      <c r="I40" s="39"/>
      <c r="J40" s="39"/>
      <c r="K40" s="39"/>
      <c r="L40" s="39"/>
      <c r="M40" s="39"/>
      <c r="N40" s="36">
        <f t="shared" si="0"/>
        <v>0</v>
      </c>
      <c r="O40" s="36">
        <f t="shared" si="0"/>
        <v>0</v>
      </c>
      <c r="P40" s="36">
        <f t="shared" si="0"/>
        <v>0</v>
      </c>
      <c r="Q40" s="39"/>
      <c r="R40" s="39"/>
      <c r="S40" s="36">
        <f t="shared" si="1"/>
        <v>0</v>
      </c>
      <c r="T40" s="37" t="s">
        <v>2492</v>
      </c>
      <c r="U40" s="37" t="s">
        <v>325</v>
      </c>
      <c r="V40" s="125">
        <v>0.6</v>
      </c>
      <c r="W40" s="10">
        <v>0</v>
      </c>
      <c r="X40" s="10"/>
      <c r="Y40" s="10">
        <v>0</v>
      </c>
      <c r="Z40" s="398">
        <v>0.2</v>
      </c>
      <c r="AA40" s="34">
        <v>180</v>
      </c>
      <c r="AB40" s="10"/>
      <c r="AC40" s="81">
        <v>180</v>
      </c>
      <c r="AD40" s="10" t="s">
        <v>2493</v>
      </c>
      <c r="AE40" s="124">
        <v>0</v>
      </c>
      <c r="AF40" s="124">
        <v>0</v>
      </c>
      <c r="AG40" s="124">
        <v>0</v>
      </c>
      <c r="AH40" s="124">
        <v>0</v>
      </c>
      <c r="AI40" s="124">
        <v>0</v>
      </c>
      <c r="AJ40" s="124">
        <v>10</v>
      </c>
      <c r="AK40" s="124">
        <v>10</v>
      </c>
      <c r="AL40" s="124">
        <v>10</v>
      </c>
      <c r="AM40" s="124">
        <v>10</v>
      </c>
      <c r="AN40" s="124">
        <v>10</v>
      </c>
      <c r="AO40" s="124">
        <v>10</v>
      </c>
      <c r="AP40" s="124">
        <v>0</v>
      </c>
    </row>
    <row r="41" spans="1:42" ht="120" x14ac:dyDescent="0.25">
      <c r="A41" s="34" t="s">
        <v>156</v>
      </c>
      <c r="B41" s="34" t="s">
        <v>2367</v>
      </c>
      <c r="C41" s="34" t="s">
        <v>2368</v>
      </c>
      <c r="D41" s="34">
        <v>224110007</v>
      </c>
      <c r="E41" s="74" t="s">
        <v>2409</v>
      </c>
      <c r="F41" s="34" t="s">
        <v>2410</v>
      </c>
      <c r="G41" s="34" t="s">
        <v>2411</v>
      </c>
      <c r="H41" s="36">
        <v>1700000000</v>
      </c>
      <c r="I41" s="39">
        <v>1665101697</v>
      </c>
      <c r="J41" s="39">
        <v>1877555385.1044385</v>
      </c>
      <c r="K41" s="39"/>
      <c r="L41" s="39">
        <v>1786777839</v>
      </c>
      <c r="M41" s="39">
        <v>1786777839</v>
      </c>
      <c r="N41" s="36">
        <f t="shared" si="0"/>
        <v>1700000000</v>
      </c>
      <c r="O41" s="36">
        <f t="shared" si="0"/>
        <v>3451879536</v>
      </c>
      <c r="P41" s="36">
        <f t="shared" si="0"/>
        <v>3664333224.1044388</v>
      </c>
      <c r="Q41" s="39">
        <v>1420998495.1044385</v>
      </c>
      <c r="R41" s="39">
        <v>1786777839</v>
      </c>
      <c r="S41" s="36">
        <f t="shared" si="1"/>
        <v>3207776334.1044388</v>
      </c>
      <c r="T41" s="37" t="s">
        <v>2494</v>
      </c>
      <c r="U41" s="37" t="s">
        <v>225</v>
      </c>
      <c r="V41" s="37">
        <v>1</v>
      </c>
      <c r="W41" s="10"/>
      <c r="X41" s="10"/>
      <c r="Y41" s="10"/>
      <c r="Z41" s="34">
        <v>1</v>
      </c>
      <c r="AA41" s="34">
        <v>30</v>
      </c>
      <c r="AB41" s="10"/>
      <c r="AC41" s="81">
        <v>90</v>
      </c>
      <c r="AD41" s="10" t="s">
        <v>2495</v>
      </c>
      <c r="AE41" s="124">
        <v>0</v>
      </c>
      <c r="AF41" s="124">
        <v>0</v>
      </c>
      <c r="AG41" s="124">
        <v>0</v>
      </c>
      <c r="AH41" s="124">
        <v>0</v>
      </c>
      <c r="AI41" s="124">
        <v>0</v>
      </c>
      <c r="AJ41" s="124">
        <v>1</v>
      </c>
      <c r="AK41" s="124">
        <v>0</v>
      </c>
      <c r="AL41" s="124">
        <v>0</v>
      </c>
      <c r="AM41" s="124">
        <v>0</v>
      </c>
      <c r="AN41" s="124">
        <v>0</v>
      </c>
      <c r="AO41" s="124">
        <v>0</v>
      </c>
      <c r="AP41" s="124">
        <v>0</v>
      </c>
    </row>
    <row r="42" spans="1:42" ht="60" x14ac:dyDescent="0.25">
      <c r="A42" s="34">
        <v>0</v>
      </c>
      <c r="B42" s="34">
        <v>0</v>
      </c>
      <c r="C42" s="34">
        <v>0</v>
      </c>
      <c r="D42" s="34">
        <v>0</v>
      </c>
      <c r="E42" s="74"/>
      <c r="F42" s="34">
        <v>0</v>
      </c>
      <c r="G42" s="34">
        <v>0</v>
      </c>
      <c r="H42" s="36">
        <v>0</v>
      </c>
      <c r="I42" s="39"/>
      <c r="J42" s="39"/>
      <c r="K42" s="39"/>
      <c r="L42" s="39"/>
      <c r="M42" s="39"/>
      <c r="N42" s="36">
        <f t="shared" si="0"/>
        <v>0</v>
      </c>
      <c r="O42" s="36">
        <f t="shared" si="0"/>
        <v>0</v>
      </c>
      <c r="P42" s="36">
        <f t="shared" si="0"/>
        <v>0</v>
      </c>
      <c r="Q42" s="39"/>
      <c r="R42" s="39"/>
      <c r="S42" s="36">
        <f t="shared" si="1"/>
        <v>0</v>
      </c>
      <c r="T42" s="37" t="s">
        <v>2496</v>
      </c>
      <c r="U42" s="37" t="s">
        <v>225</v>
      </c>
      <c r="V42" s="37">
        <v>45</v>
      </c>
      <c r="W42" s="10"/>
      <c r="X42" s="10"/>
      <c r="Y42" s="10"/>
      <c r="Z42" s="34">
        <v>45</v>
      </c>
      <c r="AA42" s="34">
        <v>60</v>
      </c>
      <c r="AB42" s="10"/>
      <c r="AC42" s="81">
        <v>90</v>
      </c>
      <c r="AD42" s="10" t="s">
        <v>2497</v>
      </c>
      <c r="AE42" s="124">
        <v>0</v>
      </c>
      <c r="AF42" s="124">
        <v>0</v>
      </c>
      <c r="AG42" s="124">
        <v>22</v>
      </c>
      <c r="AH42" s="124">
        <v>23</v>
      </c>
      <c r="AI42" s="124">
        <v>0</v>
      </c>
      <c r="AJ42" s="124">
        <v>0</v>
      </c>
      <c r="AK42" s="124">
        <v>0</v>
      </c>
      <c r="AL42" s="124">
        <v>0</v>
      </c>
      <c r="AM42" s="124">
        <v>0</v>
      </c>
      <c r="AN42" s="124">
        <v>0</v>
      </c>
      <c r="AO42" s="124">
        <v>0</v>
      </c>
      <c r="AP42" s="124">
        <v>0</v>
      </c>
    </row>
    <row r="43" spans="1:42" ht="120" x14ac:dyDescent="0.25">
      <c r="A43" s="34">
        <v>0</v>
      </c>
      <c r="B43" s="34">
        <v>0</v>
      </c>
      <c r="C43" s="34">
        <v>0</v>
      </c>
      <c r="D43" s="34">
        <v>0</v>
      </c>
      <c r="E43" s="74"/>
      <c r="F43" s="34">
        <v>0</v>
      </c>
      <c r="G43" s="34">
        <v>0</v>
      </c>
      <c r="H43" s="36">
        <v>0</v>
      </c>
      <c r="I43" s="39"/>
      <c r="J43" s="39"/>
      <c r="K43" s="39"/>
      <c r="L43" s="39"/>
      <c r="M43" s="39"/>
      <c r="N43" s="36">
        <f t="shared" si="0"/>
        <v>0</v>
      </c>
      <c r="O43" s="36">
        <f t="shared" si="0"/>
        <v>0</v>
      </c>
      <c r="P43" s="36">
        <f t="shared" si="0"/>
        <v>0</v>
      </c>
      <c r="Q43" s="39"/>
      <c r="R43" s="39"/>
      <c r="S43" s="36">
        <f t="shared" si="1"/>
        <v>0</v>
      </c>
      <c r="T43" s="37" t="s">
        <v>2498</v>
      </c>
      <c r="U43" s="37" t="s">
        <v>225</v>
      </c>
      <c r="V43" s="37">
        <v>11</v>
      </c>
      <c r="W43" s="10">
        <v>11</v>
      </c>
      <c r="X43" s="10"/>
      <c r="Y43" s="10">
        <v>11</v>
      </c>
      <c r="Z43" s="34">
        <v>11</v>
      </c>
      <c r="AA43" s="34">
        <v>30</v>
      </c>
      <c r="AB43" s="10">
        <v>30</v>
      </c>
      <c r="AC43" s="81">
        <v>180</v>
      </c>
      <c r="AD43" s="10" t="s">
        <v>2499</v>
      </c>
      <c r="AE43" s="124">
        <v>0</v>
      </c>
      <c r="AF43" s="124">
        <v>11</v>
      </c>
      <c r="AG43" s="124">
        <v>0</v>
      </c>
      <c r="AH43" s="124">
        <v>0</v>
      </c>
      <c r="AI43" s="124">
        <v>0</v>
      </c>
      <c r="AJ43" s="124">
        <v>0</v>
      </c>
      <c r="AK43" s="124">
        <v>0</v>
      </c>
      <c r="AL43" s="124">
        <v>0</v>
      </c>
      <c r="AM43" s="124">
        <v>0</v>
      </c>
      <c r="AN43" s="124">
        <v>0</v>
      </c>
      <c r="AO43" s="124">
        <v>0</v>
      </c>
      <c r="AP43" s="124">
        <v>0</v>
      </c>
    </row>
    <row r="44" spans="1:42" ht="132" x14ac:dyDescent="0.25">
      <c r="A44" s="34" t="s">
        <v>1615</v>
      </c>
      <c r="B44" s="34" t="s">
        <v>2047</v>
      </c>
      <c r="C44" s="34" t="s">
        <v>2048</v>
      </c>
      <c r="D44" s="34">
        <v>232120000</v>
      </c>
      <c r="E44" s="74" t="s">
        <v>2500</v>
      </c>
      <c r="F44" s="34" t="s">
        <v>2438</v>
      </c>
      <c r="G44" s="34" t="s">
        <v>2501</v>
      </c>
      <c r="H44" s="36">
        <v>516736802</v>
      </c>
      <c r="I44" s="39">
        <v>1849773835</v>
      </c>
      <c r="J44" s="39">
        <v>2331540830.8954539</v>
      </c>
      <c r="K44" s="39"/>
      <c r="L44" s="39"/>
      <c r="M44" s="39"/>
      <c r="N44" s="36">
        <f t="shared" si="0"/>
        <v>516736802</v>
      </c>
      <c r="O44" s="36">
        <f t="shared" si="0"/>
        <v>1849773835</v>
      </c>
      <c r="P44" s="36">
        <f t="shared" si="0"/>
        <v>2331540830.8954539</v>
      </c>
      <c r="Q44" s="39">
        <v>2199401231.8954539</v>
      </c>
      <c r="R44" s="39"/>
      <c r="S44" s="36">
        <f t="shared" si="1"/>
        <v>2199401231.8954539</v>
      </c>
      <c r="T44" s="37" t="s">
        <v>2502</v>
      </c>
      <c r="U44" s="37" t="s">
        <v>225</v>
      </c>
      <c r="V44" s="37">
        <v>7</v>
      </c>
      <c r="W44" s="10">
        <v>0</v>
      </c>
      <c r="X44" s="10"/>
      <c r="Y44" s="10"/>
      <c r="Z44" s="34">
        <v>7</v>
      </c>
      <c r="AA44" s="34">
        <v>120</v>
      </c>
      <c r="AB44" s="10"/>
      <c r="AC44" s="81">
        <v>120</v>
      </c>
      <c r="AD44" s="10"/>
      <c r="AE44" s="124">
        <v>0</v>
      </c>
      <c r="AF44" s="124">
        <v>0</v>
      </c>
      <c r="AG44" s="124">
        <v>0</v>
      </c>
      <c r="AH44" s="124">
        <v>0</v>
      </c>
      <c r="AI44" s="124">
        <v>0</v>
      </c>
      <c r="AJ44" s="124">
        <v>0</v>
      </c>
      <c r="AK44" s="124">
        <v>0</v>
      </c>
      <c r="AL44" s="124">
        <v>2</v>
      </c>
      <c r="AM44" s="124">
        <v>2</v>
      </c>
      <c r="AN44" s="124">
        <v>2</v>
      </c>
      <c r="AO44" s="124">
        <v>1</v>
      </c>
      <c r="AP44" s="124">
        <v>0</v>
      </c>
    </row>
    <row r="45" spans="1:42" ht="36" x14ac:dyDescent="0.25">
      <c r="A45" s="34">
        <v>0</v>
      </c>
      <c r="B45" s="34">
        <v>0</v>
      </c>
      <c r="C45" s="34">
        <v>0</v>
      </c>
      <c r="D45" s="34">
        <v>0</v>
      </c>
      <c r="E45" s="74"/>
      <c r="F45" s="34">
        <v>0</v>
      </c>
      <c r="G45" s="34">
        <v>0</v>
      </c>
      <c r="H45" s="36">
        <v>0</v>
      </c>
      <c r="I45" s="39"/>
      <c r="J45" s="39"/>
      <c r="K45" s="39"/>
      <c r="L45" s="39"/>
      <c r="M45" s="39"/>
      <c r="N45" s="36">
        <f t="shared" si="0"/>
        <v>0</v>
      </c>
      <c r="O45" s="36">
        <f t="shared" si="0"/>
        <v>0</v>
      </c>
      <c r="P45" s="36">
        <f t="shared" si="0"/>
        <v>0</v>
      </c>
      <c r="Q45" s="39"/>
      <c r="R45" s="39"/>
      <c r="S45" s="36">
        <f t="shared" si="1"/>
        <v>0</v>
      </c>
      <c r="T45" s="37" t="s">
        <v>2503</v>
      </c>
      <c r="U45" s="37" t="s">
        <v>225</v>
      </c>
      <c r="V45" s="37">
        <v>1</v>
      </c>
      <c r="W45" s="10">
        <v>0</v>
      </c>
      <c r="X45" s="10"/>
      <c r="Y45" s="10"/>
      <c r="Z45" s="34">
        <v>1</v>
      </c>
      <c r="AA45" s="34">
        <v>20</v>
      </c>
      <c r="AB45" s="10"/>
      <c r="AC45" s="81">
        <v>20</v>
      </c>
      <c r="AD45" s="10"/>
      <c r="AE45" s="124">
        <v>0</v>
      </c>
      <c r="AF45" s="124">
        <v>0</v>
      </c>
      <c r="AG45" s="124">
        <v>0</v>
      </c>
      <c r="AH45" s="124">
        <v>0</v>
      </c>
      <c r="AI45" s="124">
        <v>0</v>
      </c>
      <c r="AJ45" s="124">
        <v>0</v>
      </c>
      <c r="AK45" s="124">
        <v>0</v>
      </c>
      <c r="AL45" s="124">
        <v>0</v>
      </c>
      <c r="AM45" s="124">
        <v>0</v>
      </c>
      <c r="AN45" s="124">
        <v>0</v>
      </c>
      <c r="AO45" s="124">
        <v>0</v>
      </c>
      <c r="AP45" s="124">
        <v>1</v>
      </c>
    </row>
    <row r="46" spans="1:42" ht="60" x14ac:dyDescent="0.25">
      <c r="A46" s="34" t="s">
        <v>55</v>
      </c>
      <c r="B46" s="34" t="s">
        <v>343</v>
      </c>
      <c r="C46" s="34" t="s">
        <v>2413</v>
      </c>
      <c r="D46" s="34">
        <v>245520007</v>
      </c>
      <c r="E46" s="74" t="s">
        <v>2415</v>
      </c>
      <c r="F46" s="34" t="s">
        <v>2416</v>
      </c>
      <c r="G46" s="34" t="s">
        <v>2417</v>
      </c>
      <c r="H46" s="36">
        <v>1000000000</v>
      </c>
      <c r="I46" s="39">
        <v>1088699579</v>
      </c>
      <c r="J46" s="39">
        <v>859483602.8282057</v>
      </c>
      <c r="K46" s="39"/>
      <c r="L46" s="39">
        <v>1537391147</v>
      </c>
      <c r="M46" s="39">
        <v>1537641147</v>
      </c>
      <c r="N46" s="36">
        <f t="shared" si="0"/>
        <v>1000000000</v>
      </c>
      <c r="O46" s="36">
        <f t="shared" si="0"/>
        <v>2626090726</v>
      </c>
      <c r="P46" s="36">
        <f t="shared" si="0"/>
        <v>2397124749.8282056</v>
      </c>
      <c r="Q46" s="39">
        <v>839683602.8282057</v>
      </c>
      <c r="R46" s="39">
        <v>1537641147</v>
      </c>
      <c r="S46" s="36">
        <f t="shared" si="1"/>
        <v>2377324749.8282056</v>
      </c>
      <c r="T46" s="37" t="s">
        <v>2504</v>
      </c>
      <c r="U46" s="37" t="s">
        <v>225</v>
      </c>
      <c r="V46" s="37">
        <v>1</v>
      </c>
      <c r="W46" s="10"/>
      <c r="X46" s="10"/>
      <c r="Y46" s="10">
        <v>1</v>
      </c>
      <c r="Z46" s="45"/>
      <c r="AA46" s="34">
        <v>30</v>
      </c>
      <c r="AB46" s="10"/>
      <c r="AC46" s="81"/>
      <c r="AD46" s="10"/>
      <c r="AE46" s="124">
        <v>0</v>
      </c>
      <c r="AF46" s="124">
        <v>0</v>
      </c>
      <c r="AG46" s="124">
        <v>0</v>
      </c>
      <c r="AH46" s="124">
        <v>0</v>
      </c>
      <c r="AI46" s="124">
        <v>0</v>
      </c>
      <c r="AJ46" s="124">
        <v>0</v>
      </c>
      <c r="AK46" s="124">
        <v>1</v>
      </c>
      <c r="AL46" s="124">
        <v>0</v>
      </c>
      <c r="AM46" s="124">
        <v>0</v>
      </c>
      <c r="AN46" s="124">
        <v>0</v>
      </c>
      <c r="AO46" s="124">
        <v>0</v>
      </c>
      <c r="AP46" s="124">
        <v>0</v>
      </c>
    </row>
    <row r="47" spans="1:42" ht="90" x14ac:dyDescent="0.25">
      <c r="A47" s="34">
        <v>0</v>
      </c>
      <c r="B47" s="34">
        <v>0</v>
      </c>
      <c r="C47" s="34">
        <v>0</v>
      </c>
      <c r="D47" s="34">
        <v>0</v>
      </c>
      <c r="E47" s="74"/>
      <c r="F47" s="34">
        <v>0</v>
      </c>
      <c r="G47" s="34">
        <v>0</v>
      </c>
      <c r="H47" s="36">
        <v>0</v>
      </c>
      <c r="I47" s="39"/>
      <c r="J47" s="39"/>
      <c r="K47" s="39"/>
      <c r="L47" s="39"/>
      <c r="M47" s="39"/>
      <c r="N47" s="36">
        <f t="shared" si="0"/>
        <v>0</v>
      </c>
      <c r="O47" s="36">
        <f t="shared" si="0"/>
        <v>0</v>
      </c>
      <c r="P47" s="36">
        <f t="shared" si="0"/>
        <v>0</v>
      </c>
      <c r="Q47" s="39"/>
      <c r="R47" s="39"/>
      <c r="S47" s="36">
        <f t="shared" si="1"/>
        <v>0</v>
      </c>
      <c r="T47" s="37" t="s">
        <v>2505</v>
      </c>
      <c r="U47" s="37" t="s">
        <v>225</v>
      </c>
      <c r="V47" s="37">
        <v>9</v>
      </c>
      <c r="W47" s="10"/>
      <c r="X47" s="10"/>
      <c r="Y47" s="10"/>
      <c r="Z47" s="34">
        <v>9</v>
      </c>
      <c r="AA47" s="34">
        <v>30</v>
      </c>
      <c r="AB47" s="10"/>
      <c r="AC47" s="81">
        <v>30</v>
      </c>
      <c r="AD47" s="10" t="s">
        <v>2506</v>
      </c>
      <c r="AE47" s="124">
        <v>0</v>
      </c>
      <c r="AF47" s="124">
        <v>0</v>
      </c>
      <c r="AG47" s="124">
        <v>0</v>
      </c>
      <c r="AH47" s="124">
        <v>9</v>
      </c>
      <c r="AI47" s="124">
        <v>0</v>
      </c>
      <c r="AJ47" s="124">
        <v>0</v>
      </c>
      <c r="AK47" s="124">
        <v>0</v>
      </c>
      <c r="AL47" s="124">
        <v>0</v>
      </c>
      <c r="AM47" s="124">
        <v>0</v>
      </c>
      <c r="AN47" s="124">
        <v>0</v>
      </c>
      <c r="AO47" s="124">
        <v>0</v>
      </c>
      <c r="AP47" s="124">
        <v>0</v>
      </c>
    </row>
    <row r="48" spans="1:42" ht="72" x14ac:dyDescent="0.25">
      <c r="A48" s="34" t="s">
        <v>55</v>
      </c>
      <c r="B48" s="34" t="s">
        <v>354</v>
      </c>
      <c r="C48" s="34" t="s">
        <v>355</v>
      </c>
      <c r="D48" s="34">
        <v>241120000</v>
      </c>
      <c r="E48" s="74" t="s">
        <v>2420</v>
      </c>
      <c r="F48" s="34" t="s">
        <v>2421</v>
      </c>
      <c r="G48" s="34" t="s">
        <v>2422</v>
      </c>
      <c r="H48" s="36">
        <v>787500000</v>
      </c>
      <c r="I48" s="39">
        <v>1055993634</v>
      </c>
      <c r="J48" s="39">
        <v>831751477.70050263</v>
      </c>
      <c r="K48" s="39"/>
      <c r="L48" s="39">
        <v>1608741000</v>
      </c>
      <c r="M48" s="39">
        <v>152189434</v>
      </c>
      <c r="N48" s="36">
        <f t="shared" si="0"/>
        <v>787500000</v>
      </c>
      <c r="O48" s="36">
        <f t="shared" si="0"/>
        <v>2664734634</v>
      </c>
      <c r="P48" s="36">
        <f t="shared" si="0"/>
        <v>983940911.70050263</v>
      </c>
      <c r="Q48" s="39">
        <v>794085263.70050263</v>
      </c>
      <c r="R48" s="39">
        <v>131448434</v>
      </c>
      <c r="S48" s="36">
        <f t="shared" si="1"/>
        <v>925533697.70050263</v>
      </c>
      <c r="T48" s="37" t="s">
        <v>2507</v>
      </c>
      <c r="U48" s="37" t="s">
        <v>225</v>
      </c>
      <c r="V48" s="37">
        <v>1</v>
      </c>
      <c r="W48" s="10"/>
      <c r="X48" s="10"/>
      <c r="Y48" s="10"/>
      <c r="Z48" s="45">
        <v>0</v>
      </c>
      <c r="AA48" s="34">
        <v>90</v>
      </c>
      <c r="AB48" s="10"/>
      <c r="AC48" s="81">
        <v>0</v>
      </c>
      <c r="AD48" s="10" t="s">
        <v>2508</v>
      </c>
      <c r="AE48" s="124">
        <v>0</v>
      </c>
      <c r="AF48" s="124">
        <v>0</v>
      </c>
      <c r="AG48" s="124">
        <v>0</v>
      </c>
      <c r="AH48" s="124">
        <v>0</v>
      </c>
      <c r="AI48" s="124">
        <v>0</v>
      </c>
      <c r="AJ48" s="124">
        <v>0</v>
      </c>
      <c r="AK48" s="124">
        <v>0.33</v>
      </c>
      <c r="AL48" s="124">
        <v>0.33</v>
      </c>
      <c r="AM48" s="124">
        <v>0.33</v>
      </c>
      <c r="AN48" s="124">
        <v>0</v>
      </c>
      <c r="AO48" s="124">
        <v>0</v>
      </c>
      <c r="AP48" s="124">
        <v>0</v>
      </c>
    </row>
    <row r="49" spans="1:42" ht="24" x14ac:dyDescent="0.25">
      <c r="A49" s="34">
        <v>0</v>
      </c>
      <c r="B49" s="34">
        <v>0</v>
      </c>
      <c r="C49" s="34">
        <v>0</v>
      </c>
      <c r="D49" s="34">
        <v>0</v>
      </c>
      <c r="E49" s="74"/>
      <c r="F49" s="34">
        <v>0</v>
      </c>
      <c r="G49" s="34">
        <v>0</v>
      </c>
      <c r="H49" s="36">
        <v>0</v>
      </c>
      <c r="I49" s="39"/>
      <c r="J49" s="39"/>
      <c r="K49" s="39"/>
      <c r="L49" s="39"/>
      <c r="M49" s="39"/>
      <c r="N49" s="36">
        <f t="shared" si="0"/>
        <v>0</v>
      </c>
      <c r="O49" s="36">
        <f t="shared" si="0"/>
        <v>0</v>
      </c>
      <c r="P49" s="36">
        <f t="shared" si="0"/>
        <v>0</v>
      </c>
      <c r="Q49" s="39"/>
      <c r="R49" s="39"/>
      <c r="S49" s="36">
        <f t="shared" si="1"/>
        <v>0</v>
      </c>
      <c r="T49" s="37" t="s">
        <v>2509</v>
      </c>
      <c r="U49" s="37" t="s">
        <v>225</v>
      </c>
      <c r="V49" s="37">
        <v>7</v>
      </c>
      <c r="W49" s="10">
        <v>1</v>
      </c>
      <c r="X49" s="10"/>
      <c r="Y49" s="10">
        <v>1</v>
      </c>
      <c r="Z49" s="34">
        <v>6</v>
      </c>
      <c r="AA49" s="34">
        <v>14</v>
      </c>
      <c r="AB49" s="10">
        <v>30</v>
      </c>
      <c r="AC49" s="81">
        <v>60</v>
      </c>
      <c r="AD49" s="10"/>
      <c r="AE49" s="124">
        <v>0</v>
      </c>
      <c r="AF49" s="124">
        <v>0</v>
      </c>
      <c r="AG49" s="124">
        <v>0</v>
      </c>
      <c r="AH49" s="124">
        <v>1</v>
      </c>
      <c r="AI49" s="124">
        <v>1</v>
      </c>
      <c r="AJ49" s="124">
        <v>1</v>
      </c>
      <c r="AK49" s="124">
        <v>1</v>
      </c>
      <c r="AL49" s="124">
        <v>1</v>
      </c>
      <c r="AM49" s="124">
        <v>1</v>
      </c>
      <c r="AN49" s="124">
        <v>1</v>
      </c>
      <c r="AO49" s="124">
        <v>0</v>
      </c>
      <c r="AP49" s="124">
        <v>0</v>
      </c>
    </row>
    <row r="50" spans="1:42" ht="24" x14ac:dyDescent="0.25">
      <c r="A50" s="34">
        <v>0</v>
      </c>
      <c r="B50" s="34">
        <v>0</v>
      </c>
      <c r="C50" s="34">
        <v>0</v>
      </c>
      <c r="D50" s="34">
        <v>0</v>
      </c>
      <c r="E50" s="74"/>
      <c r="F50" s="34">
        <v>0</v>
      </c>
      <c r="G50" s="34">
        <v>0</v>
      </c>
      <c r="H50" s="36">
        <v>0</v>
      </c>
      <c r="I50" s="39"/>
      <c r="J50" s="39"/>
      <c r="K50" s="39"/>
      <c r="L50" s="39"/>
      <c r="M50" s="39"/>
      <c r="N50" s="36">
        <f t="shared" si="0"/>
        <v>0</v>
      </c>
      <c r="O50" s="36">
        <f t="shared" si="0"/>
        <v>0</v>
      </c>
      <c r="P50" s="36">
        <f t="shared" si="0"/>
        <v>0</v>
      </c>
      <c r="Q50" s="39"/>
      <c r="R50" s="39"/>
      <c r="S50" s="36">
        <f t="shared" si="1"/>
        <v>0</v>
      </c>
      <c r="T50" s="37" t="s">
        <v>2510</v>
      </c>
      <c r="U50" s="37" t="s">
        <v>225</v>
      </c>
      <c r="V50" s="37">
        <v>3</v>
      </c>
      <c r="W50" s="10">
        <v>1</v>
      </c>
      <c r="X50" s="10"/>
      <c r="Y50" s="10">
        <v>1</v>
      </c>
      <c r="Z50" s="34">
        <v>2</v>
      </c>
      <c r="AA50" s="34">
        <v>3</v>
      </c>
      <c r="AB50" s="10">
        <v>30</v>
      </c>
      <c r="AC50" s="81">
        <v>10</v>
      </c>
      <c r="AD50" s="10"/>
      <c r="AE50" s="124">
        <v>0</v>
      </c>
      <c r="AF50" s="124">
        <v>0</v>
      </c>
      <c r="AG50" s="124">
        <v>0</v>
      </c>
      <c r="AH50" s="124">
        <v>1</v>
      </c>
      <c r="AI50" s="124">
        <v>0</v>
      </c>
      <c r="AJ50" s="124">
        <v>0</v>
      </c>
      <c r="AK50" s="124">
        <v>3</v>
      </c>
      <c r="AL50" s="124">
        <v>0</v>
      </c>
      <c r="AM50" s="124">
        <v>0</v>
      </c>
      <c r="AN50" s="124">
        <v>3</v>
      </c>
      <c r="AO50" s="124">
        <v>0</v>
      </c>
      <c r="AP50" s="124">
        <v>0</v>
      </c>
    </row>
    <row r="51" spans="1:42" ht="36" x14ac:dyDescent="0.25">
      <c r="A51" s="34">
        <v>0</v>
      </c>
      <c r="B51" s="34">
        <v>0</v>
      </c>
      <c r="C51" s="34">
        <v>0</v>
      </c>
      <c r="D51" s="34">
        <v>0</v>
      </c>
      <c r="E51" s="74"/>
      <c r="F51" s="34">
        <v>0</v>
      </c>
      <c r="G51" s="34">
        <v>0</v>
      </c>
      <c r="H51" s="36">
        <v>0</v>
      </c>
      <c r="I51" s="39"/>
      <c r="J51" s="39"/>
      <c r="K51" s="39"/>
      <c r="L51" s="39"/>
      <c r="M51" s="39"/>
      <c r="N51" s="36">
        <f t="shared" si="0"/>
        <v>0</v>
      </c>
      <c r="O51" s="36">
        <f t="shared" si="0"/>
        <v>0</v>
      </c>
      <c r="P51" s="36">
        <f t="shared" si="0"/>
        <v>0</v>
      </c>
      <c r="Q51" s="39"/>
      <c r="R51" s="39"/>
      <c r="S51" s="36">
        <f t="shared" si="1"/>
        <v>0</v>
      </c>
      <c r="T51" s="37" t="s">
        <v>2511</v>
      </c>
      <c r="U51" s="37" t="s">
        <v>225</v>
      </c>
      <c r="V51" s="37">
        <v>1</v>
      </c>
      <c r="W51" s="10"/>
      <c r="X51" s="10"/>
      <c r="Y51" s="10"/>
      <c r="Z51" s="45"/>
      <c r="AA51" s="34">
        <v>2</v>
      </c>
      <c r="AB51" s="10"/>
      <c r="AC51" s="81"/>
      <c r="AD51" s="10"/>
      <c r="AE51" s="124">
        <v>0</v>
      </c>
      <c r="AF51" s="124">
        <v>0</v>
      </c>
      <c r="AG51" s="124">
        <v>0</v>
      </c>
      <c r="AH51" s="124">
        <v>0</v>
      </c>
      <c r="AI51" s="124">
        <v>0</v>
      </c>
      <c r="AJ51" s="124">
        <v>1</v>
      </c>
      <c r="AK51" s="124">
        <v>0</v>
      </c>
      <c r="AL51" s="124">
        <v>0</v>
      </c>
      <c r="AM51" s="124">
        <v>0</v>
      </c>
      <c r="AN51" s="124">
        <v>0</v>
      </c>
      <c r="AO51" s="124">
        <v>0</v>
      </c>
      <c r="AP51" s="124">
        <v>0</v>
      </c>
    </row>
    <row r="52" spans="1:42" ht="150" x14ac:dyDescent="0.25">
      <c r="A52" s="34">
        <v>0</v>
      </c>
      <c r="B52" s="34">
        <v>0</v>
      </c>
      <c r="C52" s="34">
        <v>0</v>
      </c>
      <c r="D52" s="34">
        <v>0</v>
      </c>
      <c r="E52" s="74"/>
      <c r="F52" s="34">
        <v>0</v>
      </c>
      <c r="G52" s="34">
        <v>0</v>
      </c>
      <c r="H52" s="36">
        <v>0</v>
      </c>
      <c r="I52" s="39"/>
      <c r="J52" s="39"/>
      <c r="K52" s="39"/>
      <c r="L52" s="39"/>
      <c r="M52" s="39"/>
      <c r="N52" s="36">
        <f t="shared" si="0"/>
        <v>0</v>
      </c>
      <c r="O52" s="36">
        <f t="shared" si="0"/>
        <v>0</v>
      </c>
      <c r="P52" s="36">
        <f t="shared" si="0"/>
        <v>0</v>
      </c>
      <c r="Q52" s="39"/>
      <c r="R52" s="39"/>
      <c r="S52" s="36">
        <f t="shared" si="1"/>
        <v>0</v>
      </c>
      <c r="T52" s="37" t="s">
        <v>2512</v>
      </c>
      <c r="U52" s="37" t="s">
        <v>225</v>
      </c>
      <c r="V52" s="37">
        <v>1</v>
      </c>
      <c r="W52" s="10"/>
      <c r="X52" s="10"/>
      <c r="Y52" s="10"/>
      <c r="Z52" s="34">
        <v>17</v>
      </c>
      <c r="AA52" s="34">
        <v>30</v>
      </c>
      <c r="AB52" s="10"/>
      <c r="AC52" s="81">
        <v>60</v>
      </c>
      <c r="AD52" s="10" t="s">
        <v>2513</v>
      </c>
      <c r="AE52" s="124">
        <v>0</v>
      </c>
      <c r="AF52" s="124">
        <v>0</v>
      </c>
      <c r="AG52" s="124">
        <v>0</v>
      </c>
      <c r="AH52" s="124">
        <v>0</v>
      </c>
      <c r="AI52" s="124">
        <v>0</v>
      </c>
      <c r="AJ52" s="124">
        <v>0</v>
      </c>
      <c r="AK52" s="124">
        <v>0</v>
      </c>
      <c r="AL52" s="124">
        <v>1</v>
      </c>
      <c r="AM52" s="124">
        <v>0</v>
      </c>
      <c r="AN52" s="124">
        <v>0</v>
      </c>
      <c r="AO52" s="124">
        <v>0</v>
      </c>
      <c r="AP52" s="124">
        <v>0</v>
      </c>
    </row>
    <row r="53" spans="1:42" ht="108" x14ac:dyDescent="0.25">
      <c r="A53" s="34" t="s">
        <v>55</v>
      </c>
      <c r="B53" s="34" t="s">
        <v>343</v>
      </c>
      <c r="C53" s="34" t="s">
        <v>2413</v>
      </c>
      <c r="D53" s="34">
        <v>245520002</v>
      </c>
      <c r="E53" s="74" t="s">
        <v>2424</v>
      </c>
      <c r="F53" s="34" t="s">
        <v>2425</v>
      </c>
      <c r="G53" s="34" t="s">
        <v>2426</v>
      </c>
      <c r="H53" s="36">
        <v>210000000</v>
      </c>
      <c r="I53" s="39">
        <v>578557667</v>
      </c>
      <c r="J53" s="39">
        <v>514286269.43546987</v>
      </c>
      <c r="K53" s="39"/>
      <c r="L53" s="39"/>
      <c r="M53" s="39">
        <v>1537641147</v>
      </c>
      <c r="N53" s="36">
        <f t="shared" si="0"/>
        <v>210000000</v>
      </c>
      <c r="O53" s="36">
        <f t="shared" si="0"/>
        <v>578557667</v>
      </c>
      <c r="P53" s="36">
        <f t="shared" si="0"/>
        <v>2051927416.4354699</v>
      </c>
      <c r="Q53" s="39">
        <v>473987319.43546987</v>
      </c>
      <c r="R53" s="39">
        <v>97816667</v>
      </c>
      <c r="S53" s="36">
        <f>Q53+R53</f>
        <v>571803986.43546987</v>
      </c>
      <c r="T53" s="37" t="s">
        <v>2514</v>
      </c>
      <c r="U53" s="37" t="s">
        <v>225</v>
      </c>
      <c r="V53" s="37">
        <v>3</v>
      </c>
      <c r="W53" s="10">
        <v>4</v>
      </c>
      <c r="X53" s="10"/>
      <c r="Y53" s="10">
        <v>4</v>
      </c>
      <c r="Z53" s="34">
        <f>2+5</f>
        <v>7</v>
      </c>
      <c r="AA53" s="34">
        <v>9</v>
      </c>
      <c r="AB53" s="10">
        <v>30</v>
      </c>
      <c r="AC53" s="81">
        <v>30</v>
      </c>
      <c r="AD53" s="10" t="s">
        <v>2515</v>
      </c>
      <c r="AE53" s="124">
        <v>0</v>
      </c>
      <c r="AF53" s="124">
        <v>0</v>
      </c>
      <c r="AG53" s="124">
        <v>0</v>
      </c>
      <c r="AH53" s="124">
        <v>0</v>
      </c>
      <c r="AI53" s="124">
        <v>0</v>
      </c>
      <c r="AJ53" s="124">
        <v>0</v>
      </c>
      <c r="AK53" s="124">
        <v>0</v>
      </c>
      <c r="AL53" s="124">
        <v>0</v>
      </c>
      <c r="AM53" s="124">
        <v>1</v>
      </c>
      <c r="AN53" s="124">
        <v>1</v>
      </c>
      <c r="AO53" s="124">
        <v>1</v>
      </c>
      <c r="AP53" s="124">
        <v>0</v>
      </c>
    </row>
    <row r="54" spans="1:42" x14ac:dyDescent="0.25">
      <c r="A54" s="34">
        <v>0</v>
      </c>
      <c r="B54" s="34">
        <v>0</v>
      </c>
      <c r="C54" s="34">
        <v>0</v>
      </c>
      <c r="D54" s="34">
        <v>0</v>
      </c>
      <c r="E54" s="74"/>
      <c r="F54" s="34">
        <v>0</v>
      </c>
      <c r="G54" s="34">
        <v>0</v>
      </c>
      <c r="H54" s="36">
        <v>0</v>
      </c>
      <c r="I54" s="39"/>
      <c r="J54" s="39"/>
      <c r="K54" s="39"/>
      <c r="L54" s="39"/>
      <c r="M54" s="39"/>
      <c r="N54" s="36">
        <f t="shared" si="0"/>
        <v>0</v>
      </c>
      <c r="O54" s="36">
        <f t="shared" si="0"/>
        <v>0</v>
      </c>
      <c r="P54" s="36">
        <f t="shared" si="0"/>
        <v>0</v>
      </c>
      <c r="Q54" s="39"/>
      <c r="R54" s="39"/>
      <c r="S54" s="36">
        <f t="shared" si="1"/>
        <v>0</v>
      </c>
      <c r="T54" s="37">
        <v>0</v>
      </c>
      <c r="U54" s="37">
        <v>0</v>
      </c>
      <c r="V54" s="37">
        <v>0</v>
      </c>
      <c r="W54" s="10"/>
      <c r="X54" s="10"/>
      <c r="Y54" s="10"/>
      <c r="Z54" s="45"/>
      <c r="AA54" s="34">
        <v>0</v>
      </c>
      <c r="AB54" s="10"/>
      <c r="AC54" s="81"/>
      <c r="AD54" s="10"/>
      <c r="AE54" s="124">
        <v>0</v>
      </c>
      <c r="AF54" s="124">
        <v>0</v>
      </c>
      <c r="AG54" s="124">
        <v>0</v>
      </c>
      <c r="AH54" s="124">
        <v>0</v>
      </c>
      <c r="AI54" s="124">
        <v>0</v>
      </c>
      <c r="AJ54" s="124">
        <v>0</v>
      </c>
      <c r="AK54" s="124">
        <v>0</v>
      </c>
      <c r="AL54" s="124">
        <v>0</v>
      </c>
      <c r="AM54" s="124">
        <v>0</v>
      </c>
      <c r="AN54" s="124">
        <v>0</v>
      </c>
      <c r="AO54" s="124">
        <v>0</v>
      </c>
      <c r="AP54" s="124">
        <v>0</v>
      </c>
    </row>
    <row r="55" spans="1:42" ht="72" x14ac:dyDescent="0.25">
      <c r="A55" s="34" t="s">
        <v>55</v>
      </c>
      <c r="B55" s="34" t="s">
        <v>343</v>
      </c>
      <c r="C55" s="34" t="s">
        <v>2413</v>
      </c>
      <c r="D55" s="34">
        <v>245520008</v>
      </c>
      <c r="E55" s="74" t="s">
        <v>2429</v>
      </c>
      <c r="F55" s="34" t="s">
        <v>2430</v>
      </c>
      <c r="G55" s="34" t="s">
        <v>2431</v>
      </c>
      <c r="H55" s="36">
        <v>525000000</v>
      </c>
      <c r="I55" s="39">
        <v>725000000</v>
      </c>
      <c r="J55" s="39">
        <v>679431621</v>
      </c>
      <c r="K55" s="39"/>
      <c r="L55" s="39">
        <v>182798840</v>
      </c>
      <c r="M55" s="39">
        <v>95000000</v>
      </c>
      <c r="N55" s="36">
        <f t="shared" si="0"/>
        <v>525000000</v>
      </c>
      <c r="O55" s="36">
        <f t="shared" si="0"/>
        <v>907798840</v>
      </c>
      <c r="P55" s="36">
        <f>J55+M55</f>
        <v>774431621</v>
      </c>
      <c r="Q55" s="39">
        <v>533155621</v>
      </c>
      <c r="R55" s="39">
        <v>0</v>
      </c>
      <c r="S55" s="36">
        <f t="shared" si="1"/>
        <v>533155621</v>
      </c>
      <c r="T55" s="37" t="s">
        <v>2516</v>
      </c>
      <c r="U55" s="37" t="s">
        <v>225</v>
      </c>
      <c r="V55" s="37">
        <v>35</v>
      </c>
      <c r="W55" s="10"/>
      <c r="X55" s="10"/>
      <c r="Y55" s="10"/>
      <c r="Z55" s="34">
        <v>35</v>
      </c>
      <c r="AA55" s="34">
        <v>60</v>
      </c>
      <c r="AB55" s="10"/>
      <c r="AC55" s="81">
        <v>120</v>
      </c>
      <c r="AD55" s="10"/>
      <c r="AE55" s="124">
        <v>0</v>
      </c>
      <c r="AF55" s="124">
        <v>0</v>
      </c>
      <c r="AG55" s="124">
        <v>0</v>
      </c>
      <c r="AH55" s="124">
        <v>0</v>
      </c>
      <c r="AI55" s="124">
        <v>0</v>
      </c>
      <c r="AJ55" s="124">
        <v>25</v>
      </c>
      <c r="AK55" s="124">
        <v>0</v>
      </c>
      <c r="AL55" s="124">
        <v>0</v>
      </c>
      <c r="AM55" s="124">
        <v>0</v>
      </c>
      <c r="AN55" s="124">
        <v>0</v>
      </c>
      <c r="AO55" s="124">
        <v>0</v>
      </c>
      <c r="AP55" s="124">
        <v>10</v>
      </c>
    </row>
    <row r="56" spans="1:42" x14ac:dyDescent="0.25">
      <c r="A56" s="34"/>
      <c r="B56" s="34"/>
      <c r="C56" s="34"/>
      <c r="D56" s="34"/>
      <c r="E56" s="34"/>
      <c r="F56" s="34"/>
      <c r="G56" s="34"/>
      <c r="H56" s="36"/>
      <c r="I56" s="39"/>
      <c r="J56" s="39"/>
      <c r="K56" s="39"/>
      <c r="L56" s="39"/>
      <c r="M56" s="39"/>
      <c r="N56" s="36">
        <f t="shared" si="0"/>
        <v>0</v>
      </c>
      <c r="O56" s="36">
        <f t="shared" si="0"/>
        <v>0</v>
      </c>
      <c r="P56" s="36">
        <f t="shared" si="0"/>
        <v>0</v>
      </c>
      <c r="Q56" s="39"/>
      <c r="R56" s="39"/>
      <c r="S56" s="36">
        <f t="shared" si="1"/>
        <v>0</v>
      </c>
      <c r="T56" s="37"/>
      <c r="U56" s="37"/>
      <c r="V56" s="37"/>
      <c r="W56" s="10"/>
      <c r="X56" s="10"/>
      <c r="Y56" s="10"/>
      <c r="Z56" s="45"/>
      <c r="AA56" s="34"/>
      <c r="AB56" s="10"/>
      <c r="AC56" s="81"/>
      <c r="AD56" s="10"/>
      <c r="AE56" s="124"/>
      <c r="AF56" s="124"/>
      <c r="AG56" s="124"/>
      <c r="AH56" s="124"/>
      <c r="AI56" s="124"/>
      <c r="AJ56" s="124"/>
      <c r="AK56" s="124"/>
      <c r="AL56" s="124"/>
      <c r="AM56" s="124"/>
      <c r="AN56" s="124"/>
      <c r="AO56" s="124"/>
      <c r="AP56" s="124"/>
    </row>
    <row r="59" spans="1:42" x14ac:dyDescent="0.25">
      <c r="I59" s="389"/>
      <c r="J59" s="155"/>
      <c r="K59" s="155"/>
      <c r="L59" s="399"/>
      <c r="M59" s="155"/>
      <c r="N59" s="400"/>
      <c r="O59" s="155"/>
      <c r="P59" s="155"/>
      <c r="Q59" s="389"/>
      <c r="R59" s="389"/>
      <c r="S59" s="401"/>
    </row>
  </sheetData>
  <sheetProtection algorithmName="SHA-512" hashValue="vkZhd+z1K38v4Educm/10npSnaNUj2grd+ikytb3UHoycM0/69xI1CxNcAZBgBwWTh49Pxk1SCpEGtyloJmF4A==" saltValue="Gmem7D1bMeik/DJcsjjC0A=="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2"/>
  <sheetViews>
    <sheetView topLeftCell="F4" zoomScale="80" zoomScaleNormal="80" workbookViewId="0">
      <pane ySplit="5" topLeftCell="A28" activePane="bottomLeft" state="frozen"/>
      <selection activeCell="A4" sqref="A4"/>
      <selection pane="bottomLeft" activeCell="M30" sqref="M30"/>
    </sheetView>
  </sheetViews>
  <sheetFormatPr baseColWidth="10" defaultRowHeight="15" x14ac:dyDescent="0.25"/>
  <cols>
    <col min="1" max="1" width="17" style="1" customWidth="1"/>
    <col min="2" max="2" width="15.7109375" style="1" customWidth="1"/>
    <col min="3" max="3" width="17.42578125" style="1" customWidth="1"/>
    <col min="4" max="4" width="16.85546875" style="1" customWidth="1"/>
    <col min="5" max="5" width="19.42578125" style="1" customWidth="1"/>
    <col min="6" max="6" width="18.7109375" style="1" customWidth="1"/>
    <col min="7" max="7" width="12.42578125" style="1" customWidth="1"/>
    <col min="8" max="8" width="23.42578125" style="1" customWidth="1"/>
    <col min="9" max="9" width="21.85546875" style="390" customWidth="1"/>
    <col min="10" max="10" width="21.5703125" style="1" customWidth="1"/>
    <col min="11" max="11" width="23.28515625" style="1" customWidth="1"/>
    <col min="12" max="12" width="11.42578125" style="1"/>
    <col min="13" max="13" width="27.140625" style="73" customWidth="1"/>
    <col min="14" max="14" width="17.7109375" style="1" customWidth="1"/>
    <col min="15" max="15" width="16.42578125" style="73" customWidth="1"/>
    <col min="16" max="16" width="16.42578125" style="1" customWidth="1"/>
    <col min="17" max="17" width="45.140625" style="27" customWidth="1"/>
    <col min="18" max="18" width="11.42578125" style="1"/>
    <col min="19" max="19" width="11.42578125" style="27"/>
    <col min="20" max="16384" width="11.42578125" style="1"/>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c r="P4" s="155"/>
    </row>
    <row r="5" spans="1:97" x14ac:dyDescent="0.25">
      <c r="A5" s="2"/>
      <c r="B5" s="2"/>
      <c r="C5" s="2"/>
      <c r="D5" s="2"/>
      <c r="E5" s="2"/>
      <c r="F5" s="2"/>
      <c r="G5" s="2"/>
      <c r="H5" s="2"/>
      <c r="I5" s="3"/>
      <c r="J5" s="2"/>
      <c r="K5" s="2"/>
      <c r="L5" s="4"/>
      <c r="M5" s="388"/>
      <c r="N5" s="4"/>
      <c r="O5" s="388"/>
      <c r="P5" s="389"/>
    </row>
    <row r="6" spans="1:97" x14ac:dyDescent="0.25">
      <c r="A6" s="7" t="s">
        <v>4</v>
      </c>
      <c r="B6" s="606" t="s">
        <v>2320</v>
      </c>
      <c r="C6" s="606"/>
      <c r="D6" s="606"/>
      <c r="E6" s="606"/>
      <c r="F6" s="606"/>
      <c r="G6" s="606"/>
      <c r="H6" s="606"/>
      <c r="I6" s="606"/>
      <c r="J6" s="606"/>
      <c r="K6" s="606"/>
      <c r="L6" s="606"/>
      <c r="M6" s="606"/>
      <c r="N6" s="606"/>
      <c r="O6" s="606"/>
    </row>
    <row r="7" spans="1:97" ht="15" customHeight="1" x14ac:dyDescent="0.25">
      <c r="A7" s="617" t="s">
        <v>6</v>
      </c>
      <c r="B7" s="617" t="s">
        <v>7</v>
      </c>
      <c r="C7" s="617" t="s">
        <v>8</v>
      </c>
      <c r="D7" s="617" t="s">
        <v>9</v>
      </c>
      <c r="E7" s="617" t="s">
        <v>10</v>
      </c>
      <c r="F7" s="617" t="s">
        <v>11</v>
      </c>
      <c r="G7" s="617" t="s">
        <v>12</v>
      </c>
      <c r="H7" s="617" t="s">
        <v>13</v>
      </c>
      <c r="I7" s="677" t="s">
        <v>14</v>
      </c>
      <c r="J7" s="677" t="s">
        <v>15</v>
      </c>
      <c r="K7" s="617" t="s">
        <v>16</v>
      </c>
      <c r="L7" s="617" t="s">
        <v>17</v>
      </c>
      <c r="M7" s="677" t="s">
        <v>18</v>
      </c>
      <c r="N7" s="677" t="s">
        <v>19</v>
      </c>
      <c r="O7" s="677" t="s">
        <v>20</v>
      </c>
      <c r="P7" s="677" t="s">
        <v>21</v>
      </c>
      <c r="Q7" s="677" t="s">
        <v>22</v>
      </c>
    </row>
    <row r="8" spans="1:97" ht="58.5" customHeight="1" x14ac:dyDescent="0.25">
      <c r="A8" s="618"/>
      <c r="B8" s="618"/>
      <c r="C8" s="618"/>
      <c r="D8" s="618"/>
      <c r="E8" s="618"/>
      <c r="F8" s="618"/>
      <c r="G8" s="618"/>
      <c r="H8" s="618"/>
      <c r="I8" s="678"/>
      <c r="J8" s="678"/>
      <c r="K8" s="618"/>
      <c r="L8" s="618"/>
      <c r="M8" s="678"/>
      <c r="N8" s="678"/>
      <c r="O8" s="678"/>
      <c r="P8" s="678"/>
      <c r="Q8" s="678"/>
      <c r="S8" s="8"/>
      <c r="T8" s="8"/>
      <c r="U8" s="8"/>
      <c r="V8" s="8"/>
      <c r="W8" s="8"/>
      <c r="X8" s="8"/>
      <c r="Y8" s="8"/>
      <c r="Z8" s="8"/>
      <c r="AA8" s="8"/>
      <c r="AB8" s="8"/>
      <c r="AC8" s="8"/>
      <c r="AD8" s="8"/>
      <c r="AE8" s="8"/>
      <c r="AF8" s="8"/>
      <c r="AG8" s="8"/>
      <c r="AH8" s="8"/>
      <c r="AK8" s="9"/>
      <c r="AO8" s="9"/>
      <c r="AS8" s="9"/>
      <c r="AW8" s="9"/>
      <c r="BA8" s="9"/>
      <c r="BE8" s="9"/>
      <c r="BI8" s="9"/>
      <c r="BM8" s="9"/>
      <c r="BQ8" s="9"/>
      <c r="BU8" s="9"/>
      <c r="BY8" s="9"/>
      <c r="CC8" s="9"/>
      <c r="CG8" s="9"/>
      <c r="CK8" s="9"/>
      <c r="CO8" s="9"/>
      <c r="CS8" s="9"/>
    </row>
    <row r="9" spans="1:97" ht="93.75" customHeight="1" x14ac:dyDescent="0.25">
      <c r="A9" s="10" t="s">
        <v>23</v>
      </c>
      <c r="B9" s="10" t="s">
        <v>142</v>
      </c>
      <c r="C9" s="10" t="s">
        <v>150</v>
      </c>
      <c r="D9" s="10">
        <v>212320000</v>
      </c>
      <c r="E9" s="10" t="s">
        <v>151</v>
      </c>
      <c r="F9" s="50" t="s">
        <v>2321</v>
      </c>
      <c r="G9" s="10" t="s">
        <v>2322</v>
      </c>
      <c r="H9" s="10" t="s">
        <v>2323</v>
      </c>
      <c r="I9" s="210">
        <v>3581279</v>
      </c>
      <c r="J9" s="210">
        <v>-40176265</v>
      </c>
      <c r="K9" s="10" t="s">
        <v>2324</v>
      </c>
      <c r="L9" s="10">
        <v>2</v>
      </c>
      <c r="M9" s="81">
        <v>2</v>
      </c>
      <c r="N9" s="10"/>
      <c r="O9" s="81">
        <v>1</v>
      </c>
      <c r="P9" s="81">
        <v>2</v>
      </c>
      <c r="Q9" s="49" t="s">
        <v>2325</v>
      </c>
      <c r="R9" s="16"/>
      <c r="S9" s="1"/>
      <c r="U9" s="334"/>
      <c r="V9" s="8"/>
      <c r="W9" s="8"/>
      <c r="X9" s="8"/>
      <c r="Y9" s="8"/>
      <c r="Z9" s="8"/>
      <c r="AA9" s="8"/>
      <c r="AB9" s="8"/>
      <c r="AC9" s="8"/>
      <c r="AD9" s="8"/>
      <c r="AE9" s="8"/>
      <c r="AF9" s="8"/>
      <c r="AG9" s="8"/>
      <c r="AH9" s="8"/>
      <c r="AK9" s="9"/>
      <c r="AO9" s="9"/>
      <c r="AS9" s="9"/>
      <c r="AW9" s="9"/>
      <c r="BA9" s="9"/>
      <c r="BE9" s="9"/>
      <c r="BI9" s="9"/>
      <c r="BM9" s="9"/>
      <c r="BQ9" s="9"/>
      <c r="BU9" s="9"/>
      <c r="BY9" s="9"/>
      <c r="CC9" s="9"/>
      <c r="CG9" s="9"/>
      <c r="CK9" s="9"/>
      <c r="CO9" s="9"/>
      <c r="CS9" s="9"/>
    </row>
    <row r="10" spans="1:97" ht="246.75" customHeight="1" x14ac:dyDescent="0.25">
      <c r="A10" s="10" t="s">
        <v>23</v>
      </c>
      <c r="B10" s="10" t="s">
        <v>142</v>
      </c>
      <c r="C10" s="10" t="s">
        <v>150</v>
      </c>
      <c r="D10" s="10">
        <v>212360000</v>
      </c>
      <c r="E10" s="10" t="s">
        <v>1363</v>
      </c>
      <c r="F10" s="50" t="s">
        <v>2326</v>
      </c>
      <c r="G10" s="10" t="s">
        <v>2327</v>
      </c>
      <c r="H10" s="10" t="s">
        <v>2328</v>
      </c>
      <c r="I10" s="210">
        <v>1790639</v>
      </c>
      <c r="J10" s="14">
        <v>-50000000</v>
      </c>
      <c r="K10" s="10" t="s">
        <v>2329</v>
      </c>
      <c r="L10" s="10">
        <v>50</v>
      </c>
      <c r="M10" s="84">
        <v>0.5</v>
      </c>
      <c r="N10" s="10"/>
      <c r="O10" s="81">
        <v>0</v>
      </c>
      <c r="P10" s="81">
        <v>0</v>
      </c>
      <c r="Q10" s="49" t="s">
        <v>2330</v>
      </c>
      <c r="R10" s="16"/>
      <c r="S10" s="1"/>
      <c r="U10" s="334"/>
      <c r="V10" s="8"/>
      <c r="W10" s="8"/>
      <c r="X10" s="8"/>
      <c r="Y10" s="8"/>
      <c r="Z10" s="8"/>
      <c r="AA10" s="8"/>
      <c r="AB10" s="8"/>
      <c r="AC10" s="8"/>
      <c r="AD10" s="8"/>
      <c r="AE10" s="8"/>
      <c r="AF10" s="8"/>
      <c r="AG10" s="8"/>
      <c r="AH10" s="8"/>
      <c r="AK10" s="9"/>
      <c r="AO10" s="9"/>
      <c r="AS10" s="9"/>
      <c r="AW10" s="9"/>
      <c r="BA10" s="9"/>
      <c r="BE10" s="9"/>
      <c r="BI10" s="9"/>
      <c r="BM10" s="9"/>
      <c r="BQ10" s="9"/>
      <c r="BU10" s="9"/>
      <c r="BY10" s="9"/>
      <c r="CC10" s="9"/>
      <c r="CG10" s="9"/>
      <c r="CK10" s="9"/>
      <c r="CO10" s="9"/>
      <c r="CS10" s="9"/>
    </row>
    <row r="11" spans="1:97" ht="135.75" customHeight="1" x14ac:dyDescent="0.25">
      <c r="A11" s="10" t="s">
        <v>23</v>
      </c>
      <c r="B11" s="10" t="s">
        <v>1573</v>
      </c>
      <c r="C11" s="10" t="s">
        <v>2331</v>
      </c>
      <c r="D11" s="10">
        <v>214530000</v>
      </c>
      <c r="E11" s="10" t="s">
        <v>2332</v>
      </c>
      <c r="F11" s="50" t="s">
        <v>2333</v>
      </c>
      <c r="G11" s="10" t="s">
        <v>2334</v>
      </c>
      <c r="H11" s="10" t="s">
        <v>2335</v>
      </c>
      <c r="I11" s="210">
        <v>5575424070</v>
      </c>
      <c r="J11" s="14">
        <v>7119976175</v>
      </c>
      <c r="K11" s="10" t="s">
        <v>2336</v>
      </c>
      <c r="L11" s="10">
        <v>640</v>
      </c>
      <c r="M11" s="81">
        <v>1062</v>
      </c>
      <c r="N11" s="10"/>
      <c r="O11" s="81">
        <v>1062</v>
      </c>
      <c r="P11" s="81">
        <v>2014</v>
      </c>
      <c r="Q11" s="49" t="s">
        <v>2337</v>
      </c>
      <c r="R11" s="16"/>
      <c r="S11" s="1"/>
      <c r="U11" s="334"/>
      <c r="V11" s="8"/>
      <c r="W11" s="8"/>
      <c r="X11" s="8"/>
      <c r="Y11" s="8"/>
      <c r="Z11" s="8"/>
      <c r="AA11" s="8"/>
      <c r="AB11" s="8"/>
      <c r="AC11" s="8"/>
      <c r="AD11" s="8"/>
      <c r="AE11" s="8"/>
      <c r="AF11" s="8"/>
      <c r="AG11" s="8"/>
      <c r="AH11" s="8"/>
      <c r="AK11" s="9"/>
      <c r="AO11" s="9"/>
      <c r="AS11" s="9"/>
      <c r="AW11" s="9"/>
      <c r="BA11" s="9"/>
      <c r="BE11" s="9"/>
      <c r="BI11" s="9"/>
      <c r="BM11" s="9"/>
      <c r="BQ11" s="9"/>
      <c r="BU11" s="9"/>
      <c r="BY11" s="9"/>
      <c r="CC11" s="9"/>
      <c r="CG11" s="9"/>
      <c r="CK11" s="9"/>
      <c r="CO11" s="9"/>
      <c r="CS11" s="9"/>
    </row>
    <row r="12" spans="1:97" ht="114.75" x14ac:dyDescent="0.25">
      <c r="A12" s="10"/>
      <c r="B12" s="10"/>
      <c r="C12" s="10"/>
      <c r="D12" s="10"/>
      <c r="E12" s="10"/>
      <c r="F12" s="50"/>
      <c r="G12" s="10"/>
      <c r="H12" s="10"/>
      <c r="I12" s="210"/>
      <c r="J12" s="14"/>
      <c r="K12" s="10" t="s">
        <v>2338</v>
      </c>
      <c r="L12" s="10">
        <v>76</v>
      </c>
      <c r="M12" s="81">
        <v>380</v>
      </c>
      <c r="N12" s="10"/>
      <c r="O12" s="81">
        <v>380</v>
      </c>
      <c r="P12" s="81">
        <v>337</v>
      </c>
      <c r="Q12" s="49" t="s">
        <v>2339</v>
      </c>
      <c r="R12" s="16"/>
      <c r="S12" s="1"/>
      <c r="U12" s="334"/>
      <c r="V12" s="8"/>
      <c r="W12" s="8"/>
      <c r="X12" s="8"/>
      <c r="Y12" s="8"/>
      <c r="Z12" s="8"/>
      <c r="AA12" s="8"/>
      <c r="AB12" s="8"/>
      <c r="AC12" s="8"/>
      <c r="AD12" s="8"/>
      <c r="AE12" s="8"/>
      <c r="AF12" s="8"/>
      <c r="AG12" s="8"/>
      <c r="AH12" s="8"/>
      <c r="AK12" s="9"/>
      <c r="AO12" s="9"/>
      <c r="AS12" s="9"/>
      <c r="AW12" s="9"/>
      <c r="BA12" s="9"/>
      <c r="BE12" s="9"/>
      <c r="BI12" s="9"/>
      <c r="BM12" s="9"/>
      <c r="BQ12" s="9"/>
      <c r="BU12" s="9"/>
      <c r="BY12" s="9"/>
      <c r="CC12" s="9"/>
      <c r="CG12" s="9"/>
      <c r="CK12" s="9"/>
      <c r="CO12" s="9"/>
      <c r="CS12" s="9"/>
    </row>
    <row r="13" spans="1:97" ht="137.25" customHeight="1" x14ac:dyDescent="0.25">
      <c r="A13" s="10" t="s">
        <v>23</v>
      </c>
      <c r="B13" s="10" t="s">
        <v>1573</v>
      </c>
      <c r="C13" s="10" t="s">
        <v>2331</v>
      </c>
      <c r="D13" s="10">
        <v>214520000</v>
      </c>
      <c r="E13" s="10" t="s">
        <v>2340</v>
      </c>
      <c r="F13" s="50" t="s">
        <v>2341</v>
      </c>
      <c r="G13" s="10" t="s">
        <v>2342</v>
      </c>
      <c r="H13" s="10" t="s">
        <v>2343</v>
      </c>
      <c r="I13" s="210">
        <v>2190304</v>
      </c>
      <c r="J13" s="14">
        <v>-212913818</v>
      </c>
      <c r="K13" s="10" t="s">
        <v>2344</v>
      </c>
      <c r="L13" s="10">
        <v>22</v>
      </c>
      <c r="M13" s="10">
        <v>22</v>
      </c>
      <c r="N13" s="27"/>
      <c r="O13" s="81">
        <v>0</v>
      </c>
      <c r="P13" s="81">
        <v>0</v>
      </c>
      <c r="Q13" s="49" t="s">
        <v>2345</v>
      </c>
      <c r="R13" s="16"/>
      <c r="S13" s="1"/>
      <c r="U13" s="334"/>
      <c r="V13" s="8"/>
      <c r="W13" s="8"/>
      <c r="X13" s="8"/>
      <c r="Y13" s="8"/>
      <c r="Z13" s="8"/>
      <c r="AA13" s="8"/>
      <c r="AB13" s="8"/>
      <c r="AC13" s="8"/>
      <c r="AD13" s="8"/>
      <c r="AE13" s="8"/>
      <c r="AF13" s="8"/>
      <c r="AG13" s="8"/>
      <c r="AH13" s="8"/>
      <c r="AK13" s="9"/>
      <c r="AO13" s="9"/>
      <c r="AS13" s="9"/>
      <c r="AW13" s="9"/>
      <c r="BA13" s="9"/>
      <c r="BE13" s="9"/>
      <c r="BI13" s="9"/>
      <c r="BM13" s="9"/>
      <c r="BQ13" s="9"/>
      <c r="BU13" s="9"/>
      <c r="BY13" s="9"/>
      <c r="CC13" s="9"/>
      <c r="CG13" s="9"/>
      <c r="CK13" s="9"/>
      <c r="CO13" s="9"/>
      <c r="CS13" s="9"/>
    </row>
    <row r="14" spans="1:97" ht="123" customHeight="1" x14ac:dyDescent="0.25">
      <c r="A14" s="10" t="s">
        <v>23</v>
      </c>
      <c r="B14" s="10" t="s">
        <v>1573</v>
      </c>
      <c r="C14" s="10" t="s">
        <v>2331</v>
      </c>
      <c r="D14" s="10">
        <v>214530000</v>
      </c>
      <c r="E14" s="10" t="s">
        <v>2332</v>
      </c>
      <c r="F14" s="50" t="s">
        <v>2346</v>
      </c>
      <c r="G14" s="10" t="s">
        <v>2347</v>
      </c>
      <c r="H14" s="10" t="s">
        <v>2348</v>
      </c>
      <c r="I14" s="210">
        <v>1421815945</v>
      </c>
      <c r="J14" s="14">
        <v>2270625389</v>
      </c>
      <c r="K14" s="10" t="s">
        <v>2349</v>
      </c>
      <c r="L14" s="10">
        <v>35</v>
      </c>
      <c r="M14" s="81">
        <v>69</v>
      </c>
      <c r="N14" s="10"/>
      <c r="O14" s="81">
        <v>69</v>
      </c>
      <c r="P14" s="81">
        <f>139+51</f>
        <v>190</v>
      </c>
      <c r="Q14" s="49" t="s">
        <v>2350</v>
      </c>
      <c r="R14" s="16"/>
      <c r="S14" s="1"/>
      <c r="U14" s="334"/>
      <c r="V14" s="8"/>
      <c r="W14" s="8"/>
      <c r="X14" s="8"/>
      <c r="Y14" s="8"/>
      <c r="Z14" s="8"/>
      <c r="AA14" s="8"/>
      <c r="AB14" s="8"/>
      <c r="AC14" s="8"/>
      <c r="AD14" s="8"/>
      <c r="AE14" s="8"/>
      <c r="AF14" s="8"/>
      <c r="AG14" s="8"/>
      <c r="AH14" s="8"/>
      <c r="AK14" s="9"/>
      <c r="AO14" s="9"/>
      <c r="AS14" s="9"/>
      <c r="AW14" s="9"/>
      <c r="BA14" s="9"/>
      <c r="BE14" s="9"/>
      <c r="BI14" s="9"/>
      <c r="BM14" s="9"/>
      <c r="BQ14" s="9"/>
      <c r="BU14" s="9"/>
      <c r="BY14" s="9"/>
      <c r="CC14" s="9"/>
      <c r="CG14" s="9"/>
      <c r="CK14" s="9"/>
      <c r="CO14" s="9"/>
      <c r="CS14" s="9"/>
    </row>
    <row r="15" spans="1:97" ht="167.25" customHeight="1" x14ac:dyDescent="0.25">
      <c r="A15" s="10" t="s">
        <v>23</v>
      </c>
      <c r="B15" s="10" t="s">
        <v>1573</v>
      </c>
      <c r="C15" s="10" t="s">
        <v>2331</v>
      </c>
      <c r="D15" s="10">
        <v>214510000</v>
      </c>
      <c r="E15" s="10" t="s">
        <v>2351</v>
      </c>
      <c r="F15" s="50" t="s">
        <v>2352</v>
      </c>
      <c r="G15" s="10" t="s">
        <v>2353</v>
      </c>
      <c r="H15" s="10" t="s">
        <v>2354</v>
      </c>
      <c r="I15" s="210">
        <v>895320</v>
      </c>
      <c r="J15" s="14">
        <v>-24414577</v>
      </c>
      <c r="K15" s="10" t="s">
        <v>2355</v>
      </c>
      <c r="L15" s="10">
        <v>50</v>
      </c>
      <c r="M15" s="84">
        <v>0.5</v>
      </c>
      <c r="N15" s="10"/>
      <c r="O15" s="81">
        <v>0</v>
      </c>
      <c r="P15" s="81">
        <v>50</v>
      </c>
      <c r="Q15" s="49" t="s">
        <v>2356</v>
      </c>
      <c r="R15" s="16"/>
      <c r="S15" s="1"/>
      <c r="U15" s="334"/>
      <c r="V15" s="8"/>
      <c r="W15" s="8"/>
      <c r="X15" s="8"/>
      <c r="Y15" s="8"/>
      <c r="Z15" s="8"/>
      <c r="AA15" s="8"/>
      <c r="AB15" s="8"/>
      <c r="AC15" s="8"/>
      <c r="AD15" s="8"/>
      <c r="AE15" s="8"/>
      <c r="AF15" s="8"/>
      <c r="AG15" s="8"/>
      <c r="AH15" s="8"/>
      <c r="AK15" s="9"/>
      <c r="AO15" s="9"/>
      <c r="AS15" s="9"/>
      <c r="AW15" s="9"/>
      <c r="BA15" s="9"/>
      <c r="BE15" s="9"/>
      <c r="BI15" s="9"/>
      <c r="BM15" s="9"/>
      <c r="BQ15" s="9"/>
      <c r="BU15" s="9"/>
      <c r="BY15" s="9"/>
      <c r="CC15" s="9"/>
      <c r="CG15" s="9"/>
      <c r="CK15" s="9"/>
      <c r="CO15" s="9"/>
      <c r="CS15" s="9"/>
    </row>
    <row r="16" spans="1:97" ht="117.75" customHeight="1" x14ac:dyDescent="0.25">
      <c r="A16" s="10" t="s">
        <v>23</v>
      </c>
      <c r="B16" s="10" t="s">
        <v>136</v>
      </c>
      <c r="C16" s="10" t="s">
        <v>137</v>
      </c>
      <c r="D16" s="10">
        <v>211180000</v>
      </c>
      <c r="E16" s="10" t="s">
        <v>138</v>
      </c>
      <c r="F16" s="50" t="s">
        <v>2357</v>
      </c>
      <c r="G16" s="10" t="s">
        <v>2358</v>
      </c>
      <c r="H16" s="10" t="s">
        <v>2359</v>
      </c>
      <c r="I16" s="210">
        <v>-51538160</v>
      </c>
      <c r="J16" s="14">
        <v>-513597862</v>
      </c>
      <c r="K16" s="10"/>
      <c r="L16" s="10"/>
      <c r="M16" s="81"/>
      <c r="N16" s="10"/>
      <c r="O16" s="81"/>
      <c r="P16" s="45"/>
      <c r="Q16" s="49"/>
      <c r="R16" s="16"/>
      <c r="S16" s="1"/>
      <c r="U16" s="334"/>
      <c r="V16" s="8"/>
      <c r="W16" s="8"/>
      <c r="X16" s="8"/>
      <c r="Y16" s="8"/>
      <c r="Z16" s="8"/>
      <c r="AA16" s="8"/>
      <c r="AB16" s="8"/>
      <c r="AC16" s="8"/>
      <c r="AD16" s="8"/>
      <c r="AE16" s="8"/>
      <c r="AF16" s="8"/>
      <c r="AG16" s="8"/>
      <c r="AH16" s="8"/>
      <c r="AK16" s="9"/>
      <c r="AO16" s="9"/>
      <c r="AS16" s="9"/>
      <c r="AW16" s="9"/>
      <c r="BA16" s="9"/>
      <c r="BE16" s="9"/>
      <c r="BI16" s="9"/>
      <c r="BM16" s="9"/>
      <c r="BQ16" s="9"/>
      <c r="BU16" s="9"/>
      <c r="BY16" s="9"/>
      <c r="CC16" s="9"/>
      <c r="CG16" s="9"/>
      <c r="CK16" s="9"/>
      <c r="CO16" s="9"/>
      <c r="CS16" s="9"/>
    </row>
    <row r="17" spans="1:97" ht="74.25" customHeight="1" x14ac:dyDescent="0.25">
      <c r="A17" s="10" t="s">
        <v>23</v>
      </c>
      <c r="B17" s="10" t="s">
        <v>1573</v>
      </c>
      <c r="C17" s="10" t="s">
        <v>2331</v>
      </c>
      <c r="D17" s="10">
        <v>214520000</v>
      </c>
      <c r="E17" s="10" t="s">
        <v>2340</v>
      </c>
      <c r="F17" s="50" t="s">
        <v>2360</v>
      </c>
      <c r="G17" s="10" t="s">
        <v>2361</v>
      </c>
      <c r="H17" s="10" t="s">
        <v>2362</v>
      </c>
      <c r="I17" s="210">
        <v>-61343</v>
      </c>
      <c r="J17" s="14">
        <v>29042146</v>
      </c>
      <c r="K17" s="10" t="s">
        <v>2363</v>
      </c>
      <c r="L17" s="10">
        <v>5</v>
      </c>
      <c r="M17" s="81">
        <v>11</v>
      </c>
      <c r="N17" s="10"/>
      <c r="O17" s="81">
        <v>11</v>
      </c>
      <c r="P17" s="81">
        <v>14</v>
      </c>
      <c r="Q17" s="49" t="s">
        <v>2364</v>
      </c>
      <c r="R17" s="16"/>
      <c r="S17" s="1"/>
      <c r="U17" s="334"/>
      <c r="V17" s="8"/>
      <c r="W17" s="8"/>
      <c r="X17" s="8"/>
      <c r="Y17" s="8"/>
      <c r="Z17" s="8"/>
      <c r="AA17" s="8"/>
      <c r="AB17" s="8"/>
      <c r="AC17" s="8"/>
      <c r="AD17" s="8"/>
      <c r="AE17" s="8"/>
      <c r="AF17" s="8"/>
      <c r="AG17" s="8"/>
      <c r="AH17" s="8"/>
      <c r="AK17" s="9"/>
      <c r="AO17" s="9"/>
      <c r="AS17" s="9"/>
      <c r="AW17" s="9"/>
      <c r="BA17" s="9"/>
      <c r="BE17" s="9"/>
      <c r="BI17" s="9"/>
      <c r="BM17" s="9"/>
      <c r="BQ17" s="9"/>
      <c r="BU17" s="9"/>
      <c r="BY17" s="9"/>
      <c r="CC17" s="9"/>
      <c r="CG17" s="9"/>
      <c r="CK17" s="9"/>
      <c r="CO17" s="9"/>
      <c r="CS17" s="9"/>
    </row>
    <row r="18" spans="1:97" ht="135" customHeight="1" x14ac:dyDescent="0.25">
      <c r="A18" s="10"/>
      <c r="B18" s="10"/>
      <c r="C18" s="10"/>
      <c r="D18" s="10"/>
      <c r="E18" s="10"/>
      <c r="F18" s="50"/>
      <c r="G18" s="10"/>
      <c r="H18" s="10"/>
      <c r="I18" s="210"/>
      <c r="J18" s="14"/>
      <c r="K18" s="10" t="s">
        <v>2365</v>
      </c>
      <c r="L18" s="10">
        <v>45</v>
      </c>
      <c r="M18" s="81">
        <v>45</v>
      </c>
      <c r="N18" s="10"/>
      <c r="O18" s="81">
        <v>0</v>
      </c>
      <c r="P18" s="81">
        <v>43</v>
      </c>
      <c r="Q18" s="49" t="s">
        <v>2366</v>
      </c>
      <c r="R18" s="16"/>
      <c r="S18" s="1"/>
      <c r="U18" s="334"/>
      <c r="V18" s="8"/>
      <c r="W18" s="8"/>
      <c r="X18" s="8"/>
      <c r="Y18" s="8"/>
      <c r="Z18" s="8"/>
      <c r="AA18" s="8"/>
      <c r="AB18" s="8"/>
      <c r="AC18" s="8"/>
      <c r="AD18" s="8"/>
      <c r="AE18" s="8"/>
      <c r="AF18" s="8"/>
      <c r="AG18" s="8"/>
      <c r="AH18" s="8"/>
      <c r="AK18" s="9"/>
      <c r="AO18" s="9"/>
      <c r="AS18" s="9"/>
      <c r="AW18" s="9"/>
      <c r="BA18" s="9"/>
      <c r="BE18" s="9"/>
      <c r="BI18" s="9"/>
      <c r="BM18" s="9"/>
      <c r="BQ18" s="9"/>
      <c r="BU18" s="9"/>
      <c r="BY18" s="9"/>
      <c r="CC18" s="9"/>
      <c r="CG18" s="9"/>
      <c r="CK18" s="9"/>
      <c r="CO18" s="9"/>
      <c r="CS18" s="9"/>
    </row>
    <row r="19" spans="1:97" ht="100.5" customHeight="1" x14ac:dyDescent="0.25">
      <c r="A19" s="10" t="s">
        <v>156</v>
      </c>
      <c r="B19" s="10" t="s">
        <v>2367</v>
      </c>
      <c r="C19" s="10" t="s">
        <v>2368</v>
      </c>
      <c r="D19" s="10">
        <v>224110008</v>
      </c>
      <c r="E19" s="10" t="s">
        <v>2369</v>
      </c>
      <c r="F19" s="50" t="s">
        <v>2370</v>
      </c>
      <c r="G19" s="10" t="s">
        <v>2371</v>
      </c>
      <c r="H19" s="10" t="s">
        <v>2372</v>
      </c>
      <c r="I19" s="210">
        <v>-127156811</v>
      </c>
      <c r="J19" s="14">
        <v>1266013612</v>
      </c>
      <c r="K19" s="10" t="s">
        <v>2373</v>
      </c>
      <c r="L19" s="10">
        <v>3</v>
      </c>
      <c r="M19" s="81">
        <v>3</v>
      </c>
      <c r="N19" s="10"/>
      <c r="O19" s="81">
        <v>3</v>
      </c>
      <c r="P19" s="81">
        <v>3</v>
      </c>
      <c r="Q19" s="49" t="s">
        <v>2374</v>
      </c>
      <c r="R19" s="16"/>
      <c r="S19" s="1"/>
      <c r="U19" s="334"/>
      <c r="V19" s="8"/>
      <c r="W19" s="8"/>
      <c r="X19" s="8"/>
      <c r="Y19" s="8"/>
      <c r="Z19" s="8"/>
      <c r="AA19" s="8"/>
      <c r="AB19" s="8"/>
      <c r="AC19" s="8"/>
      <c r="AD19" s="8"/>
      <c r="AE19" s="8"/>
      <c r="AF19" s="8"/>
      <c r="AG19" s="8"/>
      <c r="AH19" s="8"/>
      <c r="AK19" s="9"/>
      <c r="AO19" s="9"/>
      <c r="AS19" s="9"/>
      <c r="AW19" s="9"/>
      <c r="BA19" s="9"/>
      <c r="BE19" s="9"/>
      <c r="BI19" s="9"/>
      <c r="BM19" s="9"/>
      <c r="BQ19" s="9"/>
      <c r="BU19" s="9"/>
      <c r="BY19" s="9"/>
      <c r="CC19" s="9"/>
      <c r="CG19" s="9"/>
      <c r="CK19" s="9"/>
      <c r="CO19" s="9"/>
      <c r="CS19" s="9"/>
    </row>
    <row r="20" spans="1:97" ht="128.25" customHeight="1" x14ac:dyDescent="0.25">
      <c r="A20" s="10" t="s">
        <v>156</v>
      </c>
      <c r="B20" s="10" t="s">
        <v>2367</v>
      </c>
      <c r="C20" s="10" t="s">
        <v>2375</v>
      </c>
      <c r="D20" s="10">
        <v>224310000</v>
      </c>
      <c r="E20" s="10" t="s">
        <v>2376</v>
      </c>
      <c r="F20" s="50" t="s">
        <v>2377</v>
      </c>
      <c r="G20" s="10" t="s">
        <v>2378</v>
      </c>
      <c r="H20" s="10" t="s">
        <v>2379</v>
      </c>
      <c r="I20" s="210">
        <v>39652395</v>
      </c>
      <c r="J20" s="14">
        <v>13148347</v>
      </c>
      <c r="K20" s="10" t="s">
        <v>2380</v>
      </c>
      <c r="L20" s="10">
        <v>150</v>
      </c>
      <c r="M20" s="81">
        <v>150</v>
      </c>
      <c r="N20" s="10"/>
      <c r="O20" s="81">
        <v>0</v>
      </c>
      <c r="P20" s="81">
        <f>198+130+12</f>
        <v>340</v>
      </c>
      <c r="Q20" s="49" t="s">
        <v>2381</v>
      </c>
      <c r="R20" s="16"/>
      <c r="S20" s="1"/>
      <c r="U20" s="334"/>
      <c r="V20" s="8"/>
      <c r="W20" s="8"/>
      <c r="X20" s="8"/>
      <c r="Y20" s="8"/>
      <c r="Z20" s="8"/>
      <c r="AA20" s="8"/>
      <c r="AB20" s="8"/>
      <c r="AC20" s="8"/>
      <c r="AD20" s="8"/>
      <c r="AE20" s="8"/>
      <c r="AF20" s="8"/>
      <c r="AG20" s="8"/>
      <c r="AH20" s="8"/>
      <c r="AK20" s="9"/>
      <c r="AO20" s="9"/>
      <c r="AS20" s="9"/>
      <c r="AW20" s="9"/>
      <c r="BA20" s="9"/>
      <c r="BE20" s="9"/>
      <c r="BI20" s="9"/>
      <c r="BM20" s="9"/>
      <c r="BQ20" s="9"/>
      <c r="BU20" s="9"/>
      <c r="BY20" s="9"/>
      <c r="CC20" s="9"/>
      <c r="CG20" s="9"/>
      <c r="CK20" s="9"/>
      <c r="CO20" s="9"/>
      <c r="CS20" s="9"/>
    </row>
    <row r="21" spans="1:97" ht="111.75" customHeight="1" x14ac:dyDescent="0.25">
      <c r="A21" s="10" t="s">
        <v>156</v>
      </c>
      <c r="B21" s="10" t="s">
        <v>2367</v>
      </c>
      <c r="C21" s="10" t="s">
        <v>2368</v>
      </c>
      <c r="D21" s="10">
        <v>224120007</v>
      </c>
      <c r="E21" s="10" t="s">
        <v>2382</v>
      </c>
      <c r="F21" s="50" t="s">
        <v>2383</v>
      </c>
      <c r="G21" s="10" t="s">
        <v>2384</v>
      </c>
      <c r="H21" s="10" t="s">
        <v>2385</v>
      </c>
      <c r="I21" s="210">
        <v>803903023</v>
      </c>
      <c r="J21" s="14">
        <v>808228785</v>
      </c>
      <c r="K21" s="10" t="s">
        <v>2386</v>
      </c>
      <c r="L21" s="10">
        <v>50</v>
      </c>
      <c r="M21" s="81">
        <v>105</v>
      </c>
      <c r="N21" s="10"/>
      <c r="O21" s="81">
        <v>105</v>
      </c>
      <c r="P21" s="81">
        <v>50</v>
      </c>
      <c r="Q21" s="49"/>
      <c r="R21" s="16"/>
      <c r="S21" s="1"/>
      <c r="U21" s="334"/>
      <c r="V21" s="8"/>
      <c r="W21" s="8"/>
      <c r="X21" s="8"/>
      <c r="Y21" s="8"/>
      <c r="Z21" s="8"/>
      <c r="AA21" s="8"/>
      <c r="AB21" s="8"/>
      <c r="AC21" s="8"/>
      <c r="AD21" s="8"/>
      <c r="AE21" s="8"/>
      <c r="AF21" s="8"/>
      <c r="AG21" s="8"/>
      <c r="AH21" s="8"/>
      <c r="AK21" s="9"/>
      <c r="AO21" s="9"/>
      <c r="AS21" s="9"/>
      <c r="AW21" s="9"/>
      <c r="BA21" s="9"/>
      <c r="BE21" s="9"/>
      <c r="BI21" s="9"/>
      <c r="BM21" s="9"/>
      <c r="BQ21" s="9"/>
      <c r="BU21" s="9"/>
      <c r="BY21" s="9"/>
      <c r="CC21" s="9"/>
      <c r="CG21" s="9"/>
      <c r="CK21" s="9"/>
      <c r="CO21" s="9"/>
      <c r="CS21" s="9"/>
    </row>
    <row r="22" spans="1:97" ht="120" x14ac:dyDescent="0.25">
      <c r="A22" s="10"/>
      <c r="B22" s="10"/>
      <c r="C22" s="10"/>
      <c r="D22" s="10"/>
      <c r="E22" s="10"/>
      <c r="F22" s="50"/>
      <c r="G22" s="10"/>
      <c r="H22" s="10"/>
      <c r="I22" s="210"/>
      <c r="J22" s="14"/>
      <c r="K22" s="10" t="s">
        <v>2387</v>
      </c>
      <c r="L22" s="10">
        <v>929</v>
      </c>
      <c r="M22" s="81">
        <v>1105</v>
      </c>
      <c r="N22" s="10"/>
      <c r="O22" s="81">
        <v>1105</v>
      </c>
      <c r="P22" s="81">
        <v>1633</v>
      </c>
      <c r="Q22" s="49" t="s">
        <v>2388</v>
      </c>
      <c r="R22" s="16"/>
      <c r="S22" s="1"/>
      <c r="U22" s="334"/>
      <c r="V22" s="8"/>
      <c r="W22" s="8"/>
      <c r="X22" s="8"/>
      <c r="Y22" s="8"/>
      <c r="Z22" s="8"/>
      <c r="AA22" s="8"/>
      <c r="AB22" s="8"/>
      <c r="AC22" s="8"/>
      <c r="AD22" s="8"/>
      <c r="AE22" s="8"/>
      <c r="AF22" s="8"/>
      <c r="AG22" s="8"/>
      <c r="AH22" s="8"/>
      <c r="AK22" s="9"/>
      <c r="AO22" s="9"/>
      <c r="AS22" s="9"/>
      <c r="AW22" s="9"/>
      <c r="BA22" s="9"/>
      <c r="BE22" s="9"/>
      <c r="BI22" s="9"/>
      <c r="BM22" s="9"/>
      <c r="BQ22" s="9"/>
      <c r="BU22" s="9"/>
      <c r="BY22" s="9"/>
      <c r="CC22" s="9"/>
      <c r="CG22" s="9"/>
      <c r="CK22" s="9"/>
      <c r="CO22" s="9"/>
      <c r="CS22" s="9"/>
    </row>
    <row r="23" spans="1:97" ht="144" customHeight="1" x14ac:dyDescent="0.25">
      <c r="A23" s="10" t="s">
        <v>156</v>
      </c>
      <c r="B23" s="10" t="s">
        <v>2367</v>
      </c>
      <c r="C23" s="10" t="s">
        <v>2375</v>
      </c>
      <c r="D23" s="10">
        <v>224320000</v>
      </c>
      <c r="E23" s="10" t="s">
        <v>2389</v>
      </c>
      <c r="F23" s="50" t="s">
        <v>2390</v>
      </c>
      <c r="G23" s="10" t="s">
        <v>2391</v>
      </c>
      <c r="H23" s="10" t="s">
        <v>2392</v>
      </c>
      <c r="I23" s="210">
        <v>5767598421</v>
      </c>
      <c r="J23" s="14">
        <v>6276724311</v>
      </c>
      <c r="K23" s="10" t="s">
        <v>2393</v>
      </c>
      <c r="L23" s="10">
        <v>4000</v>
      </c>
      <c r="M23" s="81">
        <v>4000</v>
      </c>
      <c r="N23" s="10"/>
      <c r="O23" s="81">
        <v>0</v>
      </c>
      <c r="P23" s="81">
        <v>34369</v>
      </c>
      <c r="Q23" s="49" t="s">
        <v>2394</v>
      </c>
      <c r="R23" s="16"/>
      <c r="S23" s="1"/>
      <c r="U23" s="334"/>
      <c r="V23" s="8"/>
      <c r="W23" s="8"/>
      <c r="X23" s="8"/>
      <c r="Y23" s="8"/>
      <c r="Z23" s="8"/>
      <c r="AA23" s="8"/>
      <c r="AB23" s="8"/>
      <c r="AC23" s="8"/>
      <c r="AD23" s="8"/>
      <c r="AE23" s="8"/>
      <c r="AF23" s="8"/>
      <c r="AG23" s="8"/>
      <c r="AH23" s="8"/>
      <c r="AK23" s="9"/>
      <c r="AO23" s="9"/>
      <c r="AS23" s="9"/>
      <c r="AW23" s="9"/>
      <c r="BA23" s="9"/>
      <c r="BE23" s="9"/>
      <c r="BI23" s="9"/>
      <c r="BM23" s="9"/>
      <c r="BQ23" s="9"/>
      <c r="BU23" s="9"/>
      <c r="BY23" s="9"/>
      <c r="CC23" s="9"/>
      <c r="CG23" s="9"/>
      <c r="CK23" s="9"/>
      <c r="CO23" s="9"/>
      <c r="CS23" s="9"/>
    </row>
    <row r="24" spans="1:97" ht="178.5" x14ac:dyDescent="0.25">
      <c r="A24" s="10"/>
      <c r="B24" s="10"/>
      <c r="C24" s="10"/>
      <c r="D24" s="10"/>
      <c r="E24" s="10"/>
      <c r="F24" s="50"/>
      <c r="G24" s="10"/>
      <c r="H24" s="10"/>
      <c r="I24" s="210"/>
      <c r="J24" s="14"/>
      <c r="K24" s="10" t="s">
        <v>2395</v>
      </c>
      <c r="L24" s="10">
        <v>1600</v>
      </c>
      <c r="M24" s="81">
        <v>1600</v>
      </c>
      <c r="N24" s="10"/>
      <c r="O24" s="81">
        <v>0</v>
      </c>
      <c r="P24" s="81">
        <v>13089</v>
      </c>
      <c r="Q24" s="49" t="s">
        <v>2396</v>
      </c>
      <c r="R24" s="16"/>
      <c r="S24" s="1"/>
      <c r="U24" s="334"/>
      <c r="V24" s="8"/>
      <c r="W24" s="8"/>
      <c r="X24" s="8"/>
      <c r="Y24" s="8"/>
      <c r="Z24" s="8"/>
      <c r="AA24" s="8"/>
      <c r="AB24" s="8"/>
      <c r="AC24" s="8"/>
      <c r="AD24" s="8"/>
      <c r="AE24" s="8"/>
      <c r="AF24" s="8"/>
      <c r="AG24" s="8"/>
      <c r="AH24" s="8"/>
      <c r="AK24" s="9"/>
      <c r="AO24" s="9"/>
      <c r="AS24" s="9"/>
      <c r="AW24" s="9"/>
      <c r="BA24" s="9"/>
      <c r="BE24" s="9"/>
      <c r="BI24" s="9"/>
      <c r="BM24" s="9"/>
      <c r="BQ24" s="9"/>
      <c r="BU24" s="9"/>
      <c r="BY24" s="9"/>
      <c r="CC24" s="9"/>
      <c r="CG24" s="9"/>
      <c r="CK24" s="9"/>
      <c r="CO24" s="9"/>
      <c r="CS24" s="9"/>
    </row>
    <row r="25" spans="1:97" ht="123" customHeight="1" x14ac:dyDescent="0.25">
      <c r="A25" s="10" t="s">
        <v>156</v>
      </c>
      <c r="B25" s="10" t="s">
        <v>2367</v>
      </c>
      <c r="C25" s="10" t="s">
        <v>2397</v>
      </c>
      <c r="D25" s="10">
        <v>224220000</v>
      </c>
      <c r="E25" s="10" t="s">
        <v>2398</v>
      </c>
      <c r="F25" s="50" t="s">
        <v>2399</v>
      </c>
      <c r="G25" s="10" t="s">
        <v>2400</v>
      </c>
      <c r="H25" s="10" t="s">
        <v>2401</v>
      </c>
      <c r="I25" s="210">
        <v>52255529</v>
      </c>
      <c r="J25" s="14">
        <v>-68297422</v>
      </c>
      <c r="K25" s="10" t="s">
        <v>2402</v>
      </c>
      <c r="L25" s="10">
        <v>5000</v>
      </c>
      <c r="M25" s="81">
        <v>5000</v>
      </c>
      <c r="N25" s="10"/>
      <c r="O25" s="81">
        <v>803</v>
      </c>
      <c r="P25" s="81">
        <f>3155+1342+1100</f>
        <v>5597</v>
      </c>
      <c r="Q25" s="49"/>
      <c r="R25" s="16"/>
      <c r="S25" s="1"/>
      <c r="U25" s="334"/>
      <c r="V25" s="8"/>
      <c r="W25" s="8"/>
      <c r="X25" s="8"/>
      <c r="Y25" s="8"/>
      <c r="Z25" s="8"/>
      <c r="AA25" s="8"/>
      <c r="AB25" s="8"/>
      <c r="AC25" s="8"/>
      <c r="AD25" s="8"/>
      <c r="AE25" s="8"/>
      <c r="AF25" s="8"/>
      <c r="AG25" s="8"/>
      <c r="AH25" s="8"/>
      <c r="AK25" s="9"/>
      <c r="AO25" s="9"/>
      <c r="AS25" s="9"/>
      <c r="AW25" s="9"/>
      <c r="BA25" s="9"/>
      <c r="BE25" s="9"/>
      <c r="BI25" s="9"/>
      <c r="BM25" s="9"/>
      <c r="BQ25" s="9"/>
      <c r="BU25" s="9"/>
      <c r="BY25" s="9"/>
      <c r="CC25" s="9"/>
      <c r="CG25" s="9"/>
      <c r="CK25" s="9"/>
      <c r="CO25" s="9"/>
      <c r="CS25" s="9"/>
    </row>
    <row r="26" spans="1:97" ht="158.25" customHeight="1" x14ac:dyDescent="0.25">
      <c r="A26" s="10" t="s">
        <v>156</v>
      </c>
      <c r="B26" s="10" t="s">
        <v>2367</v>
      </c>
      <c r="C26" s="10" t="s">
        <v>2397</v>
      </c>
      <c r="D26" s="10">
        <v>224210000</v>
      </c>
      <c r="E26" s="10" t="s">
        <v>2403</v>
      </c>
      <c r="F26" s="50" t="s">
        <v>2404</v>
      </c>
      <c r="G26" s="10" t="s">
        <v>2405</v>
      </c>
      <c r="H26" s="10" t="s">
        <v>2406</v>
      </c>
      <c r="I26" s="210">
        <v>63372773</v>
      </c>
      <c r="J26" s="14">
        <v>-156075986</v>
      </c>
      <c r="K26" s="10" t="s">
        <v>2407</v>
      </c>
      <c r="L26" s="10">
        <v>60</v>
      </c>
      <c r="M26" s="84">
        <v>0.6</v>
      </c>
      <c r="N26" s="10"/>
      <c r="O26" s="81">
        <v>0</v>
      </c>
      <c r="P26" s="81">
        <v>20</v>
      </c>
      <c r="Q26" s="49" t="s">
        <v>2408</v>
      </c>
      <c r="R26" s="16"/>
      <c r="S26" s="1"/>
      <c r="U26" s="334"/>
      <c r="V26" s="8"/>
      <c r="W26" s="8"/>
      <c r="X26" s="8"/>
      <c r="Y26" s="8"/>
      <c r="Z26" s="8"/>
      <c r="AA26" s="8"/>
      <c r="AB26" s="8"/>
      <c r="AC26" s="8"/>
      <c r="AD26" s="8"/>
      <c r="AE26" s="8"/>
      <c r="AF26" s="8"/>
      <c r="AG26" s="8"/>
      <c r="AH26" s="8"/>
      <c r="AK26" s="9"/>
      <c r="AO26" s="9"/>
      <c r="AS26" s="9"/>
      <c r="AW26" s="9"/>
      <c r="BA26" s="9"/>
      <c r="BE26" s="9"/>
      <c r="BI26" s="9"/>
      <c r="BM26" s="9"/>
      <c r="BQ26" s="9"/>
      <c r="BU26" s="9"/>
      <c r="BY26" s="9"/>
      <c r="CC26" s="9"/>
      <c r="CG26" s="9"/>
      <c r="CK26" s="9"/>
      <c r="CO26" s="9"/>
      <c r="CS26" s="9"/>
    </row>
    <row r="27" spans="1:97" ht="122.25" customHeight="1" x14ac:dyDescent="0.25">
      <c r="A27" s="10" t="s">
        <v>156</v>
      </c>
      <c r="B27" s="10" t="s">
        <v>2367</v>
      </c>
      <c r="C27" s="10" t="s">
        <v>2368</v>
      </c>
      <c r="D27" s="10">
        <v>224110007</v>
      </c>
      <c r="E27" s="10" t="s">
        <v>2369</v>
      </c>
      <c r="F27" s="50" t="s">
        <v>2409</v>
      </c>
      <c r="G27" s="10" t="s">
        <v>2410</v>
      </c>
      <c r="H27" s="10" t="s">
        <v>2411</v>
      </c>
      <c r="I27" s="210">
        <v>-34898303</v>
      </c>
      <c r="J27" s="14">
        <v>177555385</v>
      </c>
      <c r="K27" s="10" t="s">
        <v>2412</v>
      </c>
      <c r="L27" s="10">
        <v>60</v>
      </c>
      <c r="M27" s="81">
        <v>60</v>
      </c>
      <c r="N27" s="10"/>
      <c r="O27" s="81">
        <v>56</v>
      </c>
      <c r="P27" s="81">
        <v>69</v>
      </c>
      <c r="Q27" s="49"/>
      <c r="R27" s="16"/>
      <c r="S27" s="1"/>
      <c r="U27" s="334"/>
      <c r="V27" s="8"/>
      <c r="W27" s="8"/>
      <c r="X27" s="8"/>
      <c r="Y27" s="8"/>
      <c r="Z27" s="8"/>
      <c r="AA27" s="8"/>
      <c r="AB27" s="8"/>
      <c r="AC27" s="8"/>
      <c r="AD27" s="8"/>
      <c r="AE27" s="8"/>
      <c r="AF27" s="8"/>
      <c r="AG27" s="8"/>
      <c r="AH27" s="8"/>
      <c r="AK27" s="9"/>
      <c r="AO27" s="9"/>
      <c r="AS27" s="9"/>
      <c r="AW27" s="9"/>
      <c r="BA27" s="9"/>
      <c r="BE27" s="9"/>
      <c r="BI27" s="9"/>
      <c r="BM27" s="9"/>
      <c r="BQ27" s="9"/>
      <c r="BU27" s="9"/>
      <c r="BY27" s="9"/>
      <c r="CC27" s="9"/>
      <c r="CG27" s="9"/>
      <c r="CK27" s="9"/>
      <c r="CO27" s="9"/>
      <c r="CS27" s="9"/>
    </row>
    <row r="28" spans="1:97" ht="107.25" customHeight="1" x14ac:dyDescent="0.25">
      <c r="A28" s="10" t="s">
        <v>55</v>
      </c>
      <c r="B28" s="10" t="s">
        <v>343</v>
      </c>
      <c r="C28" s="10" t="s">
        <v>2413</v>
      </c>
      <c r="D28" s="10">
        <v>245520007</v>
      </c>
      <c r="E28" s="10" t="s">
        <v>2414</v>
      </c>
      <c r="F28" s="50" t="s">
        <v>2415</v>
      </c>
      <c r="G28" s="10" t="s">
        <v>2416</v>
      </c>
      <c r="H28" s="10" t="s">
        <v>2417</v>
      </c>
      <c r="I28" s="210">
        <v>88699579</v>
      </c>
      <c r="J28" s="14">
        <v>-140516397</v>
      </c>
      <c r="K28" s="10" t="s">
        <v>2418</v>
      </c>
      <c r="L28" s="10">
        <v>50</v>
      </c>
      <c r="M28" s="81">
        <v>50</v>
      </c>
      <c r="N28" s="10"/>
      <c r="O28" s="81">
        <v>9</v>
      </c>
      <c r="P28" s="81">
        <v>50</v>
      </c>
      <c r="Q28" s="49" t="s">
        <v>2419</v>
      </c>
      <c r="R28" s="16"/>
      <c r="S28" s="1"/>
      <c r="U28" s="334"/>
      <c r="V28" s="8"/>
      <c r="W28" s="8"/>
      <c r="X28" s="8"/>
      <c r="Y28" s="8"/>
      <c r="Z28" s="8"/>
      <c r="AA28" s="8"/>
      <c r="AB28" s="8"/>
      <c r="AC28" s="8"/>
      <c r="AD28" s="8"/>
      <c r="AE28" s="8"/>
      <c r="AF28" s="8"/>
      <c r="AG28" s="8"/>
      <c r="AH28" s="8"/>
      <c r="AK28" s="9"/>
      <c r="AO28" s="9"/>
      <c r="AS28" s="9"/>
      <c r="AW28" s="9"/>
      <c r="BA28" s="9"/>
      <c r="BE28" s="9"/>
      <c r="BI28" s="9"/>
      <c r="BM28" s="9"/>
      <c r="BQ28" s="9"/>
      <c r="BU28" s="9"/>
      <c r="BY28" s="9"/>
      <c r="CC28" s="9"/>
      <c r="CG28" s="9"/>
      <c r="CK28" s="9"/>
      <c r="CO28" s="9"/>
      <c r="CS28" s="9"/>
    </row>
    <row r="29" spans="1:97" ht="92.25" customHeight="1" x14ac:dyDescent="0.25">
      <c r="A29" s="10" t="s">
        <v>55</v>
      </c>
      <c r="B29" s="10" t="s">
        <v>354</v>
      </c>
      <c r="C29" s="10" t="s">
        <v>355</v>
      </c>
      <c r="D29" s="10">
        <v>241120000</v>
      </c>
      <c r="E29" s="10" t="s">
        <v>434</v>
      </c>
      <c r="F29" s="50" t="s">
        <v>2420</v>
      </c>
      <c r="G29" s="10" t="s">
        <v>2421</v>
      </c>
      <c r="H29" s="10" t="s">
        <v>2422</v>
      </c>
      <c r="I29" s="210">
        <v>268493634</v>
      </c>
      <c r="J29" s="14">
        <v>44251478</v>
      </c>
      <c r="K29" s="10" t="s">
        <v>464</v>
      </c>
      <c r="L29" s="10">
        <v>225000</v>
      </c>
      <c r="M29" s="81">
        <v>225000</v>
      </c>
      <c r="N29" s="10"/>
      <c r="O29" s="81">
        <v>71228</v>
      </c>
      <c r="P29" s="81">
        <v>219851</v>
      </c>
      <c r="Q29" s="49" t="s">
        <v>2423</v>
      </c>
      <c r="R29" s="16"/>
      <c r="S29" s="1"/>
      <c r="U29" s="334"/>
      <c r="V29" s="8"/>
      <c r="W29" s="8"/>
      <c r="X29" s="8"/>
      <c r="Y29" s="8"/>
      <c r="Z29" s="8"/>
      <c r="AA29" s="8"/>
      <c r="AB29" s="8"/>
      <c r="AC29" s="8"/>
      <c r="AD29" s="8"/>
      <c r="AE29" s="8"/>
      <c r="AF29" s="8"/>
      <c r="AG29" s="8"/>
      <c r="AH29" s="8"/>
      <c r="AK29" s="9"/>
      <c r="AO29" s="9"/>
      <c r="AS29" s="9"/>
      <c r="AW29" s="9"/>
      <c r="BA29" s="9"/>
      <c r="BE29" s="9"/>
      <c r="BI29" s="9"/>
      <c r="BM29" s="9"/>
      <c r="BQ29" s="9"/>
      <c r="BU29" s="9"/>
      <c r="BY29" s="9"/>
      <c r="CC29" s="9"/>
      <c r="CG29" s="9"/>
      <c r="CK29" s="9"/>
      <c r="CO29" s="9"/>
      <c r="CS29" s="9"/>
    </row>
    <row r="30" spans="1:97" ht="111" customHeight="1" x14ac:dyDescent="0.25">
      <c r="A30" s="10" t="s">
        <v>55</v>
      </c>
      <c r="B30" s="10" t="s">
        <v>343</v>
      </c>
      <c r="C30" s="10" t="s">
        <v>2413</v>
      </c>
      <c r="D30" s="10">
        <v>245520002</v>
      </c>
      <c r="E30" s="10" t="s">
        <v>2414</v>
      </c>
      <c r="F30" s="50" t="s">
        <v>2424</v>
      </c>
      <c r="G30" s="10" t="s">
        <v>2425</v>
      </c>
      <c r="H30" s="10" t="s">
        <v>2426</v>
      </c>
      <c r="I30" s="210">
        <v>368557667</v>
      </c>
      <c r="J30" s="14">
        <v>304286269</v>
      </c>
      <c r="K30" s="10" t="s">
        <v>2427</v>
      </c>
      <c r="L30" s="10">
        <v>4200</v>
      </c>
      <c r="M30" s="81">
        <v>5111</v>
      </c>
      <c r="N30" s="10"/>
      <c r="O30" s="81">
        <v>5111</v>
      </c>
      <c r="P30" s="81">
        <v>6386</v>
      </c>
      <c r="Q30" s="49" t="s">
        <v>2428</v>
      </c>
      <c r="R30" s="16"/>
      <c r="S30" s="1"/>
      <c r="U30" s="334"/>
      <c r="V30" s="8"/>
      <c r="W30" s="8"/>
      <c r="X30" s="8"/>
      <c r="Y30" s="8"/>
      <c r="Z30" s="8"/>
      <c r="AA30" s="8"/>
      <c r="AB30" s="8"/>
      <c r="AC30" s="8"/>
      <c r="AD30" s="8"/>
      <c r="AE30" s="8"/>
      <c r="AF30" s="8"/>
      <c r="AG30" s="8"/>
      <c r="AH30" s="8"/>
      <c r="AK30" s="9"/>
      <c r="AO30" s="9"/>
      <c r="AS30" s="9"/>
      <c r="AW30" s="9"/>
      <c r="BA30" s="9"/>
      <c r="BE30" s="9"/>
      <c r="BI30" s="9"/>
      <c r="BM30" s="9"/>
      <c r="BQ30" s="9"/>
      <c r="BU30" s="9"/>
      <c r="BY30" s="9"/>
      <c r="CC30" s="9"/>
      <c r="CG30" s="9"/>
      <c r="CK30" s="9"/>
      <c r="CO30" s="9"/>
      <c r="CS30" s="9"/>
    </row>
    <row r="31" spans="1:97" ht="94.5" customHeight="1" x14ac:dyDescent="0.25">
      <c r="A31" s="10" t="s">
        <v>55</v>
      </c>
      <c r="B31" s="10" t="s">
        <v>343</v>
      </c>
      <c r="C31" s="10" t="s">
        <v>2413</v>
      </c>
      <c r="D31" s="10">
        <v>245520008</v>
      </c>
      <c r="E31" s="10" t="s">
        <v>2414</v>
      </c>
      <c r="F31" s="50" t="s">
        <v>2429</v>
      </c>
      <c r="G31" s="10" t="s">
        <v>2430</v>
      </c>
      <c r="H31" s="10" t="s">
        <v>2431</v>
      </c>
      <c r="I31" s="210">
        <v>200000000</v>
      </c>
      <c r="J31" s="14">
        <v>154431621</v>
      </c>
      <c r="K31" s="10" t="s">
        <v>2432</v>
      </c>
      <c r="L31" s="10">
        <v>35</v>
      </c>
      <c r="M31" s="81">
        <v>35</v>
      </c>
      <c r="N31" s="10"/>
      <c r="O31" s="81">
        <v>8</v>
      </c>
      <c r="P31" s="81">
        <v>35</v>
      </c>
      <c r="Q31" s="49" t="s">
        <v>2433</v>
      </c>
      <c r="R31" s="16"/>
      <c r="S31" s="1"/>
      <c r="U31" s="334"/>
      <c r="V31" s="8"/>
      <c r="W31" s="8"/>
      <c r="X31" s="8"/>
      <c r="Y31" s="8"/>
      <c r="Z31" s="8"/>
      <c r="AA31" s="8"/>
      <c r="AB31" s="8"/>
      <c r="AC31" s="8"/>
      <c r="AD31" s="8"/>
      <c r="AE31" s="8"/>
      <c r="AF31" s="8"/>
      <c r="AG31" s="8"/>
      <c r="AH31" s="8"/>
      <c r="AK31" s="9"/>
      <c r="AO31" s="9"/>
      <c r="AS31" s="9"/>
      <c r="AW31" s="9"/>
      <c r="BA31" s="9"/>
      <c r="BE31" s="9"/>
      <c r="BI31" s="9"/>
      <c r="BM31" s="9"/>
      <c r="BQ31" s="9"/>
      <c r="BU31" s="9"/>
      <c r="BY31" s="9"/>
      <c r="CC31" s="9"/>
      <c r="CG31" s="9"/>
      <c r="CK31" s="9"/>
      <c r="CO31" s="9"/>
      <c r="CS31" s="9"/>
    </row>
    <row r="32" spans="1:97" ht="150" x14ac:dyDescent="0.25">
      <c r="A32" s="59" t="s">
        <v>2434</v>
      </c>
      <c r="B32" s="59" t="s">
        <v>2435</v>
      </c>
      <c r="C32" s="59" t="s">
        <v>2436</v>
      </c>
      <c r="D32" s="41"/>
      <c r="E32" s="59" t="s">
        <v>2437</v>
      </c>
      <c r="F32" s="11">
        <v>2012050000346</v>
      </c>
      <c r="G32" s="11" t="s">
        <v>2438</v>
      </c>
      <c r="H32" s="59" t="s">
        <v>2439</v>
      </c>
      <c r="I32" s="210">
        <v>1333037033</v>
      </c>
      <c r="J32" s="210">
        <v>1814804029</v>
      </c>
      <c r="K32" s="10" t="s">
        <v>2440</v>
      </c>
      <c r="L32" s="10">
        <v>70000</v>
      </c>
      <c r="M32" s="81">
        <v>70000</v>
      </c>
      <c r="N32" s="41"/>
      <c r="O32" s="81">
        <v>36158</v>
      </c>
      <c r="P32" s="81">
        <v>52058</v>
      </c>
      <c r="Q32" s="49"/>
      <c r="R32" s="16"/>
      <c r="S32" s="1"/>
      <c r="U32" s="334"/>
    </row>
  </sheetData>
  <sheetProtection algorithmName="SHA-512" hashValue="bXcLD4BA9wVmBk9virNMldlSeJtpfFRyGWKiYdajG8hydbnnZ30xUSkgO4GmXNeZs9IZmgkQwQ8xdhdL1onwhw==" saltValue="CEhjuZwtXR38ouhJuUjI7Q=="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9"/>
  <sheetViews>
    <sheetView showZeros="0" topLeftCell="R4" zoomScaleNormal="100" workbookViewId="0">
      <pane ySplit="5" topLeftCell="A9" activePane="bottomLeft" state="frozen"/>
      <selection activeCell="A4" sqref="A4"/>
      <selection pane="bottomLeft" activeCell="Y10" sqref="Y10"/>
    </sheetView>
  </sheetViews>
  <sheetFormatPr baseColWidth="10" defaultRowHeight="15" x14ac:dyDescent="0.25"/>
  <cols>
    <col min="1" max="1" width="11.140625" style="1" customWidth="1"/>
    <col min="2" max="2" width="14.28515625" style="1" customWidth="1"/>
    <col min="3" max="3" width="14" style="1" customWidth="1"/>
    <col min="4" max="4" width="10.28515625" style="1" customWidth="1"/>
    <col min="5" max="5" width="15.140625" style="1" customWidth="1"/>
    <col min="6" max="6" width="12.5703125" style="1" customWidth="1"/>
    <col min="7" max="7" width="19.28515625" style="1" customWidth="1"/>
    <col min="8" max="8" width="14.140625" style="1" customWidth="1"/>
    <col min="9" max="9" width="15.85546875" style="1" customWidth="1"/>
    <col min="10" max="10" width="15.140625" style="1" customWidth="1"/>
    <col min="11" max="11" width="13.42578125" style="1" customWidth="1"/>
    <col min="12" max="12" width="15.85546875" style="1" customWidth="1"/>
    <col min="13" max="13" width="12.140625" style="1" customWidth="1"/>
    <col min="14" max="14" width="13" style="1" customWidth="1"/>
    <col min="15" max="16" width="13.140625" style="1" customWidth="1"/>
    <col min="17" max="17" width="13.7109375" style="1" customWidth="1"/>
    <col min="18" max="18" width="13.85546875" style="1" customWidth="1"/>
    <col min="19" max="19" width="12" style="1" customWidth="1"/>
    <col min="20" max="20" width="18.140625" style="1" customWidth="1"/>
    <col min="21" max="21" width="9.28515625" style="1" customWidth="1"/>
    <col min="22" max="22" width="13.42578125" style="1" customWidth="1"/>
    <col min="23" max="24" width="14.5703125" style="1" customWidth="1"/>
    <col min="25" max="25" width="11.7109375" style="1" customWidth="1"/>
    <col min="26" max="29" width="11.42578125" style="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2272</v>
      </c>
      <c r="D5" s="24"/>
      <c r="E5" s="24"/>
      <c r="F5" s="24"/>
      <c r="G5" s="24"/>
      <c r="H5" s="24"/>
      <c r="I5" s="25"/>
      <c r="J5" s="25"/>
      <c r="K5" s="24"/>
      <c r="L5" s="25"/>
      <c r="M5" s="25"/>
      <c r="N5" s="25"/>
      <c r="O5" s="25"/>
      <c r="P5" s="25"/>
      <c r="Q5" s="27"/>
      <c r="R5" s="27"/>
      <c r="S5" s="27"/>
      <c r="T5" s="27"/>
      <c r="U5" s="27"/>
      <c r="V5" s="27"/>
      <c r="W5" s="27"/>
      <c r="X5" s="27"/>
      <c r="Y5" s="27"/>
      <c r="Z5" s="27"/>
      <c r="AA5" s="27"/>
      <c r="AB5" s="27"/>
      <c r="AC5" s="27"/>
      <c r="AD5" s="27"/>
    </row>
    <row r="6" spans="1:42" x14ac:dyDescent="0.25">
      <c r="K6" s="155"/>
    </row>
    <row r="7" spans="1:42" s="29" customFormat="1" ht="24" customHeight="1"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36"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72" x14ac:dyDescent="0.25">
      <c r="A9" s="34" t="s">
        <v>23</v>
      </c>
      <c r="B9" s="34" t="s">
        <v>142</v>
      </c>
      <c r="C9" s="34" t="s">
        <v>150</v>
      </c>
      <c r="D9" s="34">
        <v>212350000</v>
      </c>
      <c r="E9" s="74" t="s">
        <v>2274</v>
      </c>
      <c r="F9" s="34" t="s">
        <v>2275</v>
      </c>
      <c r="G9" s="34" t="s">
        <v>2276</v>
      </c>
      <c r="H9" s="36">
        <v>2500000000</v>
      </c>
      <c r="I9" s="36">
        <v>5500000000</v>
      </c>
      <c r="J9" s="36">
        <v>2302385947</v>
      </c>
      <c r="K9" s="36">
        <v>0</v>
      </c>
      <c r="L9" s="36"/>
      <c r="M9" s="36"/>
      <c r="N9" s="36">
        <f t="shared" ref="N9:P10" si="0">H9+K9</f>
        <v>2500000000</v>
      </c>
      <c r="O9" s="36">
        <f t="shared" si="0"/>
        <v>5500000000</v>
      </c>
      <c r="P9" s="36">
        <f t="shared" si="0"/>
        <v>2302385947</v>
      </c>
      <c r="Q9" s="36">
        <v>2257310129</v>
      </c>
      <c r="R9" s="36"/>
      <c r="S9" s="36">
        <f>Q9+R9</f>
        <v>2257310129</v>
      </c>
      <c r="T9" s="37">
        <v>0</v>
      </c>
      <c r="U9" s="37">
        <v>0</v>
      </c>
      <c r="V9" s="37">
        <v>0</v>
      </c>
      <c r="W9" s="34"/>
      <c r="X9" s="34"/>
      <c r="Y9" s="34"/>
      <c r="Z9" s="34"/>
      <c r="AA9" s="34">
        <v>0</v>
      </c>
      <c r="AB9" s="34"/>
      <c r="AC9" s="34"/>
      <c r="AD9" s="10"/>
      <c r="AE9" s="10">
        <v>0</v>
      </c>
      <c r="AF9" s="10">
        <v>0</v>
      </c>
      <c r="AG9" s="10">
        <v>0</v>
      </c>
      <c r="AH9" s="10">
        <v>0</v>
      </c>
      <c r="AI9" s="10">
        <v>0</v>
      </c>
      <c r="AJ9" s="10">
        <v>0</v>
      </c>
      <c r="AK9" s="10">
        <v>0</v>
      </c>
      <c r="AL9" s="10">
        <v>0</v>
      </c>
      <c r="AM9" s="10">
        <v>0</v>
      </c>
      <c r="AN9" s="10">
        <v>0</v>
      </c>
      <c r="AO9" s="10">
        <v>0</v>
      </c>
      <c r="AP9" s="10">
        <v>0</v>
      </c>
    </row>
    <row r="10" spans="1:42" ht="168.75" x14ac:dyDescent="0.25">
      <c r="A10" s="34">
        <v>0</v>
      </c>
      <c r="B10" s="34">
        <v>0</v>
      </c>
      <c r="C10" s="34">
        <v>0</v>
      </c>
      <c r="D10" s="34">
        <v>0</v>
      </c>
      <c r="E10" s="74">
        <v>0</v>
      </c>
      <c r="F10" s="34">
        <v>0</v>
      </c>
      <c r="G10" s="34">
        <v>0</v>
      </c>
      <c r="H10" s="36">
        <v>0</v>
      </c>
      <c r="I10" s="39"/>
      <c r="J10" s="39"/>
      <c r="K10" s="39"/>
      <c r="L10" s="39"/>
      <c r="M10" s="39"/>
      <c r="N10" s="36">
        <f t="shared" si="0"/>
        <v>0</v>
      </c>
      <c r="O10" s="36">
        <f t="shared" si="0"/>
        <v>0</v>
      </c>
      <c r="P10" s="36">
        <f t="shared" si="0"/>
        <v>0</v>
      </c>
      <c r="Q10" s="39"/>
      <c r="R10" s="39"/>
      <c r="S10" s="36">
        <f>Q10+R10</f>
        <v>0</v>
      </c>
      <c r="T10" s="381" t="s">
        <v>2291</v>
      </c>
      <c r="U10" s="382" t="s">
        <v>266</v>
      </c>
      <c r="V10" s="382">
        <v>1</v>
      </c>
      <c r="W10" s="382"/>
      <c r="X10" s="10"/>
      <c r="Y10" s="383">
        <v>0.6</v>
      </c>
      <c r="Z10" s="383">
        <f>+Y10</f>
        <v>0.6</v>
      </c>
      <c r="AA10" s="382">
        <v>360</v>
      </c>
      <c r="AB10" s="382">
        <v>180</v>
      </c>
      <c r="AC10" s="383">
        <f>+AB10+180</f>
        <v>360</v>
      </c>
      <c r="AD10" s="381" t="s">
        <v>2292</v>
      </c>
      <c r="AE10" s="384" t="s">
        <v>218</v>
      </c>
      <c r="AF10" s="384" t="s">
        <v>218</v>
      </c>
      <c r="AG10" s="384" t="s">
        <v>218</v>
      </c>
      <c r="AH10" s="384" t="s">
        <v>218</v>
      </c>
      <c r="AI10" s="384" t="s">
        <v>218</v>
      </c>
      <c r="AJ10" s="384" t="s">
        <v>218</v>
      </c>
      <c r="AK10" s="384" t="s">
        <v>218</v>
      </c>
      <c r="AL10" s="384" t="s">
        <v>218</v>
      </c>
      <c r="AM10" s="384" t="s">
        <v>218</v>
      </c>
      <c r="AN10" s="384" t="s">
        <v>218</v>
      </c>
      <c r="AO10" s="384" t="s">
        <v>218</v>
      </c>
      <c r="AP10" s="384" t="s">
        <v>218</v>
      </c>
    </row>
    <row r="11" spans="1:42" ht="168.75" x14ac:dyDescent="0.25">
      <c r="A11" s="34"/>
      <c r="B11" s="34"/>
      <c r="C11" s="34"/>
      <c r="D11" s="34"/>
      <c r="E11" s="74"/>
      <c r="F11" s="34"/>
      <c r="G11" s="34"/>
      <c r="H11" s="36"/>
      <c r="I11" s="39"/>
      <c r="J11" s="39"/>
      <c r="K11" s="39"/>
      <c r="L11" s="39"/>
      <c r="M11" s="39"/>
      <c r="N11" s="36"/>
      <c r="O11" s="36"/>
      <c r="P11" s="36"/>
      <c r="Q11" s="39"/>
      <c r="R11" s="39"/>
      <c r="S11" s="36"/>
      <c r="T11" s="381" t="s">
        <v>2293</v>
      </c>
      <c r="U11" s="382" t="s">
        <v>266</v>
      </c>
      <c r="V11" s="382">
        <v>1</v>
      </c>
      <c r="W11" s="382"/>
      <c r="X11" s="10"/>
      <c r="Y11" s="383">
        <v>0.75</v>
      </c>
      <c r="Z11" s="383">
        <f>+Y11+0.05</f>
        <v>0.8</v>
      </c>
      <c r="AA11" s="382">
        <v>360</v>
      </c>
      <c r="AB11" s="382">
        <v>180</v>
      </c>
      <c r="AC11" s="383">
        <f>+AB11+180</f>
        <v>360</v>
      </c>
      <c r="AD11" s="381" t="s">
        <v>2294</v>
      </c>
      <c r="AE11" s="384" t="s">
        <v>218</v>
      </c>
      <c r="AF11" s="384" t="s">
        <v>218</v>
      </c>
      <c r="AG11" s="384" t="s">
        <v>218</v>
      </c>
      <c r="AH11" s="384" t="s">
        <v>218</v>
      </c>
      <c r="AI11" s="384" t="s">
        <v>218</v>
      </c>
      <c r="AJ11" s="384" t="s">
        <v>218</v>
      </c>
      <c r="AK11" s="384" t="s">
        <v>218</v>
      </c>
      <c r="AL11" s="384" t="s">
        <v>218</v>
      </c>
      <c r="AM11" s="384" t="s">
        <v>218</v>
      </c>
      <c r="AN11" s="384" t="s">
        <v>218</v>
      </c>
      <c r="AO11" s="384" t="s">
        <v>218</v>
      </c>
      <c r="AP11" s="384" t="s">
        <v>218</v>
      </c>
    </row>
    <row r="12" spans="1:42" ht="132" customHeight="1" x14ac:dyDescent="0.25">
      <c r="A12" s="34"/>
      <c r="B12" s="34"/>
      <c r="C12" s="34"/>
      <c r="D12" s="34"/>
      <c r="E12" s="74"/>
      <c r="F12" s="34"/>
      <c r="G12" s="34"/>
      <c r="H12" s="36"/>
      <c r="I12" s="39"/>
      <c r="J12" s="39"/>
      <c r="K12" s="39"/>
      <c r="L12" s="39"/>
      <c r="M12" s="39"/>
      <c r="N12" s="36"/>
      <c r="O12" s="36"/>
      <c r="P12" s="36"/>
      <c r="Q12" s="39"/>
      <c r="R12" s="39"/>
      <c r="S12" s="36"/>
      <c r="T12" s="381" t="s">
        <v>2295</v>
      </c>
      <c r="U12" s="382" t="s">
        <v>266</v>
      </c>
      <c r="V12" s="382">
        <v>1</v>
      </c>
      <c r="W12" s="382"/>
      <c r="X12" s="10"/>
      <c r="Y12" s="382">
        <v>0.5</v>
      </c>
      <c r="Z12" s="383">
        <v>1</v>
      </c>
      <c r="AA12" s="382">
        <v>360</v>
      </c>
      <c r="AB12" s="382">
        <v>180</v>
      </c>
      <c r="AC12" s="383">
        <v>360</v>
      </c>
      <c r="AD12" s="10" t="s">
        <v>2296</v>
      </c>
      <c r="AE12" s="384" t="s">
        <v>218</v>
      </c>
      <c r="AF12" s="384" t="s">
        <v>218</v>
      </c>
      <c r="AG12" s="384" t="s">
        <v>218</v>
      </c>
      <c r="AH12" s="384" t="s">
        <v>218</v>
      </c>
      <c r="AI12" s="384" t="s">
        <v>218</v>
      </c>
      <c r="AJ12" s="384" t="s">
        <v>218</v>
      </c>
      <c r="AK12" s="384" t="s">
        <v>218</v>
      </c>
      <c r="AL12" s="384" t="s">
        <v>218</v>
      </c>
      <c r="AM12" s="384" t="s">
        <v>218</v>
      </c>
      <c r="AN12" s="384" t="s">
        <v>218</v>
      </c>
      <c r="AO12" s="384" t="s">
        <v>218</v>
      </c>
      <c r="AP12" s="384" t="s">
        <v>218</v>
      </c>
    </row>
    <row r="13" spans="1:42" ht="135" x14ac:dyDescent="0.25">
      <c r="A13" s="34"/>
      <c r="B13" s="34"/>
      <c r="C13" s="34"/>
      <c r="D13" s="34"/>
      <c r="E13" s="74"/>
      <c r="F13" s="34"/>
      <c r="G13" s="34"/>
      <c r="H13" s="36"/>
      <c r="I13" s="39"/>
      <c r="J13" s="39"/>
      <c r="K13" s="39"/>
      <c r="L13" s="39"/>
      <c r="M13" s="39"/>
      <c r="N13" s="36"/>
      <c r="O13" s="36"/>
      <c r="P13" s="36"/>
      <c r="Q13" s="39"/>
      <c r="R13" s="39"/>
      <c r="S13" s="36"/>
      <c r="T13" s="381" t="s">
        <v>2297</v>
      </c>
      <c r="U13" s="382" t="s">
        <v>266</v>
      </c>
      <c r="V13" s="382">
        <v>1</v>
      </c>
      <c r="W13" s="382"/>
      <c r="X13" s="10"/>
      <c r="Y13" s="382">
        <v>0.5</v>
      </c>
      <c r="Z13" s="383">
        <v>1</v>
      </c>
      <c r="AA13" s="382">
        <v>360</v>
      </c>
      <c r="AB13" s="382">
        <v>180</v>
      </c>
      <c r="AC13" s="383">
        <v>360</v>
      </c>
      <c r="AD13" s="381" t="s">
        <v>2298</v>
      </c>
      <c r="AE13" s="384" t="s">
        <v>218</v>
      </c>
      <c r="AF13" s="384" t="s">
        <v>218</v>
      </c>
      <c r="AG13" s="384" t="s">
        <v>218</v>
      </c>
      <c r="AH13" s="384" t="s">
        <v>218</v>
      </c>
      <c r="AI13" s="384" t="s">
        <v>218</v>
      </c>
      <c r="AJ13" s="384" t="s">
        <v>218</v>
      </c>
      <c r="AK13" s="384" t="s">
        <v>218</v>
      </c>
      <c r="AL13" s="384" t="s">
        <v>218</v>
      </c>
      <c r="AM13" s="384" t="s">
        <v>218</v>
      </c>
      <c r="AN13" s="384" t="s">
        <v>218</v>
      </c>
      <c r="AO13" s="384" t="s">
        <v>218</v>
      </c>
      <c r="AP13" s="384" t="s">
        <v>218</v>
      </c>
    </row>
    <row r="14" spans="1:42" ht="78.75" x14ac:dyDescent="0.25">
      <c r="A14" s="34"/>
      <c r="B14" s="34"/>
      <c r="C14" s="34"/>
      <c r="D14" s="34"/>
      <c r="E14" s="74"/>
      <c r="F14" s="34"/>
      <c r="G14" s="34"/>
      <c r="H14" s="36"/>
      <c r="I14" s="39"/>
      <c r="J14" s="39"/>
      <c r="K14" s="39"/>
      <c r="L14" s="39"/>
      <c r="M14" s="39"/>
      <c r="N14" s="36"/>
      <c r="O14" s="36"/>
      <c r="P14" s="36"/>
      <c r="Q14" s="39"/>
      <c r="R14" s="39"/>
      <c r="S14" s="36"/>
      <c r="T14" s="381" t="s">
        <v>2299</v>
      </c>
      <c r="U14" s="382" t="s">
        <v>266</v>
      </c>
      <c r="V14" s="382">
        <v>4</v>
      </c>
      <c r="W14" s="382"/>
      <c r="X14" s="10"/>
      <c r="Y14" s="382">
        <v>0.1</v>
      </c>
      <c r="Z14" s="383">
        <v>3</v>
      </c>
      <c r="AA14" s="382">
        <v>360</v>
      </c>
      <c r="AB14" s="382">
        <v>180</v>
      </c>
      <c r="AC14" s="383">
        <f>180+AB14</f>
        <v>360</v>
      </c>
      <c r="AD14" s="381" t="s">
        <v>2300</v>
      </c>
      <c r="AE14" s="384" t="s">
        <v>218</v>
      </c>
      <c r="AF14" s="384" t="s">
        <v>218</v>
      </c>
      <c r="AG14" s="384" t="s">
        <v>218</v>
      </c>
      <c r="AH14" s="384" t="s">
        <v>218</v>
      </c>
      <c r="AI14" s="384" t="s">
        <v>218</v>
      </c>
      <c r="AJ14" s="384" t="s">
        <v>218</v>
      </c>
      <c r="AK14" s="384" t="s">
        <v>218</v>
      </c>
      <c r="AL14" s="384" t="s">
        <v>218</v>
      </c>
      <c r="AM14" s="384" t="s">
        <v>218</v>
      </c>
      <c r="AN14" s="384" t="s">
        <v>218</v>
      </c>
      <c r="AO14" s="384" t="s">
        <v>218</v>
      </c>
      <c r="AP14" s="384" t="s">
        <v>218</v>
      </c>
    </row>
    <row r="15" spans="1:42" ht="45" x14ac:dyDescent="0.25">
      <c r="A15" s="34"/>
      <c r="B15" s="34"/>
      <c r="C15" s="34"/>
      <c r="D15" s="34"/>
      <c r="E15" s="74"/>
      <c r="F15" s="34"/>
      <c r="G15" s="34"/>
      <c r="H15" s="36"/>
      <c r="I15" s="39"/>
      <c r="J15" s="39"/>
      <c r="K15" s="39"/>
      <c r="L15" s="39"/>
      <c r="M15" s="39"/>
      <c r="N15" s="36"/>
      <c r="O15" s="36"/>
      <c r="P15" s="36"/>
      <c r="Q15" s="39"/>
      <c r="R15" s="39"/>
      <c r="S15" s="36"/>
      <c r="T15" s="381" t="s">
        <v>2301</v>
      </c>
      <c r="U15" s="382" t="s">
        <v>266</v>
      </c>
      <c r="V15" s="382">
        <v>1</v>
      </c>
      <c r="W15" s="382"/>
      <c r="X15" s="10"/>
      <c r="Y15" s="10"/>
      <c r="Z15" s="10">
        <v>1</v>
      </c>
      <c r="AA15" s="382">
        <v>360</v>
      </c>
      <c r="AB15" s="382">
        <v>180</v>
      </c>
      <c r="AC15" s="10">
        <f>+AB15+180</f>
        <v>360</v>
      </c>
      <c r="AD15" s="381"/>
      <c r="AE15" s="384" t="s">
        <v>218</v>
      </c>
      <c r="AF15" s="384" t="s">
        <v>218</v>
      </c>
      <c r="AG15" s="384" t="s">
        <v>218</v>
      </c>
      <c r="AH15" s="384" t="s">
        <v>218</v>
      </c>
      <c r="AI15" s="384" t="s">
        <v>218</v>
      </c>
      <c r="AJ15" s="384" t="s">
        <v>218</v>
      </c>
      <c r="AK15" s="384" t="s">
        <v>218</v>
      </c>
      <c r="AL15" s="384" t="s">
        <v>218</v>
      </c>
      <c r="AM15" s="384" t="s">
        <v>218</v>
      </c>
      <c r="AN15" s="384" t="s">
        <v>218</v>
      </c>
      <c r="AO15" s="384" t="s">
        <v>218</v>
      </c>
      <c r="AP15" s="384" t="s">
        <v>218</v>
      </c>
    </row>
    <row r="16" spans="1:42" ht="56.25" x14ac:dyDescent="0.25">
      <c r="A16" s="34"/>
      <c r="B16" s="34"/>
      <c r="C16" s="34"/>
      <c r="D16" s="34"/>
      <c r="E16" s="74"/>
      <c r="F16" s="34"/>
      <c r="G16" s="34"/>
      <c r="H16" s="36"/>
      <c r="I16" s="39"/>
      <c r="J16" s="39"/>
      <c r="K16" s="39"/>
      <c r="L16" s="39"/>
      <c r="M16" s="39"/>
      <c r="N16" s="36"/>
      <c r="O16" s="36"/>
      <c r="P16" s="36"/>
      <c r="Q16" s="39"/>
      <c r="R16" s="39"/>
      <c r="S16" s="36"/>
      <c r="T16" s="381" t="s">
        <v>2302</v>
      </c>
      <c r="U16" s="382" t="s">
        <v>266</v>
      </c>
      <c r="V16" s="382">
        <v>200</v>
      </c>
      <c r="W16" s="382"/>
      <c r="X16" s="10"/>
      <c r="Y16" s="385">
        <v>96</v>
      </c>
      <c r="Z16" s="11">
        <f>101+Y16</f>
        <v>197</v>
      </c>
      <c r="AA16" s="382">
        <v>360</v>
      </c>
      <c r="AB16" s="382">
        <v>180</v>
      </c>
      <c r="AC16" s="10">
        <f>+AB16+180</f>
        <v>360</v>
      </c>
      <c r="AD16" s="44"/>
      <c r="AE16" s="384" t="s">
        <v>218</v>
      </c>
      <c r="AF16" s="384" t="s">
        <v>218</v>
      </c>
      <c r="AG16" s="384" t="s">
        <v>218</v>
      </c>
      <c r="AH16" s="384" t="s">
        <v>218</v>
      </c>
      <c r="AI16" s="384" t="s">
        <v>218</v>
      </c>
      <c r="AJ16" s="384" t="s">
        <v>218</v>
      </c>
      <c r="AK16" s="384" t="s">
        <v>218</v>
      </c>
      <c r="AL16" s="384" t="s">
        <v>218</v>
      </c>
      <c r="AM16" s="384" t="s">
        <v>218</v>
      </c>
      <c r="AN16" s="384" t="s">
        <v>218</v>
      </c>
      <c r="AO16" s="384" t="s">
        <v>218</v>
      </c>
      <c r="AP16" s="384" t="s">
        <v>218</v>
      </c>
    </row>
    <row r="17" spans="1:42" ht="48" customHeight="1" x14ac:dyDescent="0.25">
      <c r="A17" s="34"/>
      <c r="B17" s="34"/>
      <c r="C17" s="34"/>
      <c r="D17" s="34"/>
      <c r="E17" s="74"/>
      <c r="F17" s="34"/>
      <c r="G17" s="34"/>
      <c r="H17" s="36"/>
      <c r="I17" s="39"/>
      <c r="J17" s="39"/>
      <c r="K17" s="39"/>
      <c r="L17" s="39"/>
      <c r="M17" s="39"/>
      <c r="N17" s="36"/>
      <c r="O17" s="36"/>
      <c r="P17" s="36"/>
      <c r="Q17" s="39"/>
      <c r="R17" s="39"/>
      <c r="S17" s="36"/>
      <c r="T17" s="381" t="s">
        <v>2303</v>
      </c>
      <c r="U17" s="382" t="s">
        <v>266</v>
      </c>
      <c r="V17" s="382">
        <v>2</v>
      </c>
      <c r="W17" s="382"/>
      <c r="X17" s="10"/>
      <c r="Y17" s="382">
        <v>1</v>
      </c>
      <c r="Z17" s="383">
        <f>+Y17</f>
        <v>1</v>
      </c>
      <c r="AA17" s="382">
        <v>360</v>
      </c>
      <c r="AB17" s="382">
        <v>180</v>
      </c>
      <c r="AC17" s="383">
        <f>180+AB17</f>
        <v>360</v>
      </c>
      <c r="AD17" s="10" t="s">
        <v>2304</v>
      </c>
      <c r="AE17" s="384" t="s">
        <v>218</v>
      </c>
      <c r="AF17" s="384" t="s">
        <v>218</v>
      </c>
      <c r="AG17" s="384" t="s">
        <v>218</v>
      </c>
      <c r="AH17" s="384" t="s">
        <v>218</v>
      </c>
      <c r="AI17" s="384" t="s">
        <v>218</v>
      </c>
      <c r="AJ17" s="384" t="s">
        <v>218</v>
      </c>
      <c r="AK17" s="384" t="s">
        <v>218</v>
      </c>
      <c r="AL17" s="384" t="s">
        <v>218</v>
      </c>
      <c r="AM17" s="384" t="s">
        <v>218</v>
      </c>
      <c r="AN17" s="384" t="s">
        <v>218</v>
      </c>
      <c r="AO17" s="384" t="s">
        <v>218</v>
      </c>
      <c r="AP17" s="384" t="s">
        <v>218</v>
      </c>
    </row>
    <row r="18" spans="1:42" ht="56.25" x14ac:dyDescent="0.25">
      <c r="A18" s="34"/>
      <c r="B18" s="34"/>
      <c r="C18" s="34"/>
      <c r="D18" s="34"/>
      <c r="E18" s="74"/>
      <c r="F18" s="34"/>
      <c r="G18" s="34"/>
      <c r="H18" s="36"/>
      <c r="I18" s="39"/>
      <c r="J18" s="39"/>
      <c r="K18" s="39"/>
      <c r="L18" s="39"/>
      <c r="M18" s="39"/>
      <c r="N18" s="36"/>
      <c r="O18" s="36"/>
      <c r="P18" s="36"/>
      <c r="Q18" s="39"/>
      <c r="R18" s="39"/>
      <c r="S18" s="36"/>
      <c r="T18" s="381" t="s">
        <v>2305</v>
      </c>
      <c r="U18" s="382" t="s">
        <v>266</v>
      </c>
      <c r="V18" s="382">
        <v>1</v>
      </c>
      <c r="W18" s="382"/>
      <c r="X18" s="10"/>
      <c r="Y18" s="382">
        <v>0.85</v>
      </c>
      <c r="Z18" s="383">
        <f>+Y18+0.15</f>
        <v>1</v>
      </c>
      <c r="AA18" s="382">
        <v>360</v>
      </c>
      <c r="AB18" s="382">
        <v>180</v>
      </c>
      <c r="AC18" s="383">
        <f>+AB18+180</f>
        <v>360</v>
      </c>
      <c r="AD18" s="10"/>
      <c r="AE18" s="384" t="s">
        <v>218</v>
      </c>
      <c r="AF18" s="384" t="s">
        <v>218</v>
      </c>
      <c r="AG18" s="384" t="s">
        <v>218</v>
      </c>
      <c r="AH18" s="384" t="s">
        <v>218</v>
      </c>
      <c r="AI18" s="384" t="s">
        <v>218</v>
      </c>
      <c r="AJ18" s="384" t="s">
        <v>218</v>
      </c>
      <c r="AK18" s="384" t="s">
        <v>218</v>
      </c>
      <c r="AL18" s="384" t="s">
        <v>218</v>
      </c>
      <c r="AM18" s="384" t="s">
        <v>218</v>
      </c>
      <c r="AN18" s="384" t="s">
        <v>218</v>
      </c>
      <c r="AO18" s="384" t="s">
        <v>218</v>
      </c>
      <c r="AP18" s="384" t="s">
        <v>218</v>
      </c>
    </row>
    <row r="19" spans="1:42" ht="105" x14ac:dyDescent="0.25">
      <c r="A19" s="34"/>
      <c r="B19" s="34"/>
      <c r="C19" s="34"/>
      <c r="D19" s="34"/>
      <c r="E19" s="74"/>
      <c r="F19" s="34"/>
      <c r="G19" s="34"/>
      <c r="H19" s="36"/>
      <c r="I19" s="39"/>
      <c r="J19" s="39"/>
      <c r="K19" s="39"/>
      <c r="L19" s="39"/>
      <c r="M19" s="39"/>
      <c r="N19" s="36"/>
      <c r="O19" s="36"/>
      <c r="P19" s="36"/>
      <c r="Q19" s="39"/>
      <c r="R19" s="39"/>
      <c r="S19" s="36"/>
      <c r="T19" s="381" t="s">
        <v>2306</v>
      </c>
      <c r="U19" s="382" t="s">
        <v>266</v>
      </c>
      <c r="V19" s="382">
        <v>1</v>
      </c>
      <c r="W19" s="382"/>
      <c r="X19" s="10"/>
      <c r="Y19" s="382">
        <v>0.8</v>
      </c>
      <c r="Z19" s="383">
        <f>+Y19</f>
        <v>0.8</v>
      </c>
      <c r="AA19" s="382">
        <v>360</v>
      </c>
      <c r="AB19" s="382">
        <v>180</v>
      </c>
      <c r="AC19" s="383">
        <f>+AB19+180</f>
        <v>360</v>
      </c>
      <c r="AD19" s="10" t="s">
        <v>2307</v>
      </c>
      <c r="AE19" s="384" t="s">
        <v>218</v>
      </c>
      <c r="AF19" s="384" t="s">
        <v>218</v>
      </c>
      <c r="AG19" s="384" t="s">
        <v>218</v>
      </c>
      <c r="AH19" s="384" t="s">
        <v>218</v>
      </c>
      <c r="AI19" s="384" t="s">
        <v>218</v>
      </c>
      <c r="AJ19" s="384" t="s">
        <v>218</v>
      </c>
      <c r="AK19" s="384" t="s">
        <v>218</v>
      </c>
      <c r="AL19" s="384" t="s">
        <v>218</v>
      </c>
      <c r="AM19" s="384" t="s">
        <v>218</v>
      </c>
      <c r="AN19" s="384" t="s">
        <v>218</v>
      </c>
      <c r="AO19" s="384" t="s">
        <v>218</v>
      </c>
      <c r="AP19" s="384" t="s">
        <v>218</v>
      </c>
    </row>
    <row r="20" spans="1:42" ht="45" x14ac:dyDescent="0.25">
      <c r="A20" s="34"/>
      <c r="B20" s="34"/>
      <c r="C20" s="34"/>
      <c r="D20" s="34"/>
      <c r="E20" s="74"/>
      <c r="F20" s="34"/>
      <c r="G20" s="34"/>
      <c r="H20" s="36"/>
      <c r="I20" s="39"/>
      <c r="J20" s="39"/>
      <c r="K20" s="39"/>
      <c r="L20" s="39"/>
      <c r="M20" s="39"/>
      <c r="N20" s="36"/>
      <c r="O20" s="36"/>
      <c r="P20" s="36"/>
      <c r="Q20" s="39"/>
      <c r="R20" s="39"/>
      <c r="S20" s="36"/>
      <c r="T20" s="381" t="s">
        <v>2308</v>
      </c>
      <c r="U20" s="382" t="s">
        <v>266</v>
      </c>
      <c r="V20" s="382">
        <v>20</v>
      </c>
      <c r="W20" s="382"/>
      <c r="X20" s="10"/>
      <c r="Y20" s="382">
        <f>5+11</f>
        <v>16</v>
      </c>
      <c r="Z20" s="383">
        <v>24</v>
      </c>
      <c r="AA20" s="382">
        <v>360</v>
      </c>
      <c r="AB20" s="382">
        <v>180</v>
      </c>
      <c r="AC20" s="383">
        <f>180+AB20</f>
        <v>360</v>
      </c>
      <c r="AD20" s="10"/>
      <c r="AE20" s="384" t="s">
        <v>218</v>
      </c>
      <c r="AF20" s="384" t="s">
        <v>218</v>
      </c>
      <c r="AG20" s="384" t="s">
        <v>218</v>
      </c>
      <c r="AH20" s="384" t="s">
        <v>218</v>
      </c>
      <c r="AI20" s="384" t="s">
        <v>218</v>
      </c>
      <c r="AJ20" s="384" t="s">
        <v>218</v>
      </c>
      <c r="AK20" s="384" t="s">
        <v>218</v>
      </c>
      <c r="AL20" s="384" t="s">
        <v>218</v>
      </c>
      <c r="AM20" s="384" t="s">
        <v>218</v>
      </c>
      <c r="AN20" s="384" t="s">
        <v>218</v>
      </c>
      <c r="AO20" s="384" t="s">
        <v>218</v>
      </c>
      <c r="AP20" s="384" t="s">
        <v>218</v>
      </c>
    </row>
    <row r="21" spans="1:42" ht="67.5" x14ac:dyDescent="0.25">
      <c r="A21" s="34"/>
      <c r="B21" s="34"/>
      <c r="C21" s="34"/>
      <c r="D21" s="34"/>
      <c r="E21" s="74"/>
      <c r="F21" s="34"/>
      <c r="G21" s="34"/>
      <c r="H21" s="36"/>
      <c r="I21" s="39"/>
      <c r="J21" s="39"/>
      <c r="K21" s="39"/>
      <c r="L21" s="39"/>
      <c r="M21" s="39"/>
      <c r="N21" s="36"/>
      <c r="O21" s="36"/>
      <c r="P21" s="36"/>
      <c r="Q21" s="39"/>
      <c r="R21" s="39"/>
      <c r="S21" s="36"/>
      <c r="T21" s="381" t="s">
        <v>2309</v>
      </c>
      <c r="U21" s="382" t="s">
        <v>266</v>
      </c>
      <c r="V21" s="382">
        <v>12</v>
      </c>
      <c r="W21" s="382"/>
      <c r="X21" s="10"/>
      <c r="Y21" s="382">
        <v>6</v>
      </c>
      <c r="Z21" s="383">
        <v>12</v>
      </c>
      <c r="AA21" s="382">
        <v>360</v>
      </c>
      <c r="AB21" s="382">
        <v>180</v>
      </c>
      <c r="AC21" s="383">
        <f>180+AB21</f>
        <v>360</v>
      </c>
      <c r="AD21" s="10"/>
      <c r="AE21" s="384" t="s">
        <v>218</v>
      </c>
      <c r="AF21" s="384" t="s">
        <v>218</v>
      </c>
      <c r="AG21" s="384" t="s">
        <v>218</v>
      </c>
      <c r="AH21" s="384" t="s">
        <v>218</v>
      </c>
      <c r="AI21" s="384" t="s">
        <v>218</v>
      </c>
      <c r="AJ21" s="384" t="s">
        <v>218</v>
      </c>
      <c r="AK21" s="384" t="s">
        <v>218</v>
      </c>
      <c r="AL21" s="384" t="s">
        <v>218</v>
      </c>
      <c r="AM21" s="384" t="s">
        <v>218</v>
      </c>
      <c r="AN21" s="384" t="s">
        <v>218</v>
      </c>
      <c r="AO21" s="384" t="s">
        <v>218</v>
      </c>
      <c r="AP21" s="384" t="s">
        <v>218</v>
      </c>
    </row>
    <row r="22" spans="1:42" ht="45" x14ac:dyDescent="0.25">
      <c r="A22" s="34"/>
      <c r="B22" s="34"/>
      <c r="C22" s="34"/>
      <c r="D22" s="34"/>
      <c r="E22" s="74"/>
      <c r="F22" s="34"/>
      <c r="G22" s="34"/>
      <c r="H22" s="36"/>
      <c r="I22" s="39"/>
      <c r="J22" s="39"/>
      <c r="K22" s="39"/>
      <c r="L22" s="39"/>
      <c r="M22" s="39"/>
      <c r="N22" s="36"/>
      <c r="O22" s="36"/>
      <c r="P22" s="36"/>
      <c r="Q22" s="39"/>
      <c r="R22" s="39"/>
      <c r="S22" s="36"/>
      <c r="T22" s="381" t="s">
        <v>2310</v>
      </c>
      <c r="U22" s="382" t="s">
        <v>266</v>
      </c>
      <c r="V22" s="382">
        <f>5*12</f>
        <v>60</v>
      </c>
      <c r="W22" s="382"/>
      <c r="X22" s="10"/>
      <c r="Y22" s="382">
        <v>30</v>
      </c>
      <c r="Z22" s="383">
        <v>63</v>
      </c>
      <c r="AA22" s="382">
        <v>360</v>
      </c>
      <c r="AB22" s="382">
        <v>180</v>
      </c>
      <c r="AC22" s="383">
        <f>180+AB22</f>
        <v>360</v>
      </c>
      <c r="AD22" s="10" t="s">
        <v>2311</v>
      </c>
      <c r="AE22" s="384" t="s">
        <v>218</v>
      </c>
      <c r="AF22" s="384" t="s">
        <v>218</v>
      </c>
      <c r="AG22" s="384" t="s">
        <v>218</v>
      </c>
      <c r="AH22" s="384" t="s">
        <v>218</v>
      </c>
      <c r="AI22" s="384" t="s">
        <v>218</v>
      </c>
      <c r="AJ22" s="384" t="s">
        <v>218</v>
      </c>
      <c r="AK22" s="384" t="s">
        <v>218</v>
      </c>
      <c r="AL22" s="384" t="s">
        <v>218</v>
      </c>
      <c r="AM22" s="384" t="s">
        <v>218</v>
      </c>
      <c r="AN22" s="384" t="s">
        <v>218</v>
      </c>
      <c r="AO22" s="384" t="s">
        <v>218</v>
      </c>
      <c r="AP22" s="384" t="s">
        <v>218</v>
      </c>
    </row>
    <row r="23" spans="1:42" ht="78.75" x14ac:dyDescent="0.25">
      <c r="A23" s="34"/>
      <c r="B23" s="34"/>
      <c r="C23" s="34"/>
      <c r="D23" s="34"/>
      <c r="E23" s="74"/>
      <c r="F23" s="34"/>
      <c r="G23" s="34"/>
      <c r="H23" s="36"/>
      <c r="I23" s="39"/>
      <c r="J23" s="39"/>
      <c r="K23" s="39"/>
      <c r="L23" s="39"/>
      <c r="M23" s="39"/>
      <c r="N23" s="36"/>
      <c r="O23" s="36"/>
      <c r="P23" s="36"/>
      <c r="Q23" s="39"/>
      <c r="R23" s="39"/>
      <c r="S23" s="36"/>
      <c r="T23" s="381" t="s">
        <v>2312</v>
      </c>
      <c r="U23" s="382" t="s">
        <v>266</v>
      </c>
      <c r="V23" s="382">
        <v>1</v>
      </c>
      <c r="W23" s="382"/>
      <c r="X23" s="10"/>
      <c r="Y23" s="382">
        <v>0.6</v>
      </c>
      <c r="Z23" s="383">
        <v>1</v>
      </c>
      <c r="AA23" s="382">
        <v>360</v>
      </c>
      <c r="AB23" s="382">
        <v>180</v>
      </c>
      <c r="AC23" s="383">
        <f>+AB23+180</f>
        <v>360</v>
      </c>
      <c r="AD23" s="10"/>
      <c r="AE23" s="384" t="s">
        <v>218</v>
      </c>
      <c r="AF23" s="384" t="s">
        <v>218</v>
      </c>
      <c r="AG23" s="384" t="s">
        <v>218</v>
      </c>
      <c r="AH23" s="384" t="s">
        <v>218</v>
      </c>
      <c r="AI23" s="384" t="s">
        <v>218</v>
      </c>
      <c r="AJ23" s="384" t="s">
        <v>218</v>
      </c>
      <c r="AK23" s="384" t="s">
        <v>218</v>
      </c>
      <c r="AL23" s="384" t="s">
        <v>218</v>
      </c>
      <c r="AM23" s="384" t="s">
        <v>218</v>
      </c>
      <c r="AN23" s="384" t="s">
        <v>218</v>
      </c>
      <c r="AO23" s="384" t="s">
        <v>218</v>
      </c>
      <c r="AP23" s="384" t="s">
        <v>218</v>
      </c>
    </row>
    <row r="24" spans="1:42" ht="56.25" x14ac:dyDescent="0.25">
      <c r="A24" s="34"/>
      <c r="B24" s="34"/>
      <c r="C24" s="34"/>
      <c r="D24" s="34"/>
      <c r="E24" s="74"/>
      <c r="F24" s="34"/>
      <c r="G24" s="34"/>
      <c r="H24" s="36"/>
      <c r="I24" s="39"/>
      <c r="J24" s="39"/>
      <c r="K24" s="39"/>
      <c r="L24" s="39"/>
      <c r="M24" s="39"/>
      <c r="N24" s="36"/>
      <c r="O24" s="36"/>
      <c r="P24" s="36"/>
      <c r="Q24" s="39"/>
      <c r="R24" s="39"/>
      <c r="S24" s="36"/>
      <c r="T24" s="381" t="s">
        <v>2313</v>
      </c>
      <c r="U24" s="382" t="s">
        <v>266</v>
      </c>
      <c r="V24" s="382">
        <v>1</v>
      </c>
      <c r="W24" s="382"/>
      <c r="X24" s="10"/>
      <c r="Y24" s="382">
        <v>0.7</v>
      </c>
      <c r="Z24" s="383">
        <v>1</v>
      </c>
      <c r="AA24" s="382">
        <v>360</v>
      </c>
      <c r="AB24" s="382">
        <v>180</v>
      </c>
      <c r="AC24" s="383">
        <f>+AB24+180</f>
        <v>360</v>
      </c>
      <c r="AD24" s="10"/>
      <c r="AE24" s="384" t="s">
        <v>218</v>
      </c>
      <c r="AF24" s="384" t="s">
        <v>218</v>
      </c>
      <c r="AG24" s="384" t="s">
        <v>218</v>
      </c>
      <c r="AH24" s="384" t="s">
        <v>218</v>
      </c>
      <c r="AI24" s="384" t="s">
        <v>218</v>
      </c>
      <c r="AJ24" s="384" t="s">
        <v>218</v>
      </c>
      <c r="AK24" s="384" t="s">
        <v>218</v>
      </c>
      <c r="AL24" s="384" t="s">
        <v>218</v>
      </c>
      <c r="AM24" s="384" t="s">
        <v>218</v>
      </c>
      <c r="AN24" s="384" t="s">
        <v>218</v>
      </c>
      <c r="AO24" s="384" t="s">
        <v>218</v>
      </c>
      <c r="AP24" s="384" t="s">
        <v>218</v>
      </c>
    </row>
    <row r="25" spans="1:42" ht="45" x14ac:dyDescent="0.25">
      <c r="A25" s="34"/>
      <c r="B25" s="34"/>
      <c r="C25" s="34"/>
      <c r="D25" s="34"/>
      <c r="E25" s="74"/>
      <c r="F25" s="34"/>
      <c r="G25" s="34"/>
      <c r="H25" s="36"/>
      <c r="I25" s="39"/>
      <c r="J25" s="39"/>
      <c r="K25" s="39"/>
      <c r="L25" s="39"/>
      <c r="M25" s="39"/>
      <c r="N25" s="36"/>
      <c r="O25" s="36"/>
      <c r="P25" s="36"/>
      <c r="Q25" s="39"/>
      <c r="R25" s="39"/>
      <c r="S25" s="36"/>
      <c r="T25" s="381" t="s">
        <v>2314</v>
      </c>
      <c r="U25" s="382" t="s">
        <v>266</v>
      </c>
      <c r="V25" s="385">
        <v>3</v>
      </c>
      <c r="W25" s="382"/>
      <c r="X25" s="10"/>
      <c r="Y25" s="382">
        <f>0.8+0.9+0.38</f>
        <v>2.08</v>
      </c>
      <c r="Z25" s="383">
        <v>3</v>
      </c>
      <c r="AA25" s="382">
        <v>360</v>
      </c>
      <c r="AB25" s="382">
        <v>180</v>
      </c>
      <c r="AC25" s="383">
        <f>180+AB25</f>
        <v>360</v>
      </c>
      <c r="AD25" s="381"/>
      <c r="AE25" s="384" t="s">
        <v>218</v>
      </c>
      <c r="AF25" s="384" t="s">
        <v>218</v>
      </c>
      <c r="AG25" s="384" t="s">
        <v>218</v>
      </c>
      <c r="AH25" s="384" t="s">
        <v>218</v>
      </c>
      <c r="AI25" s="384" t="s">
        <v>218</v>
      </c>
      <c r="AJ25" s="384" t="s">
        <v>218</v>
      </c>
      <c r="AK25" s="384" t="s">
        <v>218</v>
      </c>
      <c r="AL25" s="384" t="s">
        <v>218</v>
      </c>
      <c r="AM25" s="384" t="s">
        <v>218</v>
      </c>
      <c r="AN25" s="384" t="s">
        <v>218</v>
      </c>
      <c r="AO25" s="384" t="s">
        <v>218</v>
      </c>
      <c r="AP25" s="384" t="s">
        <v>218</v>
      </c>
    </row>
    <row r="26" spans="1:42" ht="80.25" customHeight="1" x14ac:dyDescent="0.25">
      <c r="A26" s="34" t="s">
        <v>23</v>
      </c>
      <c r="B26" s="34" t="s">
        <v>1573</v>
      </c>
      <c r="C26" s="34" t="s">
        <v>2279</v>
      </c>
      <c r="D26" s="34">
        <v>214620000</v>
      </c>
      <c r="E26" s="74" t="s">
        <v>2280</v>
      </c>
      <c r="F26" s="34" t="s">
        <v>2281</v>
      </c>
      <c r="G26" s="34" t="s">
        <v>2282</v>
      </c>
      <c r="H26" s="36">
        <v>1000000000</v>
      </c>
      <c r="I26" s="36">
        <v>1000000000</v>
      </c>
      <c r="J26" s="39">
        <v>4404067452</v>
      </c>
      <c r="K26" s="36">
        <f>2000000000+500000000+535000000</f>
        <v>3035000000</v>
      </c>
      <c r="L26" s="36">
        <f>+K26</f>
        <v>3035000000</v>
      </c>
      <c r="M26" s="36"/>
      <c r="N26" s="36">
        <f t="shared" ref="N26:P29" si="1">H26+K26</f>
        <v>4035000000</v>
      </c>
      <c r="O26" s="36">
        <f t="shared" si="1"/>
        <v>4035000000</v>
      </c>
      <c r="P26" s="36">
        <f t="shared" si="1"/>
        <v>4404067452</v>
      </c>
      <c r="Q26" s="39">
        <v>3751758603</v>
      </c>
      <c r="R26" s="36">
        <v>1001392201</v>
      </c>
      <c r="S26" s="36">
        <f>Q26+R26</f>
        <v>4753150804</v>
      </c>
      <c r="T26" s="37">
        <v>0</v>
      </c>
      <c r="U26" s="37">
        <v>0</v>
      </c>
      <c r="V26" s="37">
        <v>0</v>
      </c>
      <c r="W26" s="382"/>
      <c r="X26" s="10"/>
      <c r="Y26" s="10"/>
      <c r="Z26" s="10"/>
      <c r="AA26" s="34">
        <v>0</v>
      </c>
      <c r="AB26" s="10"/>
      <c r="AC26" s="10"/>
      <c r="AD26" s="10"/>
      <c r="AE26" s="10">
        <v>0</v>
      </c>
      <c r="AF26" s="10">
        <v>0</v>
      </c>
      <c r="AG26" s="10">
        <v>0</v>
      </c>
      <c r="AH26" s="10">
        <v>0</v>
      </c>
      <c r="AI26" s="10">
        <v>0</v>
      </c>
      <c r="AJ26" s="10">
        <v>0</v>
      </c>
      <c r="AK26" s="10">
        <v>0</v>
      </c>
      <c r="AL26" s="10">
        <v>0</v>
      </c>
      <c r="AM26" s="10">
        <v>0</v>
      </c>
      <c r="AN26" s="10">
        <v>0</v>
      </c>
      <c r="AO26" s="10">
        <v>0</v>
      </c>
      <c r="AP26" s="10">
        <v>0</v>
      </c>
    </row>
    <row r="27" spans="1:42" ht="60" x14ac:dyDescent="0.25">
      <c r="A27" s="34">
        <v>0</v>
      </c>
      <c r="B27" s="34">
        <v>0</v>
      </c>
      <c r="C27" s="34">
        <v>0</v>
      </c>
      <c r="D27" s="34">
        <v>0</v>
      </c>
      <c r="E27" s="74">
        <v>0</v>
      </c>
      <c r="F27" s="34">
        <v>0</v>
      </c>
      <c r="G27" s="34">
        <v>0</v>
      </c>
      <c r="H27" s="36">
        <v>0</v>
      </c>
      <c r="I27" s="39"/>
      <c r="J27" s="39"/>
      <c r="K27" s="39"/>
      <c r="L27" s="39"/>
      <c r="M27" s="39"/>
      <c r="N27" s="36">
        <f t="shared" si="1"/>
        <v>0</v>
      </c>
      <c r="O27" s="36">
        <f t="shared" si="1"/>
        <v>0</v>
      </c>
      <c r="P27" s="36">
        <f t="shared" si="1"/>
        <v>0</v>
      </c>
      <c r="Q27" s="39"/>
      <c r="R27" s="39"/>
      <c r="S27" s="36">
        <f>Q27+R27</f>
        <v>0</v>
      </c>
      <c r="T27" s="381" t="s">
        <v>2315</v>
      </c>
      <c r="U27" s="382" t="s">
        <v>266</v>
      </c>
      <c r="V27" s="382">
        <v>8000</v>
      </c>
      <c r="W27" s="382"/>
      <c r="X27" s="10"/>
      <c r="Y27" s="382">
        <v>4350</v>
      </c>
      <c r="Z27" s="383">
        <f>2981+Y27</f>
        <v>7331</v>
      </c>
      <c r="AA27" s="382">
        <v>360</v>
      </c>
      <c r="AB27" s="382">
        <v>180</v>
      </c>
      <c r="AC27" s="383">
        <f>+AB27+180</f>
        <v>360</v>
      </c>
      <c r="AD27" s="10" t="s">
        <v>2316</v>
      </c>
      <c r="AE27" s="384" t="s">
        <v>218</v>
      </c>
      <c r="AF27" s="384" t="s">
        <v>218</v>
      </c>
      <c r="AG27" s="384" t="s">
        <v>218</v>
      </c>
      <c r="AH27" s="384" t="s">
        <v>218</v>
      </c>
      <c r="AI27" s="384" t="s">
        <v>218</v>
      </c>
      <c r="AJ27" s="384" t="s">
        <v>218</v>
      </c>
      <c r="AK27" s="384" t="s">
        <v>218</v>
      </c>
      <c r="AL27" s="384" t="s">
        <v>218</v>
      </c>
      <c r="AM27" s="384" t="s">
        <v>218</v>
      </c>
      <c r="AN27" s="384" t="s">
        <v>218</v>
      </c>
      <c r="AO27" s="384" t="s">
        <v>218</v>
      </c>
      <c r="AP27" s="384" t="s">
        <v>218</v>
      </c>
    </row>
    <row r="28" spans="1:42" ht="96" customHeight="1" x14ac:dyDescent="0.25">
      <c r="A28" s="34">
        <v>0</v>
      </c>
      <c r="B28" s="34">
        <v>0</v>
      </c>
      <c r="C28" s="34">
        <v>0</v>
      </c>
      <c r="D28" s="34">
        <v>0</v>
      </c>
      <c r="E28" s="74">
        <v>0</v>
      </c>
      <c r="F28" s="34">
        <v>0</v>
      </c>
      <c r="G28" s="34">
        <v>0</v>
      </c>
      <c r="H28" s="36">
        <v>0</v>
      </c>
      <c r="I28" s="39"/>
      <c r="J28" s="39"/>
      <c r="K28" s="39"/>
      <c r="L28" s="39"/>
      <c r="M28" s="39"/>
      <c r="N28" s="36">
        <f t="shared" si="1"/>
        <v>0</v>
      </c>
      <c r="O28" s="36">
        <f t="shared" si="1"/>
        <v>0</v>
      </c>
      <c r="P28" s="36">
        <f t="shared" si="1"/>
        <v>0</v>
      </c>
      <c r="Q28" s="39"/>
      <c r="R28" s="39"/>
      <c r="S28" s="36">
        <f>Q28+R28</f>
        <v>0</v>
      </c>
      <c r="T28" s="381" t="s">
        <v>2317</v>
      </c>
      <c r="U28" s="382" t="s">
        <v>266</v>
      </c>
      <c r="V28" s="386">
        <v>120</v>
      </c>
      <c r="W28" s="382"/>
      <c r="X28" s="10"/>
      <c r="Y28" s="386">
        <v>80</v>
      </c>
      <c r="Z28" s="383">
        <f>110+Y28</f>
        <v>190</v>
      </c>
      <c r="AA28" s="382">
        <v>360</v>
      </c>
      <c r="AB28" s="382">
        <v>180</v>
      </c>
      <c r="AC28" s="383">
        <f>+AB28+180</f>
        <v>360</v>
      </c>
      <c r="AD28" s="10"/>
      <c r="AE28" s="384" t="s">
        <v>218</v>
      </c>
      <c r="AF28" s="384" t="s">
        <v>218</v>
      </c>
      <c r="AG28" s="384" t="s">
        <v>218</v>
      </c>
      <c r="AH28" s="384" t="s">
        <v>218</v>
      </c>
      <c r="AI28" s="384" t="s">
        <v>218</v>
      </c>
      <c r="AJ28" s="384" t="s">
        <v>218</v>
      </c>
      <c r="AK28" s="384" t="s">
        <v>218</v>
      </c>
      <c r="AL28" s="384" t="s">
        <v>218</v>
      </c>
      <c r="AM28" s="384" t="s">
        <v>218</v>
      </c>
      <c r="AN28" s="384" t="s">
        <v>218</v>
      </c>
      <c r="AO28" s="384" t="s">
        <v>218</v>
      </c>
      <c r="AP28" s="384" t="s">
        <v>218</v>
      </c>
    </row>
    <row r="29" spans="1:42" ht="135" x14ac:dyDescent="0.25">
      <c r="A29" s="34" t="s">
        <v>55</v>
      </c>
      <c r="B29" s="34" t="s">
        <v>354</v>
      </c>
      <c r="C29" s="34" t="s">
        <v>2285</v>
      </c>
      <c r="D29" s="34">
        <v>241330000</v>
      </c>
      <c r="E29" s="74" t="s">
        <v>2287</v>
      </c>
      <c r="F29" s="34" t="s">
        <v>2288</v>
      </c>
      <c r="G29" s="34" t="s">
        <v>2289</v>
      </c>
      <c r="H29" s="36">
        <v>2000000000</v>
      </c>
      <c r="I29" s="39"/>
      <c r="J29" s="39">
        <v>1500000000</v>
      </c>
      <c r="K29" s="39"/>
      <c r="L29" s="39"/>
      <c r="M29" s="39"/>
      <c r="N29" s="36">
        <f t="shared" si="1"/>
        <v>2000000000</v>
      </c>
      <c r="O29" s="36">
        <f t="shared" si="1"/>
        <v>0</v>
      </c>
      <c r="P29" s="36">
        <f t="shared" si="1"/>
        <v>1500000000</v>
      </c>
      <c r="Q29" s="39">
        <v>1500000000</v>
      </c>
      <c r="R29" s="39"/>
      <c r="S29" s="36">
        <f>Q29+R29</f>
        <v>1500000000</v>
      </c>
      <c r="T29" s="381" t="s">
        <v>2318</v>
      </c>
      <c r="U29" s="37">
        <v>0</v>
      </c>
      <c r="V29" s="387"/>
      <c r="W29" s="382"/>
      <c r="X29" s="10"/>
      <c r="Y29" s="386">
        <v>1</v>
      </c>
      <c r="Z29" s="383">
        <v>1</v>
      </c>
      <c r="AA29" s="382">
        <v>360</v>
      </c>
      <c r="AB29" s="382">
        <v>180</v>
      </c>
      <c r="AC29" s="383">
        <f>+AB29+180</f>
        <v>360</v>
      </c>
      <c r="AD29" s="381" t="s">
        <v>2319</v>
      </c>
      <c r="AE29" s="384" t="s">
        <v>218</v>
      </c>
      <c r="AF29" s="384" t="s">
        <v>218</v>
      </c>
      <c r="AG29" s="384" t="s">
        <v>218</v>
      </c>
      <c r="AH29" s="384" t="s">
        <v>218</v>
      </c>
      <c r="AI29" s="384" t="s">
        <v>218</v>
      </c>
      <c r="AJ29" s="384" t="s">
        <v>218</v>
      </c>
      <c r="AK29" s="384" t="s">
        <v>218</v>
      </c>
      <c r="AL29" s="384" t="s">
        <v>218</v>
      </c>
      <c r="AM29" s="384" t="s">
        <v>218</v>
      </c>
      <c r="AN29" s="384" t="s">
        <v>218</v>
      </c>
      <c r="AO29" s="384" t="s">
        <v>218</v>
      </c>
      <c r="AP29" s="384" t="s">
        <v>218</v>
      </c>
    </row>
  </sheetData>
  <sheetProtection algorithmName="SHA-512" hashValue="jb3nQIMaeb49HRJNFRVNZxwzfyoplzLFiMosiLDpXBb7gKVAbUVXWO99UIjUO99pk/imlEZBBEd6s7E/lN5ATw==" saltValue="fYyTy6n0vWCQ4oYOvteHzA==" spinCount="100000" sheet="1" objects="1" scenarios="1" insertRows="0"/>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X108"/>
  <sheetViews>
    <sheetView showZeros="0" topLeftCell="N4" zoomScale="90" zoomScaleNormal="90" workbookViewId="0">
      <pane ySplit="5" topLeftCell="A9" activePane="bottomLeft" state="frozen"/>
      <selection activeCell="A4" sqref="A4"/>
      <selection pane="bottomLeft" activeCell="Q9" sqref="Q9"/>
    </sheetView>
  </sheetViews>
  <sheetFormatPr baseColWidth="10" defaultRowHeight="15" x14ac:dyDescent="0.25"/>
  <cols>
    <col min="1" max="1" width="11.85546875" style="1" customWidth="1"/>
    <col min="2" max="2" width="13.5703125" style="1" customWidth="1"/>
    <col min="3" max="3" width="12.140625" style="1" customWidth="1"/>
    <col min="4" max="4" width="17.140625" style="1" customWidth="1"/>
    <col min="5" max="5" width="16.42578125" style="1" customWidth="1"/>
    <col min="6" max="6" width="13.85546875" style="1" customWidth="1"/>
    <col min="7" max="7" width="25.5703125" style="1" customWidth="1"/>
    <col min="8" max="8" width="14.140625" style="1" customWidth="1"/>
    <col min="9" max="9" width="14" style="1" customWidth="1"/>
    <col min="10" max="10" width="13.7109375" style="1" customWidth="1"/>
    <col min="11" max="11" width="12.85546875" style="1" customWidth="1"/>
    <col min="12" max="12" width="16.85546875" style="1" customWidth="1"/>
    <col min="13" max="13" width="14.140625" style="1" customWidth="1"/>
    <col min="14" max="14" width="15.140625" style="1" customWidth="1"/>
    <col min="15" max="15" width="16.42578125" style="1" customWidth="1"/>
    <col min="16" max="16" width="15.140625" style="1" customWidth="1"/>
    <col min="17" max="17" width="17.85546875" style="1" customWidth="1"/>
    <col min="18" max="18" width="11.85546875" style="1" customWidth="1"/>
    <col min="19" max="19" width="18.42578125" style="1" customWidth="1"/>
    <col min="20" max="20" width="17.85546875" style="1" customWidth="1"/>
    <col min="21" max="21" width="11.85546875" style="1" customWidth="1"/>
    <col min="22" max="22" width="11.42578125" style="1"/>
    <col min="23" max="23" width="15.28515625" style="1" customWidth="1"/>
    <col min="24" max="24" width="15.42578125" style="1" customWidth="1"/>
    <col min="25" max="25" width="11.7109375" style="1" customWidth="1"/>
    <col min="26" max="26" width="12.28515625" style="1" customWidth="1"/>
    <col min="27" max="27" width="12.42578125" style="1" customWidth="1"/>
    <col min="28" max="28" width="16.5703125" style="1" customWidth="1"/>
    <col min="29" max="29" width="14.42578125" style="1" customWidth="1"/>
    <col min="30" max="30" width="21"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4268</v>
      </c>
      <c r="D5" s="24"/>
      <c r="E5" s="24"/>
      <c r="F5" s="24"/>
      <c r="G5" s="24"/>
      <c r="H5" s="24"/>
      <c r="I5" s="25"/>
      <c r="J5" s="25"/>
      <c r="K5" s="24"/>
      <c r="L5" s="25"/>
      <c r="M5" s="25"/>
      <c r="N5" s="25"/>
      <c r="O5" s="25"/>
      <c r="P5" s="25"/>
      <c r="Q5" s="27"/>
      <c r="R5" s="27"/>
      <c r="S5" s="27"/>
      <c r="T5" s="27"/>
      <c r="U5" s="27"/>
      <c r="V5" s="27"/>
      <c r="W5" s="27"/>
      <c r="X5" s="27"/>
      <c r="Y5" s="27"/>
      <c r="Z5" s="27"/>
      <c r="AA5" s="27"/>
      <c r="AB5" s="27"/>
      <c r="AC5" s="27"/>
      <c r="AD5" s="27"/>
    </row>
    <row r="7" spans="1:42" s="29" customFormat="1" ht="14.25"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66"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576" t="s">
        <v>79</v>
      </c>
      <c r="X8" s="576" t="s">
        <v>80</v>
      </c>
      <c r="Y8" s="576" t="s">
        <v>81</v>
      </c>
      <c r="Z8" s="576" t="s">
        <v>82</v>
      </c>
      <c r="AA8" s="574" t="s">
        <v>83</v>
      </c>
      <c r="AB8" s="576" t="s">
        <v>84</v>
      </c>
      <c r="AC8" s="576"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300" x14ac:dyDescent="0.25">
      <c r="A9" s="34" t="s">
        <v>23</v>
      </c>
      <c r="B9" s="34" t="s">
        <v>136</v>
      </c>
      <c r="C9" s="34" t="s">
        <v>137</v>
      </c>
      <c r="D9" s="34">
        <v>211140000</v>
      </c>
      <c r="E9" s="74" t="s">
        <v>4271</v>
      </c>
      <c r="F9" s="34" t="s">
        <v>4272</v>
      </c>
      <c r="G9" s="34" t="s">
        <v>4273</v>
      </c>
      <c r="H9" s="36">
        <v>89000000</v>
      </c>
      <c r="I9" s="36">
        <f>(89000000+25000000-8966649)</f>
        <v>105033351</v>
      </c>
      <c r="J9" s="36">
        <v>105033351</v>
      </c>
      <c r="K9" s="36">
        <v>0</v>
      </c>
      <c r="L9" s="36"/>
      <c r="M9" s="36"/>
      <c r="N9" s="36">
        <v>89000000</v>
      </c>
      <c r="O9" s="36">
        <v>105033351</v>
      </c>
      <c r="P9" s="36">
        <v>105033351</v>
      </c>
      <c r="Q9" s="36">
        <v>105033351</v>
      </c>
      <c r="R9" s="36">
        <v>0</v>
      </c>
      <c r="S9" s="36">
        <v>105033351</v>
      </c>
      <c r="T9" s="37">
        <v>0</v>
      </c>
      <c r="U9" s="37">
        <v>0</v>
      </c>
      <c r="V9" s="37">
        <v>0</v>
      </c>
      <c r="W9" s="34"/>
      <c r="X9" s="34"/>
      <c r="Y9" s="34"/>
      <c r="Z9" s="34"/>
      <c r="AA9" s="34">
        <v>0</v>
      </c>
      <c r="AB9" s="34"/>
      <c r="AC9" s="34"/>
      <c r="AD9" s="10" t="s">
        <v>4410</v>
      </c>
      <c r="AE9" s="10">
        <v>0</v>
      </c>
      <c r="AF9" s="10">
        <v>0</v>
      </c>
      <c r="AG9" s="10">
        <v>0</v>
      </c>
      <c r="AH9" s="10">
        <v>0</v>
      </c>
      <c r="AI9" s="10">
        <v>0</v>
      </c>
      <c r="AJ9" s="10">
        <v>0</v>
      </c>
      <c r="AK9" s="10">
        <v>0</v>
      </c>
      <c r="AL9" s="10">
        <v>0</v>
      </c>
      <c r="AM9" s="10">
        <v>0</v>
      </c>
      <c r="AN9" s="10">
        <v>0</v>
      </c>
      <c r="AO9" s="10">
        <v>0</v>
      </c>
      <c r="AP9" s="10">
        <v>0</v>
      </c>
    </row>
    <row r="10" spans="1:42" ht="255" x14ac:dyDescent="0.25">
      <c r="A10" s="34"/>
      <c r="B10" s="34"/>
      <c r="C10" s="34"/>
      <c r="D10" s="34"/>
      <c r="E10" s="74"/>
      <c r="F10" s="34"/>
      <c r="G10" s="34"/>
      <c r="H10" s="36"/>
      <c r="I10" s="39"/>
      <c r="J10" s="39"/>
      <c r="K10" s="36"/>
      <c r="L10" s="39"/>
      <c r="M10" s="39"/>
      <c r="N10" s="36">
        <v>0</v>
      </c>
      <c r="O10" s="36">
        <v>0</v>
      </c>
      <c r="P10" s="36">
        <v>0</v>
      </c>
      <c r="Q10" s="36"/>
      <c r="R10" s="36"/>
      <c r="S10" s="36">
        <v>0</v>
      </c>
      <c r="T10" s="37" t="s">
        <v>4411</v>
      </c>
      <c r="U10" s="37" t="s">
        <v>1996</v>
      </c>
      <c r="V10" s="37">
        <v>1</v>
      </c>
      <c r="W10" s="10">
        <v>2</v>
      </c>
      <c r="X10" s="10"/>
      <c r="Y10" s="10">
        <v>2</v>
      </c>
      <c r="Z10" s="10">
        <v>2</v>
      </c>
      <c r="AA10" s="34">
        <v>300</v>
      </c>
      <c r="AB10" s="10">
        <v>45</v>
      </c>
      <c r="AC10" s="10">
        <v>180</v>
      </c>
      <c r="AD10" s="10" t="s">
        <v>4412</v>
      </c>
      <c r="AE10" s="10">
        <v>0</v>
      </c>
      <c r="AF10" s="10">
        <v>0</v>
      </c>
      <c r="AG10" s="10" t="s">
        <v>218</v>
      </c>
      <c r="AH10" s="10" t="s">
        <v>218</v>
      </c>
      <c r="AI10" s="10" t="s">
        <v>218</v>
      </c>
      <c r="AJ10" s="10" t="s">
        <v>218</v>
      </c>
      <c r="AK10" s="10" t="s">
        <v>218</v>
      </c>
      <c r="AL10" s="10" t="s">
        <v>218</v>
      </c>
      <c r="AM10" s="10" t="s">
        <v>218</v>
      </c>
      <c r="AN10" s="10">
        <v>0</v>
      </c>
      <c r="AO10" s="10" t="s">
        <v>218</v>
      </c>
      <c r="AP10" s="10" t="s">
        <v>218</v>
      </c>
    </row>
    <row r="11" spans="1:42" ht="135" x14ac:dyDescent="0.25">
      <c r="A11" s="34"/>
      <c r="B11" s="34"/>
      <c r="C11" s="34"/>
      <c r="D11" s="34"/>
      <c r="E11" s="74"/>
      <c r="F11" s="34"/>
      <c r="G11" s="34"/>
      <c r="H11" s="36"/>
      <c r="I11" s="39"/>
      <c r="J11" s="39"/>
      <c r="K11" s="36"/>
      <c r="L11" s="39"/>
      <c r="M11" s="39"/>
      <c r="N11" s="36">
        <v>0</v>
      </c>
      <c r="O11" s="36">
        <v>0</v>
      </c>
      <c r="P11" s="36">
        <v>0</v>
      </c>
      <c r="Q11" s="36"/>
      <c r="R11" s="36"/>
      <c r="S11" s="36">
        <v>0</v>
      </c>
      <c r="T11" s="37" t="s">
        <v>4413</v>
      </c>
      <c r="U11" s="37" t="s">
        <v>1996</v>
      </c>
      <c r="V11" s="37">
        <v>1</v>
      </c>
      <c r="W11" s="10">
        <v>1</v>
      </c>
      <c r="X11" s="10"/>
      <c r="Y11" s="10">
        <v>0</v>
      </c>
      <c r="Z11" s="10">
        <v>0</v>
      </c>
      <c r="AA11" s="34">
        <v>90</v>
      </c>
      <c r="AB11" s="10">
        <v>0</v>
      </c>
      <c r="AC11" s="10">
        <v>0</v>
      </c>
      <c r="AD11" s="10" t="s">
        <v>4414</v>
      </c>
      <c r="AE11" s="10">
        <v>0</v>
      </c>
      <c r="AF11" s="10">
        <v>0</v>
      </c>
      <c r="AG11" s="10">
        <v>0</v>
      </c>
      <c r="AH11" s="10">
        <v>0</v>
      </c>
      <c r="AI11" s="10">
        <v>0</v>
      </c>
      <c r="AJ11" s="10">
        <v>0</v>
      </c>
      <c r="AK11" s="10">
        <v>0</v>
      </c>
      <c r="AL11" s="10">
        <v>0</v>
      </c>
      <c r="AM11" s="10">
        <v>0</v>
      </c>
      <c r="AN11" s="10" t="s">
        <v>218</v>
      </c>
      <c r="AO11" s="10" t="s">
        <v>218</v>
      </c>
      <c r="AP11" s="10" t="s">
        <v>218</v>
      </c>
    </row>
    <row r="12" spans="1:42" ht="72" x14ac:dyDescent="0.25">
      <c r="A12" s="578" t="s">
        <v>23</v>
      </c>
      <c r="B12" s="578" t="s">
        <v>136</v>
      </c>
      <c r="C12" s="34" t="s">
        <v>137</v>
      </c>
      <c r="D12" s="34">
        <v>211180000</v>
      </c>
      <c r="E12" s="74" t="s">
        <v>4276</v>
      </c>
      <c r="F12" s="34" t="s">
        <v>4277</v>
      </c>
      <c r="G12" s="34" t="s">
        <v>4278</v>
      </c>
      <c r="H12" s="36">
        <v>100000000</v>
      </c>
      <c r="I12" s="39">
        <v>63104000</v>
      </c>
      <c r="J12" s="39">
        <v>63104000</v>
      </c>
      <c r="K12" s="36">
        <v>0</v>
      </c>
      <c r="L12" s="39"/>
      <c r="M12" s="39"/>
      <c r="N12" s="36">
        <v>100000000</v>
      </c>
      <c r="O12" s="36">
        <v>63104000</v>
      </c>
      <c r="P12" s="36">
        <v>63104000</v>
      </c>
      <c r="Q12" s="36">
        <v>63104000</v>
      </c>
      <c r="R12" s="36">
        <v>0</v>
      </c>
      <c r="S12" s="36">
        <v>63104000</v>
      </c>
      <c r="T12" s="37">
        <v>0</v>
      </c>
      <c r="U12" s="37">
        <v>0</v>
      </c>
      <c r="V12" s="37">
        <v>0</v>
      </c>
      <c r="W12" s="10"/>
      <c r="X12" s="10"/>
      <c r="Y12" s="10"/>
      <c r="Z12" s="10"/>
      <c r="AA12" s="34">
        <v>0</v>
      </c>
      <c r="AB12" s="10"/>
      <c r="AC12" s="10"/>
      <c r="AD12" s="10"/>
      <c r="AE12" s="10">
        <v>0</v>
      </c>
      <c r="AF12" s="10">
        <v>0</v>
      </c>
      <c r="AG12" s="10">
        <v>0</v>
      </c>
      <c r="AH12" s="10">
        <v>0</v>
      </c>
      <c r="AI12" s="10">
        <v>0</v>
      </c>
      <c r="AJ12" s="10">
        <v>0</v>
      </c>
      <c r="AK12" s="10">
        <v>0</v>
      </c>
      <c r="AL12" s="10">
        <v>0</v>
      </c>
      <c r="AM12" s="10">
        <v>0</v>
      </c>
      <c r="AN12" s="10">
        <v>0</v>
      </c>
      <c r="AO12" s="10">
        <v>0</v>
      </c>
      <c r="AP12" s="10">
        <v>0</v>
      </c>
    </row>
    <row r="13" spans="1:42" ht="120" x14ac:dyDescent="0.25">
      <c r="A13" s="34"/>
      <c r="B13" s="34"/>
      <c r="C13" s="34"/>
      <c r="D13" s="34"/>
      <c r="E13" s="74"/>
      <c r="F13" s="34"/>
      <c r="G13" s="34"/>
      <c r="H13" s="36"/>
      <c r="I13" s="39"/>
      <c r="J13" s="39"/>
      <c r="K13" s="36"/>
      <c r="L13" s="39"/>
      <c r="M13" s="39"/>
      <c r="N13" s="36">
        <v>0</v>
      </c>
      <c r="O13" s="36">
        <v>0</v>
      </c>
      <c r="P13" s="36">
        <v>0</v>
      </c>
      <c r="Q13" s="36"/>
      <c r="R13" s="36"/>
      <c r="S13" s="36">
        <v>0</v>
      </c>
      <c r="T13" s="37" t="s">
        <v>4415</v>
      </c>
      <c r="U13" s="37" t="s">
        <v>1996</v>
      </c>
      <c r="V13" s="37">
        <v>1</v>
      </c>
      <c r="W13" s="10"/>
      <c r="X13" s="10"/>
      <c r="Y13" s="10">
        <v>1</v>
      </c>
      <c r="Z13" s="10">
        <v>1</v>
      </c>
      <c r="AA13" s="34">
        <v>255</v>
      </c>
      <c r="AB13" s="10">
        <v>13</v>
      </c>
      <c r="AC13" s="10">
        <v>270</v>
      </c>
      <c r="AD13" s="10" t="s">
        <v>4416</v>
      </c>
      <c r="AE13" s="10">
        <v>0</v>
      </c>
      <c r="AF13" s="10">
        <v>0</v>
      </c>
      <c r="AG13" s="10" t="s">
        <v>218</v>
      </c>
      <c r="AH13" s="10" t="s">
        <v>218</v>
      </c>
      <c r="AI13" s="10" t="s">
        <v>218</v>
      </c>
      <c r="AJ13" s="10" t="s">
        <v>218</v>
      </c>
      <c r="AK13" s="10" t="s">
        <v>218</v>
      </c>
      <c r="AL13" s="10" t="s">
        <v>218</v>
      </c>
      <c r="AM13" s="10" t="s">
        <v>218</v>
      </c>
      <c r="AN13" s="10" t="s">
        <v>218</v>
      </c>
      <c r="AO13" s="10" t="s">
        <v>218</v>
      </c>
      <c r="AP13" s="10">
        <v>0</v>
      </c>
    </row>
    <row r="14" spans="1:42" ht="132" x14ac:dyDescent="0.25">
      <c r="A14" s="34"/>
      <c r="B14" s="34"/>
      <c r="C14" s="34"/>
      <c r="D14" s="34"/>
      <c r="E14" s="74"/>
      <c r="F14" s="34"/>
      <c r="G14" s="34"/>
      <c r="H14" s="36"/>
      <c r="I14" s="39"/>
      <c r="J14" s="39"/>
      <c r="K14" s="36"/>
      <c r="L14" s="39"/>
      <c r="M14" s="39"/>
      <c r="N14" s="36">
        <v>0</v>
      </c>
      <c r="O14" s="36">
        <v>0</v>
      </c>
      <c r="P14" s="36">
        <v>0</v>
      </c>
      <c r="Q14" s="36"/>
      <c r="R14" s="36"/>
      <c r="S14" s="36">
        <v>0</v>
      </c>
      <c r="T14" s="37" t="s">
        <v>4417</v>
      </c>
      <c r="U14" s="37" t="s">
        <v>1996</v>
      </c>
      <c r="V14" s="37">
        <v>1</v>
      </c>
      <c r="W14" s="10"/>
      <c r="X14" s="10"/>
      <c r="Y14" s="10"/>
      <c r="Z14" s="10"/>
      <c r="AA14" s="34">
        <v>31</v>
      </c>
      <c r="AB14" s="10">
        <v>0</v>
      </c>
      <c r="AC14" s="10">
        <v>0</v>
      </c>
      <c r="AD14" s="10" t="s">
        <v>4418</v>
      </c>
      <c r="AE14" s="10" t="s">
        <v>218</v>
      </c>
      <c r="AF14" s="10">
        <v>0</v>
      </c>
      <c r="AG14" s="10">
        <v>0</v>
      </c>
      <c r="AH14" s="10">
        <v>0</v>
      </c>
      <c r="AI14" s="10">
        <v>0</v>
      </c>
      <c r="AJ14" s="10">
        <v>0</v>
      </c>
      <c r="AK14" s="10">
        <v>0</v>
      </c>
      <c r="AL14" s="10">
        <v>0</v>
      </c>
      <c r="AM14" s="10">
        <v>0</v>
      </c>
      <c r="AN14" s="10">
        <v>0</v>
      </c>
      <c r="AO14" s="10">
        <v>0</v>
      </c>
      <c r="AP14" s="10">
        <v>0</v>
      </c>
    </row>
    <row r="15" spans="1:42" ht="105" x14ac:dyDescent="0.25">
      <c r="A15" s="34"/>
      <c r="B15" s="34"/>
      <c r="C15" s="34"/>
      <c r="D15" s="34"/>
      <c r="E15" s="74"/>
      <c r="F15" s="34"/>
      <c r="G15" s="34"/>
      <c r="H15" s="36"/>
      <c r="I15" s="39"/>
      <c r="J15" s="39"/>
      <c r="K15" s="36"/>
      <c r="L15" s="39"/>
      <c r="M15" s="39"/>
      <c r="N15" s="36">
        <v>0</v>
      </c>
      <c r="O15" s="36">
        <v>0</v>
      </c>
      <c r="P15" s="36">
        <v>0</v>
      </c>
      <c r="Q15" s="36"/>
      <c r="R15" s="36"/>
      <c r="S15" s="36">
        <v>0</v>
      </c>
      <c r="T15" s="37" t="s">
        <v>4419</v>
      </c>
      <c r="U15" s="37" t="s">
        <v>1996</v>
      </c>
      <c r="V15" s="37">
        <v>2</v>
      </c>
      <c r="W15" s="10"/>
      <c r="X15" s="10"/>
      <c r="Y15" s="10">
        <v>1</v>
      </c>
      <c r="Z15" s="10">
        <v>2</v>
      </c>
      <c r="AA15" s="34">
        <v>30</v>
      </c>
      <c r="AB15" s="10">
        <v>15</v>
      </c>
      <c r="AC15" s="10">
        <v>30</v>
      </c>
      <c r="AD15" s="10" t="s">
        <v>4420</v>
      </c>
      <c r="AE15" s="10" t="s">
        <v>218</v>
      </c>
      <c r="AF15" s="10">
        <v>0</v>
      </c>
      <c r="AG15" s="10">
        <v>0</v>
      </c>
      <c r="AH15" s="10">
        <v>0</v>
      </c>
      <c r="AI15" s="10">
        <v>0</v>
      </c>
      <c r="AJ15" s="10">
        <v>0</v>
      </c>
      <c r="AK15" s="10" t="s">
        <v>218</v>
      </c>
      <c r="AL15" s="10">
        <v>0</v>
      </c>
      <c r="AM15" s="10">
        <v>0</v>
      </c>
      <c r="AN15" s="10">
        <v>0</v>
      </c>
      <c r="AO15" s="10">
        <v>0</v>
      </c>
      <c r="AP15" s="10">
        <v>0</v>
      </c>
    </row>
    <row r="16" spans="1:42" ht="60" x14ac:dyDescent="0.25">
      <c r="A16" s="578" t="s">
        <v>23</v>
      </c>
      <c r="B16" s="578" t="s">
        <v>136</v>
      </c>
      <c r="C16" s="34" t="s">
        <v>137</v>
      </c>
      <c r="D16" s="34">
        <v>211180000</v>
      </c>
      <c r="E16" s="74" t="s">
        <v>4280</v>
      </c>
      <c r="F16" s="34" t="s">
        <v>4281</v>
      </c>
      <c r="G16" s="34" t="s">
        <v>4282</v>
      </c>
      <c r="H16" s="36">
        <v>1100000000</v>
      </c>
      <c r="I16" s="39">
        <v>1018157500</v>
      </c>
      <c r="J16" s="39"/>
      <c r="K16" s="36">
        <v>0</v>
      </c>
      <c r="L16" s="39"/>
      <c r="M16" s="39"/>
      <c r="N16" s="36">
        <v>1100000000</v>
      </c>
      <c r="O16" s="36">
        <v>1018157500</v>
      </c>
      <c r="P16" s="36">
        <v>0</v>
      </c>
      <c r="Q16" s="36">
        <v>896650813</v>
      </c>
      <c r="R16" s="36"/>
      <c r="S16" s="36">
        <v>896650813</v>
      </c>
      <c r="T16" s="37">
        <v>0</v>
      </c>
      <c r="U16" s="37">
        <v>0</v>
      </c>
      <c r="V16" s="37">
        <v>0</v>
      </c>
      <c r="W16" s="10"/>
      <c r="X16" s="10"/>
      <c r="Y16" s="10"/>
      <c r="Z16" s="10"/>
      <c r="AA16" s="34">
        <v>0</v>
      </c>
      <c r="AB16" s="10"/>
      <c r="AC16" s="10"/>
      <c r="AD16" s="10"/>
      <c r="AE16" s="10">
        <v>0</v>
      </c>
      <c r="AF16" s="10">
        <v>0</v>
      </c>
      <c r="AG16" s="10">
        <v>0</v>
      </c>
      <c r="AH16" s="10">
        <v>0</v>
      </c>
      <c r="AI16" s="10">
        <v>0</v>
      </c>
      <c r="AJ16" s="10">
        <v>0</v>
      </c>
      <c r="AK16" s="10">
        <v>0</v>
      </c>
      <c r="AL16" s="10">
        <v>0</v>
      </c>
      <c r="AM16" s="10">
        <v>0</v>
      </c>
      <c r="AN16" s="10">
        <v>0</v>
      </c>
      <c r="AO16" s="10">
        <v>0</v>
      </c>
      <c r="AP16" s="10">
        <v>0</v>
      </c>
    </row>
    <row r="17" spans="1:42" ht="24" x14ac:dyDescent="0.25">
      <c r="A17" s="34"/>
      <c r="B17" s="34"/>
      <c r="C17" s="34">
        <v>0</v>
      </c>
      <c r="D17" s="34">
        <v>0</v>
      </c>
      <c r="E17" s="74">
        <v>0</v>
      </c>
      <c r="F17" s="34">
        <v>0</v>
      </c>
      <c r="G17" s="34">
        <v>0</v>
      </c>
      <c r="H17" s="36">
        <v>0</v>
      </c>
      <c r="I17" s="39"/>
      <c r="J17" s="39"/>
      <c r="K17" s="36">
        <v>0</v>
      </c>
      <c r="L17" s="39"/>
      <c r="M17" s="39"/>
      <c r="N17" s="36">
        <v>0</v>
      </c>
      <c r="O17" s="36">
        <v>0</v>
      </c>
      <c r="P17" s="36">
        <v>0</v>
      </c>
      <c r="Q17" s="36">
        <v>15100000</v>
      </c>
      <c r="R17" s="36"/>
      <c r="S17" s="36">
        <v>15100000</v>
      </c>
      <c r="T17" s="37" t="s">
        <v>4421</v>
      </c>
      <c r="U17" s="37" t="s">
        <v>225</v>
      </c>
      <c r="V17" s="37">
        <v>1</v>
      </c>
      <c r="W17" s="582"/>
      <c r="X17" s="582"/>
      <c r="Y17" s="582">
        <v>0.5</v>
      </c>
      <c r="Z17" s="582">
        <v>1</v>
      </c>
      <c r="AA17" s="582">
        <v>330</v>
      </c>
      <c r="AB17" s="582">
        <v>150</v>
      </c>
      <c r="AC17" s="582">
        <v>330</v>
      </c>
      <c r="AD17" s="37" t="s">
        <v>4422</v>
      </c>
      <c r="AE17" s="10">
        <v>0</v>
      </c>
      <c r="AF17" s="10" t="s">
        <v>102</v>
      </c>
      <c r="AG17" s="10" t="s">
        <v>102</v>
      </c>
      <c r="AH17" s="10" t="s">
        <v>102</v>
      </c>
      <c r="AI17" s="10" t="s">
        <v>102</v>
      </c>
      <c r="AJ17" s="10" t="s">
        <v>102</v>
      </c>
      <c r="AK17" s="10" t="s">
        <v>102</v>
      </c>
      <c r="AL17" s="10" t="s">
        <v>102</v>
      </c>
      <c r="AM17" s="10" t="s">
        <v>102</v>
      </c>
      <c r="AN17" s="10" t="s">
        <v>102</v>
      </c>
      <c r="AO17" s="10" t="s">
        <v>102</v>
      </c>
      <c r="AP17" s="10" t="s">
        <v>102</v>
      </c>
    </row>
    <row r="18" spans="1:42" ht="105" x14ac:dyDescent="0.25">
      <c r="A18" s="34"/>
      <c r="B18" s="34"/>
      <c r="C18" s="34">
        <v>0</v>
      </c>
      <c r="D18" s="34">
        <v>0</v>
      </c>
      <c r="E18" s="74">
        <v>0</v>
      </c>
      <c r="F18" s="34">
        <v>0</v>
      </c>
      <c r="G18" s="34">
        <v>0</v>
      </c>
      <c r="H18" s="36">
        <v>0</v>
      </c>
      <c r="I18" s="39"/>
      <c r="J18" s="39"/>
      <c r="K18" s="36">
        <v>0</v>
      </c>
      <c r="L18" s="39"/>
      <c r="M18" s="39"/>
      <c r="N18" s="36">
        <v>0</v>
      </c>
      <c r="O18" s="36">
        <v>0</v>
      </c>
      <c r="P18" s="36">
        <v>0</v>
      </c>
      <c r="Q18" s="36"/>
      <c r="R18" s="36"/>
      <c r="S18" s="36">
        <v>6000000</v>
      </c>
      <c r="T18" s="37" t="s">
        <v>4423</v>
      </c>
      <c r="U18" s="37" t="s">
        <v>225</v>
      </c>
      <c r="V18" s="37">
        <v>1</v>
      </c>
      <c r="W18" s="582"/>
      <c r="X18" s="582"/>
      <c r="Y18" s="582">
        <v>0.5</v>
      </c>
      <c r="Z18" s="582">
        <v>1</v>
      </c>
      <c r="AA18" s="582">
        <v>365</v>
      </c>
      <c r="AB18" s="582">
        <v>150</v>
      </c>
      <c r="AC18" s="10">
        <v>365</v>
      </c>
      <c r="AD18" s="10" t="s">
        <v>4424</v>
      </c>
      <c r="AE18" s="10" t="s">
        <v>102</v>
      </c>
      <c r="AF18" s="10" t="s">
        <v>102</v>
      </c>
      <c r="AG18" s="10" t="s">
        <v>102</v>
      </c>
      <c r="AH18" s="10" t="s">
        <v>102</v>
      </c>
      <c r="AI18" s="10" t="s">
        <v>102</v>
      </c>
      <c r="AJ18" s="10" t="s">
        <v>102</v>
      </c>
      <c r="AK18" s="10" t="s">
        <v>102</v>
      </c>
      <c r="AL18" s="10" t="s">
        <v>102</v>
      </c>
      <c r="AM18" s="10" t="s">
        <v>102</v>
      </c>
      <c r="AN18" s="10" t="s">
        <v>102</v>
      </c>
      <c r="AO18" s="10">
        <v>0</v>
      </c>
      <c r="AP18" s="10">
        <v>0</v>
      </c>
    </row>
    <row r="19" spans="1:42" ht="144" x14ac:dyDescent="0.25">
      <c r="A19" s="34"/>
      <c r="B19" s="34"/>
      <c r="C19" s="34">
        <v>0</v>
      </c>
      <c r="D19" s="34">
        <v>0</v>
      </c>
      <c r="E19" s="74">
        <v>0</v>
      </c>
      <c r="F19" s="34">
        <v>0</v>
      </c>
      <c r="G19" s="34">
        <v>0</v>
      </c>
      <c r="H19" s="36">
        <v>0</v>
      </c>
      <c r="I19" s="39"/>
      <c r="J19" s="39"/>
      <c r="K19" s="36">
        <v>0</v>
      </c>
      <c r="L19" s="39"/>
      <c r="M19" s="39"/>
      <c r="N19" s="36">
        <v>0</v>
      </c>
      <c r="O19" s="36">
        <v>0</v>
      </c>
      <c r="P19" s="36">
        <v>0</v>
      </c>
      <c r="Q19" s="36"/>
      <c r="R19" s="36"/>
      <c r="S19" s="36">
        <v>0</v>
      </c>
      <c r="T19" s="37" t="s">
        <v>4425</v>
      </c>
      <c r="U19" s="37" t="s">
        <v>225</v>
      </c>
      <c r="V19" s="37">
        <v>2</v>
      </c>
      <c r="W19" s="582">
        <v>3</v>
      </c>
      <c r="X19" s="582"/>
      <c r="Y19" s="582">
        <v>1</v>
      </c>
      <c r="Z19" s="582">
        <v>3</v>
      </c>
      <c r="AA19" s="582">
        <v>365</v>
      </c>
      <c r="AB19" s="582">
        <v>182</v>
      </c>
      <c r="AC19" s="582">
        <v>365</v>
      </c>
      <c r="AD19" s="37" t="s">
        <v>4426</v>
      </c>
      <c r="AE19" s="10" t="s">
        <v>102</v>
      </c>
      <c r="AF19" s="10" t="s">
        <v>102</v>
      </c>
      <c r="AG19" s="10" t="s">
        <v>102</v>
      </c>
      <c r="AH19" s="10" t="s">
        <v>102</v>
      </c>
      <c r="AI19" s="10" t="s">
        <v>102</v>
      </c>
      <c r="AJ19" s="10" t="s">
        <v>102</v>
      </c>
      <c r="AK19" s="10">
        <v>0</v>
      </c>
      <c r="AL19" s="10" t="s">
        <v>102</v>
      </c>
      <c r="AM19" s="10" t="s">
        <v>102</v>
      </c>
      <c r="AN19" s="10" t="s">
        <v>102</v>
      </c>
      <c r="AO19" s="10" t="s">
        <v>102</v>
      </c>
      <c r="AP19" s="10" t="s">
        <v>102</v>
      </c>
    </row>
    <row r="20" spans="1:42" ht="72" x14ac:dyDescent="0.25">
      <c r="A20" s="34"/>
      <c r="B20" s="34"/>
      <c r="C20" s="34">
        <v>0</v>
      </c>
      <c r="D20" s="34">
        <v>0</v>
      </c>
      <c r="E20" s="74">
        <v>0</v>
      </c>
      <c r="F20" s="34">
        <v>0</v>
      </c>
      <c r="G20" s="34">
        <v>0</v>
      </c>
      <c r="H20" s="36">
        <v>0</v>
      </c>
      <c r="I20" s="39"/>
      <c r="J20" s="39"/>
      <c r="K20" s="36">
        <v>0</v>
      </c>
      <c r="L20" s="39"/>
      <c r="M20" s="39"/>
      <c r="N20" s="36">
        <v>0</v>
      </c>
      <c r="O20" s="36">
        <v>0</v>
      </c>
      <c r="P20" s="36">
        <v>0</v>
      </c>
      <c r="Q20" s="36"/>
      <c r="R20" s="36"/>
      <c r="S20" s="36">
        <v>0</v>
      </c>
      <c r="T20" s="37" t="s">
        <v>4427</v>
      </c>
      <c r="U20" s="37" t="s">
        <v>225</v>
      </c>
      <c r="V20" s="37">
        <v>4</v>
      </c>
      <c r="W20" s="10"/>
      <c r="X20" s="10"/>
      <c r="Y20" s="10"/>
      <c r="Z20" s="10">
        <v>4</v>
      </c>
      <c r="AA20" s="34"/>
      <c r="AB20" s="10"/>
      <c r="AC20" s="10"/>
      <c r="AD20" s="37" t="s">
        <v>4428</v>
      </c>
      <c r="AE20" s="10">
        <v>0</v>
      </c>
      <c r="AF20" s="10" t="s">
        <v>102</v>
      </c>
      <c r="AG20" s="10" t="s">
        <v>102</v>
      </c>
      <c r="AH20" s="10">
        <v>0</v>
      </c>
      <c r="AI20" s="10" t="s">
        <v>102</v>
      </c>
      <c r="AJ20" s="10" t="s">
        <v>102</v>
      </c>
      <c r="AK20" s="10">
        <v>0</v>
      </c>
      <c r="AL20" s="10">
        <v>0</v>
      </c>
      <c r="AM20" s="10">
        <v>0</v>
      </c>
      <c r="AN20" s="10" t="s">
        <v>102</v>
      </c>
      <c r="AO20" s="10" t="s">
        <v>102</v>
      </c>
      <c r="AP20" s="10" t="s">
        <v>102</v>
      </c>
    </row>
    <row r="21" spans="1:42" ht="60" x14ac:dyDescent="0.25">
      <c r="A21" s="34"/>
      <c r="B21" s="34"/>
      <c r="C21" s="34">
        <v>0</v>
      </c>
      <c r="D21" s="34">
        <v>0</v>
      </c>
      <c r="E21" s="74">
        <v>0</v>
      </c>
      <c r="F21" s="34">
        <v>0</v>
      </c>
      <c r="G21" s="34">
        <v>0</v>
      </c>
      <c r="H21" s="36">
        <v>0</v>
      </c>
      <c r="I21" s="39"/>
      <c r="J21" s="39"/>
      <c r="K21" s="36">
        <v>0</v>
      </c>
      <c r="L21" s="39"/>
      <c r="M21" s="39"/>
      <c r="N21" s="36">
        <v>0</v>
      </c>
      <c r="O21" s="36">
        <v>0</v>
      </c>
      <c r="P21" s="36">
        <v>0</v>
      </c>
      <c r="Q21" s="36"/>
      <c r="R21" s="36"/>
      <c r="S21" s="36">
        <v>0</v>
      </c>
      <c r="T21" s="37" t="s">
        <v>4429</v>
      </c>
      <c r="U21" s="37" t="s">
        <v>225</v>
      </c>
      <c r="V21" s="37">
        <v>1</v>
      </c>
      <c r="W21" s="582"/>
      <c r="X21" s="582"/>
      <c r="Y21" s="582">
        <v>0</v>
      </c>
      <c r="Z21" s="582">
        <v>1</v>
      </c>
      <c r="AA21" s="582">
        <v>0</v>
      </c>
      <c r="AB21" s="582"/>
      <c r="AC21" s="582"/>
      <c r="AD21" s="37" t="s">
        <v>4430</v>
      </c>
      <c r="AE21" s="10">
        <v>0</v>
      </c>
      <c r="AF21" s="10">
        <v>0</v>
      </c>
      <c r="AG21" s="10">
        <v>0</v>
      </c>
      <c r="AH21" s="10">
        <v>0</v>
      </c>
      <c r="AI21" s="10" t="s">
        <v>102</v>
      </c>
      <c r="AJ21" s="10" t="s">
        <v>102</v>
      </c>
      <c r="AK21" s="10" t="s">
        <v>102</v>
      </c>
      <c r="AL21" s="10" t="s">
        <v>102</v>
      </c>
      <c r="AM21" s="10" t="s">
        <v>102</v>
      </c>
      <c r="AN21" s="10" t="s">
        <v>102</v>
      </c>
      <c r="AO21" s="10" t="s">
        <v>102</v>
      </c>
      <c r="AP21" s="10">
        <v>0</v>
      </c>
    </row>
    <row r="22" spans="1:42" ht="96" x14ac:dyDescent="0.25">
      <c r="A22" s="34"/>
      <c r="B22" s="34"/>
      <c r="C22" s="34">
        <v>0</v>
      </c>
      <c r="D22" s="34">
        <v>0</v>
      </c>
      <c r="E22" s="74">
        <v>0</v>
      </c>
      <c r="F22" s="34">
        <v>0</v>
      </c>
      <c r="G22" s="34">
        <v>0</v>
      </c>
      <c r="H22" s="36">
        <v>0</v>
      </c>
      <c r="I22" s="39"/>
      <c r="J22" s="39"/>
      <c r="K22" s="36">
        <v>0</v>
      </c>
      <c r="L22" s="39"/>
      <c r="M22" s="39"/>
      <c r="N22" s="36">
        <v>0</v>
      </c>
      <c r="O22" s="36">
        <v>0</v>
      </c>
      <c r="P22" s="36">
        <v>0</v>
      </c>
      <c r="Q22" s="36">
        <v>875550813</v>
      </c>
      <c r="R22" s="27"/>
      <c r="S22" s="36">
        <v>875550813</v>
      </c>
      <c r="T22" s="37" t="s">
        <v>4431</v>
      </c>
      <c r="U22" s="37" t="s">
        <v>225</v>
      </c>
      <c r="V22" s="37">
        <v>1</v>
      </c>
      <c r="W22" s="582"/>
      <c r="X22" s="582"/>
      <c r="Y22" s="582">
        <v>0.3</v>
      </c>
      <c r="Z22" s="582">
        <v>1</v>
      </c>
      <c r="AA22" s="582">
        <v>330</v>
      </c>
      <c r="AB22" s="582">
        <v>150</v>
      </c>
      <c r="AC22" s="582">
        <v>330</v>
      </c>
      <c r="AD22" s="10"/>
      <c r="AE22" s="10">
        <v>0</v>
      </c>
      <c r="AF22" s="10" t="s">
        <v>102</v>
      </c>
      <c r="AG22" s="10" t="s">
        <v>102</v>
      </c>
      <c r="AH22" s="10" t="s">
        <v>102</v>
      </c>
      <c r="AI22" s="10" t="s">
        <v>102</v>
      </c>
      <c r="AJ22" s="10" t="s">
        <v>102</v>
      </c>
      <c r="AK22" s="10" t="s">
        <v>102</v>
      </c>
      <c r="AL22" s="10" t="s">
        <v>102</v>
      </c>
      <c r="AM22" s="10" t="s">
        <v>102</v>
      </c>
      <c r="AN22" s="10" t="s">
        <v>102</v>
      </c>
      <c r="AO22" s="10" t="s">
        <v>102</v>
      </c>
      <c r="AP22" s="10" t="s">
        <v>102</v>
      </c>
    </row>
    <row r="23" spans="1:42" ht="48" x14ac:dyDescent="0.25">
      <c r="A23" s="34"/>
      <c r="B23" s="34"/>
      <c r="C23" s="34">
        <v>0</v>
      </c>
      <c r="D23" s="34">
        <v>0</v>
      </c>
      <c r="E23" s="74">
        <v>0</v>
      </c>
      <c r="F23" s="34">
        <v>0</v>
      </c>
      <c r="G23" s="34">
        <v>0</v>
      </c>
      <c r="H23" s="36">
        <v>0</v>
      </c>
      <c r="I23" s="39"/>
      <c r="J23" s="39"/>
      <c r="K23" s="36">
        <v>0</v>
      </c>
      <c r="L23" s="39"/>
      <c r="M23" s="39"/>
      <c r="N23" s="36">
        <v>0</v>
      </c>
      <c r="O23" s="36">
        <v>0</v>
      </c>
      <c r="P23" s="36">
        <v>0</v>
      </c>
      <c r="Q23" s="36"/>
      <c r="R23" s="36"/>
      <c r="S23" s="36">
        <v>0</v>
      </c>
      <c r="T23" s="37" t="s">
        <v>4432</v>
      </c>
      <c r="U23" s="37" t="s">
        <v>225</v>
      </c>
      <c r="V23" s="37">
        <v>1</v>
      </c>
      <c r="W23" s="582"/>
      <c r="X23" s="582"/>
      <c r="Y23" s="582">
        <v>0.3</v>
      </c>
      <c r="Z23" s="582">
        <v>1</v>
      </c>
      <c r="AA23" s="582">
        <v>330</v>
      </c>
      <c r="AB23" s="582">
        <v>150</v>
      </c>
      <c r="AC23" s="582">
        <v>330</v>
      </c>
      <c r="AD23" s="37" t="s">
        <v>4433</v>
      </c>
      <c r="AE23" s="10">
        <v>0</v>
      </c>
      <c r="AF23" s="10" t="s">
        <v>102</v>
      </c>
      <c r="AG23" s="10" t="s">
        <v>102</v>
      </c>
      <c r="AH23" s="10" t="s">
        <v>102</v>
      </c>
      <c r="AI23" s="10" t="s">
        <v>102</v>
      </c>
      <c r="AJ23" s="10" t="s">
        <v>102</v>
      </c>
      <c r="AK23" s="10" t="s">
        <v>102</v>
      </c>
      <c r="AL23" s="10" t="s">
        <v>102</v>
      </c>
      <c r="AM23" s="10" t="s">
        <v>102</v>
      </c>
      <c r="AN23" s="10" t="s">
        <v>102</v>
      </c>
      <c r="AO23" s="10" t="s">
        <v>102</v>
      </c>
      <c r="AP23" s="10" t="s">
        <v>102</v>
      </c>
    </row>
    <row r="24" spans="1:42" ht="144" x14ac:dyDescent="0.25">
      <c r="A24" s="34"/>
      <c r="B24" s="34"/>
      <c r="C24" s="34">
        <v>0</v>
      </c>
      <c r="D24" s="34">
        <v>0</v>
      </c>
      <c r="E24" s="74">
        <v>0</v>
      </c>
      <c r="F24" s="34">
        <v>0</v>
      </c>
      <c r="G24" s="34">
        <v>0</v>
      </c>
      <c r="H24" s="36">
        <v>0</v>
      </c>
      <c r="I24" s="39"/>
      <c r="J24" s="39"/>
      <c r="K24" s="36">
        <v>0</v>
      </c>
      <c r="L24" s="39"/>
      <c r="M24" s="39"/>
      <c r="N24" s="36">
        <v>0</v>
      </c>
      <c r="O24" s="36">
        <v>0</v>
      </c>
      <c r="P24" s="36">
        <v>0</v>
      </c>
      <c r="Q24" s="36"/>
      <c r="R24" s="36"/>
      <c r="S24" s="36">
        <v>0</v>
      </c>
      <c r="T24" s="37" t="s">
        <v>4434</v>
      </c>
      <c r="U24" s="37" t="s">
        <v>225</v>
      </c>
      <c r="V24" s="37">
        <v>1</v>
      </c>
      <c r="W24" s="582"/>
      <c r="X24" s="582"/>
      <c r="Y24" s="582">
        <v>0</v>
      </c>
      <c r="Z24" s="582">
        <v>1</v>
      </c>
      <c r="AA24" s="582"/>
      <c r="AB24" s="582"/>
      <c r="AC24" s="582"/>
      <c r="AD24" s="37" t="s">
        <v>4428</v>
      </c>
      <c r="AE24" s="10">
        <v>0</v>
      </c>
      <c r="AF24" s="10">
        <v>0</v>
      </c>
      <c r="AG24" s="10">
        <v>0</v>
      </c>
      <c r="AH24" s="10">
        <v>0</v>
      </c>
      <c r="AI24" s="10">
        <v>0</v>
      </c>
      <c r="AJ24" s="10">
        <v>0</v>
      </c>
      <c r="AK24" s="10">
        <v>0</v>
      </c>
      <c r="AL24" s="10" t="s">
        <v>102</v>
      </c>
      <c r="AM24" s="10" t="s">
        <v>102</v>
      </c>
      <c r="AN24" s="10" t="s">
        <v>102</v>
      </c>
      <c r="AO24" s="10" t="s">
        <v>102</v>
      </c>
      <c r="AP24" s="10" t="s">
        <v>102</v>
      </c>
    </row>
    <row r="25" spans="1:42" ht="51.75" x14ac:dyDescent="0.25">
      <c r="A25" s="578" t="s">
        <v>23</v>
      </c>
      <c r="B25" s="578" t="s">
        <v>136</v>
      </c>
      <c r="C25" s="34" t="s">
        <v>137</v>
      </c>
      <c r="D25" s="34">
        <v>211180000</v>
      </c>
      <c r="E25" s="74" t="s">
        <v>4284</v>
      </c>
      <c r="F25" s="34" t="s">
        <v>4285</v>
      </c>
      <c r="G25" s="34" t="s">
        <v>4286</v>
      </c>
      <c r="H25" s="36">
        <v>1000000000</v>
      </c>
      <c r="I25" s="39">
        <v>1075496000</v>
      </c>
      <c r="J25" s="39">
        <v>1442496000</v>
      </c>
      <c r="K25" s="36">
        <v>0</v>
      </c>
      <c r="L25" s="39"/>
      <c r="M25" s="39"/>
      <c r="N25" s="36">
        <v>1000000000</v>
      </c>
      <c r="O25" s="36">
        <v>1075496000</v>
      </c>
      <c r="P25" s="36">
        <v>1442496000</v>
      </c>
      <c r="Q25" s="36">
        <v>92024396</v>
      </c>
      <c r="R25" s="36"/>
      <c r="S25" s="36">
        <v>92024396</v>
      </c>
      <c r="T25" s="37">
        <v>0</v>
      </c>
      <c r="U25" s="37">
        <v>0</v>
      </c>
      <c r="V25" s="37">
        <v>0</v>
      </c>
      <c r="W25" s="10"/>
      <c r="X25" s="10"/>
      <c r="Y25" s="10"/>
      <c r="Z25" s="10"/>
      <c r="AA25" s="34">
        <v>0</v>
      </c>
      <c r="AB25" s="10"/>
      <c r="AC25" s="10"/>
      <c r="AD25" s="10"/>
      <c r="AE25" s="10">
        <v>0</v>
      </c>
      <c r="AF25" s="10">
        <v>0</v>
      </c>
      <c r="AG25" s="10">
        <v>0</v>
      </c>
      <c r="AH25" s="10">
        <v>0</v>
      </c>
      <c r="AI25" s="10">
        <v>0</v>
      </c>
      <c r="AJ25" s="10">
        <v>0</v>
      </c>
      <c r="AK25" s="10">
        <v>0</v>
      </c>
      <c r="AL25" s="10">
        <v>0</v>
      </c>
      <c r="AM25" s="10">
        <v>0</v>
      </c>
      <c r="AN25" s="10">
        <v>0</v>
      </c>
      <c r="AO25" s="10">
        <v>0</v>
      </c>
      <c r="AP25" s="10">
        <v>0</v>
      </c>
    </row>
    <row r="26" spans="1:42" ht="120" x14ac:dyDescent="0.25">
      <c r="A26" s="34"/>
      <c r="B26" s="34"/>
      <c r="C26" s="34">
        <v>0</v>
      </c>
      <c r="D26" s="34">
        <v>0</v>
      </c>
      <c r="E26" s="74">
        <v>0</v>
      </c>
      <c r="F26" s="34">
        <v>0</v>
      </c>
      <c r="G26" s="34">
        <v>0</v>
      </c>
      <c r="H26" s="36">
        <v>381000000</v>
      </c>
      <c r="I26" s="39"/>
      <c r="J26" s="39"/>
      <c r="K26" s="36">
        <v>0</v>
      </c>
      <c r="L26" s="39"/>
      <c r="M26" s="39"/>
      <c r="N26" s="36">
        <v>381000000</v>
      </c>
      <c r="O26" s="36">
        <v>0</v>
      </c>
      <c r="P26" s="36">
        <v>0</v>
      </c>
      <c r="Q26" s="36"/>
      <c r="R26" s="36"/>
      <c r="S26" s="36">
        <v>0</v>
      </c>
      <c r="T26" s="37" t="s">
        <v>4435</v>
      </c>
      <c r="U26" s="37" t="s">
        <v>4436</v>
      </c>
      <c r="V26" s="37">
        <v>12</v>
      </c>
      <c r="W26" s="10"/>
      <c r="X26" s="10"/>
      <c r="Y26" s="10"/>
      <c r="Z26" s="10">
        <v>12</v>
      </c>
      <c r="AA26" s="34">
        <v>365</v>
      </c>
      <c r="AB26" s="10"/>
      <c r="AC26" s="10">
        <v>365</v>
      </c>
      <c r="AD26" s="10"/>
      <c r="AE26" s="10" t="s">
        <v>218</v>
      </c>
      <c r="AF26" s="10" t="s">
        <v>218</v>
      </c>
      <c r="AG26" s="10" t="s">
        <v>218</v>
      </c>
      <c r="AH26" s="10" t="s">
        <v>218</v>
      </c>
      <c r="AI26" s="10" t="s">
        <v>218</v>
      </c>
      <c r="AJ26" s="10" t="s">
        <v>218</v>
      </c>
      <c r="AK26" s="10" t="s">
        <v>218</v>
      </c>
      <c r="AL26" s="10" t="s">
        <v>218</v>
      </c>
      <c r="AM26" s="10" t="s">
        <v>218</v>
      </c>
      <c r="AN26" s="10" t="s">
        <v>218</v>
      </c>
      <c r="AO26" s="10" t="s">
        <v>218</v>
      </c>
      <c r="AP26" s="10" t="s">
        <v>218</v>
      </c>
    </row>
    <row r="27" spans="1:42" ht="120" x14ac:dyDescent="0.25">
      <c r="A27" s="34"/>
      <c r="B27" s="34"/>
      <c r="C27" s="34">
        <v>0</v>
      </c>
      <c r="D27" s="34">
        <v>0</v>
      </c>
      <c r="E27" s="74">
        <v>0</v>
      </c>
      <c r="F27" s="34">
        <v>0</v>
      </c>
      <c r="G27" s="34">
        <v>0</v>
      </c>
      <c r="H27" s="36">
        <v>119000000</v>
      </c>
      <c r="I27" s="39"/>
      <c r="J27" s="39"/>
      <c r="K27" s="36">
        <v>0</v>
      </c>
      <c r="L27" s="39"/>
      <c r="M27" s="39"/>
      <c r="N27" s="36">
        <v>119000000</v>
      </c>
      <c r="O27" s="36">
        <v>0</v>
      </c>
      <c r="P27" s="36">
        <v>0</v>
      </c>
      <c r="Q27" s="36"/>
      <c r="R27" s="36"/>
      <c r="S27" s="36">
        <v>0</v>
      </c>
      <c r="T27" s="37" t="s">
        <v>4437</v>
      </c>
      <c r="U27" s="37" t="s">
        <v>4436</v>
      </c>
      <c r="V27" s="37">
        <v>2</v>
      </c>
      <c r="W27" s="10"/>
      <c r="X27" s="10"/>
      <c r="Y27" s="10"/>
      <c r="Z27" s="10">
        <v>2</v>
      </c>
      <c r="AA27" s="34">
        <v>0</v>
      </c>
      <c r="AB27" s="10"/>
      <c r="AC27" s="10">
        <v>60</v>
      </c>
      <c r="AD27" s="10"/>
      <c r="AE27" s="10">
        <v>0</v>
      </c>
      <c r="AF27" s="10">
        <v>0</v>
      </c>
      <c r="AG27" s="10">
        <v>0</v>
      </c>
      <c r="AH27" s="10">
        <v>0</v>
      </c>
      <c r="AI27" s="10">
        <v>0</v>
      </c>
      <c r="AJ27" s="10">
        <v>0</v>
      </c>
      <c r="AK27" s="10">
        <v>0</v>
      </c>
      <c r="AL27" s="10">
        <v>0</v>
      </c>
      <c r="AM27" s="10" t="s">
        <v>218</v>
      </c>
      <c r="AN27" s="10" t="s">
        <v>218</v>
      </c>
      <c r="AO27" s="10">
        <v>0</v>
      </c>
      <c r="AP27" s="10">
        <v>0</v>
      </c>
    </row>
    <row r="28" spans="1:42" ht="108" x14ac:dyDescent="0.25">
      <c r="A28" s="34"/>
      <c r="B28" s="34"/>
      <c r="C28" s="34">
        <v>0</v>
      </c>
      <c r="D28" s="34">
        <v>0</v>
      </c>
      <c r="E28" s="74">
        <v>0</v>
      </c>
      <c r="F28" s="34">
        <v>0</v>
      </c>
      <c r="G28" s="34">
        <v>0</v>
      </c>
      <c r="H28" s="36">
        <v>500000000</v>
      </c>
      <c r="I28" s="39"/>
      <c r="J28" s="39"/>
      <c r="K28" s="36">
        <v>0</v>
      </c>
      <c r="L28" s="39"/>
      <c r="M28" s="39"/>
      <c r="N28" s="36">
        <v>500000000</v>
      </c>
      <c r="O28" s="36">
        <v>0</v>
      </c>
      <c r="P28" s="36">
        <v>0</v>
      </c>
      <c r="Q28" s="36"/>
      <c r="R28" s="36"/>
      <c r="S28" s="36">
        <v>0</v>
      </c>
      <c r="T28" s="37" t="s">
        <v>4438</v>
      </c>
      <c r="U28" s="37" t="s">
        <v>4436</v>
      </c>
      <c r="V28" s="37">
        <v>9</v>
      </c>
      <c r="W28" s="10"/>
      <c r="X28" s="10"/>
      <c r="Y28" s="10"/>
      <c r="Z28" s="10">
        <v>3</v>
      </c>
      <c r="AA28" s="34">
        <v>270</v>
      </c>
      <c r="AB28" s="10"/>
      <c r="AC28" s="10">
        <v>96</v>
      </c>
      <c r="AD28" s="10"/>
      <c r="AE28" s="10">
        <v>0</v>
      </c>
      <c r="AF28" s="10">
        <v>0</v>
      </c>
      <c r="AG28" s="10" t="s">
        <v>218</v>
      </c>
      <c r="AH28" s="10" t="s">
        <v>218</v>
      </c>
      <c r="AI28" s="10" t="s">
        <v>218</v>
      </c>
      <c r="AJ28" s="10" t="s">
        <v>218</v>
      </c>
      <c r="AK28" s="10" t="s">
        <v>218</v>
      </c>
      <c r="AL28" s="10" t="s">
        <v>218</v>
      </c>
      <c r="AM28" s="10" t="s">
        <v>218</v>
      </c>
      <c r="AN28" s="10" t="s">
        <v>218</v>
      </c>
      <c r="AO28" s="10" t="s">
        <v>218</v>
      </c>
      <c r="AP28" s="10" t="s">
        <v>218</v>
      </c>
    </row>
    <row r="29" spans="1:42" ht="51.75" x14ac:dyDescent="0.25">
      <c r="A29" s="578" t="s">
        <v>23</v>
      </c>
      <c r="B29" s="578" t="s">
        <v>136</v>
      </c>
      <c r="C29" s="34" t="s">
        <v>2518</v>
      </c>
      <c r="D29" s="34">
        <v>211210000</v>
      </c>
      <c r="E29" s="74" t="s">
        <v>4271</v>
      </c>
      <c r="F29" s="34" t="s">
        <v>4272</v>
      </c>
      <c r="G29" s="34" t="s">
        <v>4273</v>
      </c>
      <c r="H29" s="36">
        <v>237000000</v>
      </c>
      <c r="I29" s="39">
        <v>225705392</v>
      </c>
      <c r="J29" s="39">
        <v>225705392</v>
      </c>
      <c r="K29" s="36">
        <v>0</v>
      </c>
      <c r="L29" s="39"/>
      <c r="M29" s="39"/>
      <c r="N29" s="36">
        <v>237000000</v>
      </c>
      <c r="O29" s="36">
        <v>225705392</v>
      </c>
      <c r="P29" s="36">
        <v>225705392</v>
      </c>
      <c r="Q29" s="36">
        <v>219837080</v>
      </c>
      <c r="R29" s="36">
        <v>0</v>
      </c>
      <c r="S29" s="36">
        <v>219837080</v>
      </c>
      <c r="T29" s="37">
        <v>0</v>
      </c>
      <c r="U29" s="37">
        <v>0</v>
      </c>
      <c r="V29" s="37">
        <v>0</v>
      </c>
      <c r="W29" s="10"/>
      <c r="X29" s="10"/>
      <c r="Y29" s="10"/>
      <c r="Z29" s="10"/>
      <c r="AA29" s="34">
        <v>0</v>
      </c>
      <c r="AB29" s="10"/>
      <c r="AC29" s="10"/>
      <c r="AD29" s="10"/>
      <c r="AE29" s="10">
        <v>0</v>
      </c>
      <c r="AF29" s="10">
        <v>0</v>
      </c>
      <c r="AG29" s="10">
        <v>0</v>
      </c>
      <c r="AH29" s="10">
        <v>0</v>
      </c>
      <c r="AI29" s="10">
        <v>0</v>
      </c>
      <c r="AJ29" s="10">
        <v>0</v>
      </c>
      <c r="AK29" s="10">
        <v>0</v>
      </c>
      <c r="AL29" s="10">
        <v>0</v>
      </c>
      <c r="AM29" s="10">
        <v>0</v>
      </c>
      <c r="AN29" s="10">
        <v>0</v>
      </c>
      <c r="AO29" s="10">
        <v>0</v>
      </c>
      <c r="AP29" s="10">
        <v>0</v>
      </c>
    </row>
    <row r="30" spans="1:42" ht="240" x14ac:dyDescent="0.25">
      <c r="A30" s="34"/>
      <c r="B30" s="34"/>
      <c r="C30" s="34">
        <v>0</v>
      </c>
      <c r="D30" s="34">
        <v>0</v>
      </c>
      <c r="E30" s="74">
        <v>0</v>
      </c>
      <c r="F30" s="34">
        <v>0</v>
      </c>
      <c r="G30" s="34">
        <v>0</v>
      </c>
      <c r="H30" s="36">
        <v>0</v>
      </c>
      <c r="I30" s="39"/>
      <c r="J30" s="39"/>
      <c r="K30" s="36">
        <v>0</v>
      </c>
      <c r="L30" s="39"/>
      <c r="M30" s="39"/>
      <c r="N30" s="36">
        <v>0</v>
      </c>
      <c r="O30" s="36">
        <v>0</v>
      </c>
      <c r="P30" s="36">
        <v>0</v>
      </c>
      <c r="Q30" s="36"/>
      <c r="R30" s="36"/>
      <c r="S30" s="36">
        <v>0</v>
      </c>
      <c r="T30" s="37" t="s">
        <v>4439</v>
      </c>
      <c r="U30" s="37" t="s">
        <v>1996</v>
      </c>
      <c r="V30" s="37">
        <v>3</v>
      </c>
      <c r="W30" s="10"/>
      <c r="X30" s="10"/>
      <c r="Y30" s="10">
        <v>3</v>
      </c>
      <c r="Z30" s="10">
        <v>3</v>
      </c>
      <c r="AA30" s="34">
        <v>255</v>
      </c>
      <c r="AB30" s="10">
        <v>30</v>
      </c>
      <c r="AC30" s="10">
        <v>255</v>
      </c>
      <c r="AD30" s="10" t="s">
        <v>4440</v>
      </c>
      <c r="AE30" s="10">
        <v>0</v>
      </c>
      <c r="AF30" s="10">
        <v>0</v>
      </c>
      <c r="AG30" s="10" t="s">
        <v>218</v>
      </c>
      <c r="AH30" s="10" t="s">
        <v>218</v>
      </c>
      <c r="AI30" s="10" t="s">
        <v>218</v>
      </c>
      <c r="AJ30" s="10" t="s">
        <v>218</v>
      </c>
      <c r="AK30" s="10" t="s">
        <v>218</v>
      </c>
      <c r="AL30" s="10" t="s">
        <v>218</v>
      </c>
      <c r="AM30" s="10" t="s">
        <v>218</v>
      </c>
      <c r="AN30" s="10" t="s">
        <v>218</v>
      </c>
      <c r="AO30" s="10" t="s">
        <v>218</v>
      </c>
      <c r="AP30" s="10" t="s">
        <v>218</v>
      </c>
    </row>
    <row r="31" spans="1:42" ht="165" x14ac:dyDescent="0.25">
      <c r="A31" s="34"/>
      <c r="B31" s="34"/>
      <c r="C31" s="34">
        <v>0</v>
      </c>
      <c r="D31" s="34">
        <v>0</v>
      </c>
      <c r="E31" s="74">
        <v>0</v>
      </c>
      <c r="F31" s="34">
        <v>0</v>
      </c>
      <c r="G31" s="34">
        <v>0</v>
      </c>
      <c r="H31" s="36">
        <v>0</v>
      </c>
      <c r="I31" s="39"/>
      <c r="J31" s="39"/>
      <c r="K31" s="36">
        <v>0</v>
      </c>
      <c r="L31" s="39"/>
      <c r="M31" s="39"/>
      <c r="N31" s="36">
        <v>0</v>
      </c>
      <c r="O31" s="36">
        <v>0</v>
      </c>
      <c r="P31" s="36">
        <v>0</v>
      </c>
      <c r="Q31" s="36"/>
      <c r="R31" s="36"/>
      <c r="S31" s="36">
        <v>0</v>
      </c>
      <c r="T31" s="37" t="s">
        <v>4441</v>
      </c>
      <c r="U31" s="37" t="s">
        <v>1996</v>
      </c>
      <c r="V31" s="37">
        <v>1</v>
      </c>
      <c r="W31" s="10"/>
      <c r="X31" s="10"/>
      <c r="Y31" s="10">
        <v>1</v>
      </c>
      <c r="Z31" s="10">
        <v>1</v>
      </c>
      <c r="AA31" s="34">
        <v>360</v>
      </c>
      <c r="AB31" s="10">
        <v>120</v>
      </c>
      <c r="AC31" s="10">
        <v>360</v>
      </c>
      <c r="AD31" s="10" t="s">
        <v>4442</v>
      </c>
      <c r="AE31" s="10" t="s">
        <v>218</v>
      </c>
      <c r="AF31" s="10" t="s">
        <v>218</v>
      </c>
      <c r="AG31" s="10" t="s">
        <v>218</v>
      </c>
      <c r="AH31" s="10" t="s">
        <v>218</v>
      </c>
      <c r="AI31" s="10" t="s">
        <v>218</v>
      </c>
      <c r="AJ31" s="10" t="s">
        <v>218</v>
      </c>
      <c r="AK31" s="10" t="s">
        <v>218</v>
      </c>
      <c r="AL31" s="10" t="s">
        <v>218</v>
      </c>
      <c r="AM31" s="10" t="s">
        <v>218</v>
      </c>
      <c r="AN31" s="10" t="s">
        <v>218</v>
      </c>
      <c r="AO31" s="10" t="s">
        <v>218</v>
      </c>
      <c r="AP31" s="10" t="s">
        <v>218</v>
      </c>
    </row>
    <row r="32" spans="1:42" ht="165" x14ac:dyDescent="0.25">
      <c r="A32" s="34"/>
      <c r="B32" s="34"/>
      <c r="C32" s="34">
        <v>0</v>
      </c>
      <c r="D32" s="34">
        <v>0</v>
      </c>
      <c r="E32" s="74">
        <v>0</v>
      </c>
      <c r="F32" s="34">
        <v>0</v>
      </c>
      <c r="G32" s="34">
        <v>0</v>
      </c>
      <c r="H32" s="36">
        <v>0</v>
      </c>
      <c r="I32" s="39"/>
      <c r="J32" s="39"/>
      <c r="K32" s="36">
        <v>0</v>
      </c>
      <c r="L32" s="39"/>
      <c r="M32" s="39"/>
      <c r="N32" s="36">
        <v>0</v>
      </c>
      <c r="O32" s="36">
        <v>0</v>
      </c>
      <c r="P32" s="36">
        <v>0</v>
      </c>
      <c r="Q32" s="36"/>
      <c r="R32" s="36"/>
      <c r="S32" s="36">
        <v>0</v>
      </c>
      <c r="T32" s="37" t="s">
        <v>4443</v>
      </c>
      <c r="U32" s="37" t="s">
        <v>1996</v>
      </c>
      <c r="V32" s="37">
        <v>1</v>
      </c>
      <c r="W32" s="10"/>
      <c r="X32" s="10"/>
      <c r="Y32" s="10">
        <v>0</v>
      </c>
      <c r="Z32" s="10">
        <v>1</v>
      </c>
      <c r="AA32" s="34">
        <v>90</v>
      </c>
      <c r="AB32" s="10">
        <v>0</v>
      </c>
      <c r="AC32" s="10">
        <v>30</v>
      </c>
      <c r="AD32" s="10" t="s">
        <v>4444</v>
      </c>
      <c r="AE32" s="10">
        <v>0</v>
      </c>
      <c r="AF32" s="10">
        <v>0</v>
      </c>
      <c r="AG32" s="10">
        <v>0</v>
      </c>
      <c r="AH32" s="10">
        <v>0</v>
      </c>
      <c r="AI32" s="10">
        <v>0</v>
      </c>
      <c r="AJ32" s="10">
        <v>0</v>
      </c>
      <c r="AK32" s="10">
        <v>0</v>
      </c>
      <c r="AL32" s="10">
        <v>0</v>
      </c>
      <c r="AM32" s="10">
        <v>0</v>
      </c>
      <c r="AN32" s="10" t="s">
        <v>218</v>
      </c>
      <c r="AO32" s="10" t="s">
        <v>218</v>
      </c>
      <c r="AP32" s="10" t="s">
        <v>218</v>
      </c>
    </row>
    <row r="33" spans="1:284" s="592" customFormat="1" ht="51.75" x14ac:dyDescent="0.25">
      <c r="A33" s="578" t="s">
        <v>23</v>
      </c>
      <c r="B33" s="578" t="s">
        <v>136</v>
      </c>
      <c r="C33" s="34" t="s">
        <v>2518</v>
      </c>
      <c r="D33" s="34">
        <v>211210000</v>
      </c>
      <c r="E33" s="74" t="s">
        <v>4291</v>
      </c>
      <c r="F33" s="34" t="s">
        <v>4292</v>
      </c>
      <c r="G33" s="34" t="s">
        <v>4293</v>
      </c>
      <c r="H33" s="36">
        <v>598000000</v>
      </c>
      <c r="I33" s="39">
        <v>1465787500</v>
      </c>
      <c r="J33" s="39">
        <v>1485693028</v>
      </c>
      <c r="K33" s="36">
        <v>0</v>
      </c>
      <c r="L33" s="39"/>
      <c r="M33" s="39"/>
      <c r="N33" s="36">
        <f t="shared" ref="N33:Q74" si="0">H33+K33</f>
        <v>598000000</v>
      </c>
      <c r="O33" s="36">
        <f t="shared" si="0"/>
        <v>1465787500</v>
      </c>
      <c r="P33" s="36">
        <f t="shared" si="0"/>
        <v>1485693028</v>
      </c>
      <c r="Q33" s="36">
        <v>1484156266</v>
      </c>
      <c r="R33" s="36"/>
      <c r="S33" s="36">
        <f t="shared" ref="S33:S88" si="1">Q33+R33</f>
        <v>1484156266</v>
      </c>
      <c r="T33" s="37">
        <v>0</v>
      </c>
      <c r="U33" s="37">
        <v>0</v>
      </c>
      <c r="V33" s="37">
        <v>0</v>
      </c>
      <c r="W33" s="10"/>
      <c r="X33" s="10"/>
      <c r="Y33" s="10"/>
      <c r="Z33" s="10"/>
      <c r="AA33" s="34">
        <v>0</v>
      </c>
      <c r="AB33" s="10"/>
      <c r="AC33" s="10"/>
      <c r="AD33" s="10"/>
      <c r="AE33" s="10">
        <v>0</v>
      </c>
      <c r="AF33" s="10">
        <v>0</v>
      </c>
      <c r="AG33" s="10">
        <v>0</v>
      </c>
      <c r="AH33" s="10">
        <v>0</v>
      </c>
      <c r="AI33" s="10">
        <v>0</v>
      </c>
      <c r="AJ33" s="10">
        <v>0</v>
      </c>
      <c r="AK33" s="10">
        <v>0</v>
      </c>
      <c r="AL33" s="10">
        <v>0</v>
      </c>
      <c r="AM33" s="10">
        <v>0</v>
      </c>
      <c r="AN33" s="10">
        <v>0</v>
      </c>
      <c r="AO33" s="10">
        <v>0</v>
      </c>
      <c r="AP33" s="10">
        <v>0</v>
      </c>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row>
    <row r="34" spans="1:284" s="592" customFormat="1" ht="165" x14ac:dyDescent="0.25">
      <c r="A34" s="34"/>
      <c r="B34" s="34"/>
      <c r="C34" s="34">
        <v>0</v>
      </c>
      <c r="D34" s="34">
        <v>0</v>
      </c>
      <c r="E34" s="74">
        <v>0</v>
      </c>
      <c r="F34" s="34">
        <v>0</v>
      </c>
      <c r="G34" s="34">
        <v>0</v>
      </c>
      <c r="H34" s="36">
        <v>0</v>
      </c>
      <c r="I34" s="39"/>
      <c r="J34" s="39"/>
      <c r="K34" s="36">
        <v>0</v>
      </c>
      <c r="L34" s="39"/>
      <c r="M34" s="39"/>
      <c r="N34" s="36">
        <f t="shared" si="0"/>
        <v>0</v>
      </c>
      <c r="O34" s="36">
        <f t="shared" si="0"/>
        <v>0</v>
      </c>
      <c r="P34" s="36">
        <f t="shared" si="0"/>
        <v>0</v>
      </c>
      <c r="Q34" s="36"/>
      <c r="R34" s="36"/>
      <c r="S34" s="36">
        <f t="shared" si="1"/>
        <v>0</v>
      </c>
      <c r="T34" s="37" t="s">
        <v>4445</v>
      </c>
      <c r="U34" s="37" t="s">
        <v>4446</v>
      </c>
      <c r="V34" s="37">
        <v>40</v>
      </c>
      <c r="W34" s="10"/>
      <c r="X34" s="10"/>
      <c r="Y34" s="10"/>
      <c r="Z34" s="10">
        <v>40</v>
      </c>
      <c r="AA34" s="34">
        <v>240</v>
      </c>
      <c r="AB34" s="10">
        <v>90</v>
      </c>
      <c r="AC34" s="10">
        <v>240</v>
      </c>
      <c r="AD34" s="10" t="s">
        <v>4447</v>
      </c>
      <c r="AE34" s="10">
        <v>0</v>
      </c>
      <c r="AF34" s="10">
        <v>0</v>
      </c>
      <c r="AG34" s="10">
        <v>0</v>
      </c>
      <c r="AH34" s="10" t="s">
        <v>218</v>
      </c>
      <c r="AI34" s="10" t="s">
        <v>218</v>
      </c>
      <c r="AJ34" s="10" t="s">
        <v>218</v>
      </c>
      <c r="AK34" s="10" t="s">
        <v>218</v>
      </c>
      <c r="AL34" s="10" t="s">
        <v>218</v>
      </c>
      <c r="AM34" s="10" t="s">
        <v>218</v>
      </c>
      <c r="AN34" s="10" t="s">
        <v>218</v>
      </c>
      <c r="AO34" s="10" t="s">
        <v>218</v>
      </c>
      <c r="AP34" s="10">
        <v>0</v>
      </c>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row>
    <row r="35" spans="1:284" s="592" customFormat="1" ht="90" x14ac:dyDescent="0.25">
      <c r="A35" s="34"/>
      <c r="B35" s="34"/>
      <c r="C35" s="34">
        <v>0</v>
      </c>
      <c r="D35" s="34">
        <v>0</v>
      </c>
      <c r="E35" s="74">
        <v>0</v>
      </c>
      <c r="F35" s="34">
        <v>0</v>
      </c>
      <c r="G35" s="34">
        <v>0</v>
      </c>
      <c r="H35" s="36">
        <v>0</v>
      </c>
      <c r="I35" s="39"/>
      <c r="J35" s="39"/>
      <c r="K35" s="36">
        <v>0</v>
      </c>
      <c r="L35" s="39"/>
      <c r="M35" s="39"/>
      <c r="N35" s="36">
        <f t="shared" si="0"/>
        <v>0</v>
      </c>
      <c r="O35" s="36">
        <f t="shared" si="0"/>
        <v>0</v>
      </c>
      <c r="P35" s="36">
        <f t="shared" si="0"/>
        <v>0</v>
      </c>
      <c r="Q35" s="36"/>
      <c r="R35" s="36"/>
      <c r="S35" s="36">
        <f t="shared" si="1"/>
        <v>0</v>
      </c>
      <c r="T35" s="37" t="s">
        <v>4448</v>
      </c>
      <c r="U35" s="37" t="s">
        <v>4446</v>
      </c>
      <c r="V35" s="37">
        <v>10</v>
      </c>
      <c r="W35" s="10"/>
      <c r="X35" s="10"/>
      <c r="Y35" s="10">
        <v>5</v>
      </c>
      <c r="Z35" s="10">
        <v>10</v>
      </c>
      <c r="AA35" s="34">
        <v>300</v>
      </c>
      <c r="AB35" s="10">
        <v>150</v>
      </c>
      <c r="AC35" s="10">
        <v>300</v>
      </c>
      <c r="AD35" s="10" t="s">
        <v>4449</v>
      </c>
      <c r="AE35" s="10">
        <v>0</v>
      </c>
      <c r="AF35" s="10" t="s">
        <v>102</v>
      </c>
      <c r="AG35" s="10" t="s">
        <v>102</v>
      </c>
      <c r="AH35" s="10" t="s">
        <v>102</v>
      </c>
      <c r="AI35" s="10" t="s">
        <v>102</v>
      </c>
      <c r="AJ35" s="10" t="s">
        <v>102</v>
      </c>
      <c r="AK35" s="10">
        <v>0</v>
      </c>
      <c r="AL35" s="10" t="s">
        <v>102</v>
      </c>
      <c r="AM35" s="10" t="s">
        <v>102</v>
      </c>
      <c r="AN35" s="10" t="s">
        <v>102</v>
      </c>
      <c r="AO35" s="10" t="s">
        <v>102</v>
      </c>
      <c r="AP35" s="10" t="s">
        <v>102</v>
      </c>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row>
    <row r="36" spans="1:284" s="592" customFormat="1" ht="105" x14ac:dyDescent="0.25">
      <c r="A36" s="34"/>
      <c r="B36" s="34"/>
      <c r="C36" s="34">
        <v>0</v>
      </c>
      <c r="D36" s="34">
        <v>0</v>
      </c>
      <c r="E36" s="74">
        <v>0</v>
      </c>
      <c r="F36" s="34">
        <v>0</v>
      </c>
      <c r="G36" s="34">
        <v>0</v>
      </c>
      <c r="H36" s="36">
        <v>0</v>
      </c>
      <c r="I36" s="39"/>
      <c r="J36" s="39"/>
      <c r="K36" s="36">
        <v>0</v>
      </c>
      <c r="L36" s="39"/>
      <c r="M36" s="39"/>
      <c r="N36" s="36">
        <f t="shared" si="0"/>
        <v>0</v>
      </c>
      <c r="O36" s="36">
        <f t="shared" si="0"/>
        <v>0</v>
      </c>
      <c r="P36" s="36">
        <f t="shared" si="0"/>
        <v>0</v>
      </c>
      <c r="Q36" s="36"/>
      <c r="R36" s="36"/>
      <c r="S36" s="36">
        <f t="shared" si="1"/>
        <v>0</v>
      </c>
      <c r="T36" s="37" t="s">
        <v>4450</v>
      </c>
      <c r="U36" s="37" t="s">
        <v>4446</v>
      </c>
      <c r="V36" s="37">
        <v>1</v>
      </c>
      <c r="W36" s="10"/>
      <c r="X36" s="10"/>
      <c r="Y36" s="10"/>
      <c r="Z36" s="10">
        <v>0</v>
      </c>
      <c r="AA36" s="34">
        <v>300</v>
      </c>
      <c r="AB36" s="10">
        <v>60</v>
      </c>
      <c r="AC36" s="18"/>
      <c r="AD36" s="10" t="s">
        <v>4451</v>
      </c>
      <c r="AE36" s="10">
        <v>0</v>
      </c>
      <c r="AF36" s="10" t="s">
        <v>218</v>
      </c>
      <c r="AG36" s="10" t="s">
        <v>218</v>
      </c>
      <c r="AH36" s="10" t="s">
        <v>218</v>
      </c>
      <c r="AI36" s="10" t="s">
        <v>218</v>
      </c>
      <c r="AJ36" s="10" t="s">
        <v>218</v>
      </c>
      <c r="AK36" s="10" t="s">
        <v>218</v>
      </c>
      <c r="AL36" s="10" t="s">
        <v>218</v>
      </c>
      <c r="AM36" s="10" t="s">
        <v>218</v>
      </c>
      <c r="AN36" s="10" t="s">
        <v>218</v>
      </c>
      <c r="AO36" s="10" t="s">
        <v>218</v>
      </c>
      <c r="AP36" s="10" t="s">
        <v>218</v>
      </c>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row>
    <row r="37" spans="1:284" ht="51.75" x14ac:dyDescent="0.25">
      <c r="A37" s="578" t="s">
        <v>23</v>
      </c>
      <c r="B37" s="578" t="s">
        <v>136</v>
      </c>
      <c r="C37" s="34" t="s">
        <v>2518</v>
      </c>
      <c r="D37" s="34">
        <v>211220000</v>
      </c>
      <c r="E37" s="74" t="s">
        <v>4297</v>
      </c>
      <c r="F37" s="34" t="s">
        <v>4298</v>
      </c>
      <c r="G37" s="34" t="s">
        <v>4299</v>
      </c>
      <c r="H37" s="36">
        <v>325000000</v>
      </c>
      <c r="I37" s="39">
        <v>197715000</v>
      </c>
      <c r="J37" s="39">
        <v>197715000</v>
      </c>
      <c r="K37" s="36">
        <v>0</v>
      </c>
      <c r="L37" s="39"/>
      <c r="M37" s="39"/>
      <c r="N37" s="36">
        <v>325000000</v>
      </c>
      <c r="O37" s="36">
        <v>157026959</v>
      </c>
      <c r="P37" s="36">
        <v>157026959</v>
      </c>
      <c r="Q37" s="36">
        <v>99930410</v>
      </c>
      <c r="R37" s="36">
        <v>0</v>
      </c>
      <c r="S37" s="36">
        <v>99930410</v>
      </c>
      <c r="T37" s="37">
        <v>0</v>
      </c>
      <c r="U37" s="37">
        <v>0</v>
      </c>
      <c r="V37" s="37">
        <v>0</v>
      </c>
      <c r="W37" s="10"/>
      <c r="X37" s="10"/>
      <c r="Y37" s="10"/>
      <c r="Z37" s="10"/>
      <c r="AA37" s="34">
        <v>0</v>
      </c>
      <c r="AB37" s="10"/>
      <c r="AC37" s="10"/>
      <c r="AD37" s="10"/>
      <c r="AE37" s="10">
        <v>0</v>
      </c>
      <c r="AF37" s="10">
        <v>0</v>
      </c>
      <c r="AG37" s="10">
        <v>0</v>
      </c>
      <c r="AH37" s="10">
        <v>0</v>
      </c>
      <c r="AI37" s="10">
        <v>0</v>
      </c>
      <c r="AJ37" s="10">
        <v>0</v>
      </c>
      <c r="AK37" s="10">
        <v>0</v>
      </c>
      <c r="AL37" s="10">
        <v>0</v>
      </c>
      <c r="AM37" s="10">
        <v>0</v>
      </c>
      <c r="AN37" s="10">
        <v>0</v>
      </c>
      <c r="AO37" s="10">
        <v>0</v>
      </c>
      <c r="AP37" s="10">
        <v>0</v>
      </c>
    </row>
    <row r="38" spans="1:284" ht="255" x14ac:dyDescent="0.25">
      <c r="A38" s="34"/>
      <c r="B38" s="34"/>
      <c r="C38" s="34">
        <v>0</v>
      </c>
      <c r="D38" s="34">
        <v>0</v>
      </c>
      <c r="E38" s="74">
        <v>0</v>
      </c>
      <c r="F38" s="34">
        <v>0</v>
      </c>
      <c r="G38" s="34">
        <v>0</v>
      </c>
      <c r="H38" s="36">
        <v>0</v>
      </c>
      <c r="I38" s="39"/>
      <c r="J38" s="39"/>
      <c r="K38" s="36">
        <v>0</v>
      </c>
      <c r="L38" s="39"/>
      <c r="M38" s="39"/>
      <c r="N38" s="36">
        <v>0</v>
      </c>
      <c r="O38" s="36">
        <v>0</v>
      </c>
      <c r="P38" s="36">
        <v>0</v>
      </c>
      <c r="Q38" s="36"/>
      <c r="R38" s="36"/>
      <c r="S38" s="36">
        <v>0</v>
      </c>
      <c r="T38" s="37" t="s">
        <v>4452</v>
      </c>
      <c r="U38" s="37" t="s">
        <v>1996</v>
      </c>
      <c r="V38" s="37">
        <v>1</v>
      </c>
      <c r="W38" s="10"/>
      <c r="X38" s="10"/>
      <c r="Y38" s="10">
        <v>0.2</v>
      </c>
      <c r="Z38" s="10"/>
      <c r="AA38" s="34">
        <v>360</v>
      </c>
      <c r="AB38" s="10">
        <v>180</v>
      </c>
      <c r="AC38" s="10">
        <v>360</v>
      </c>
      <c r="AD38" s="10" t="s">
        <v>4453</v>
      </c>
      <c r="AE38" s="10" t="s">
        <v>218</v>
      </c>
      <c r="AF38" s="10" t="s">
        <v>218</v>
      </c>
      <c r="AG38" s="10" t="s">
        <v>218</v>
      </c>
      <c r="AH38" s="10" t="s">
        <v>218</v>
      </c>
      <c r="AI38" s="10" t="s">
        <v>218</v>
      </c>
      <c r="AJ38" s="10" t="s">
        <v>218</v>
      </c>
      <c r="AK38" s="10" t="s">
        <v>218</v>
      </c>
      <c r="AL38" s="10" t="s">
        <v>218</v>
      </c>
      <c r="AM38" s="10" t="s">
        <v>218</v>
      </c>
      <c r="AN38" s="10" t="s">
        <v>218</v>
      </c>
      <c r="AO38" s="10" t="s">
        <v>218</v>
      </c>
      <c r="AP38" s="10" t="s">
        <v>218</v>
      </c>
    </row>
    <row r="39" spans="1:284" ht="48" x14ac:dyDescent="0.25">
      <c r="A39" s="34"/>
      <c r="B39" s="34"/>
      <c r="C39" s="34">
        <v>0</v>
      </c>
      <c r="D39" s="34">
        <v>0</v>
      </c>
      <c r="E39" s="74">
        <v>0</v>
      </c>
      <c r="F39" s="34">
        <v>0</v>
      </c>
      <c r="G39" s="34">
        <v>0</v>
      </c>
      <c r="H39" s="36">
        <v>0</v>
      </c>
      <c r="I39" s="39"/>
      <c r="J39" s="39"/>
      <c r="K39" s="36">
        <v>0</v>
      </c>
      <c r="L39" s="39"/>
      <c r="M39" s="39"/>
      <c r="N39" s="36">
        <v>0</v>
      </c>
      <c r="O39" s="36">
        <v>0</v>
      </c>
      <c r="P39" s="36">
        <v>0</v>
      </c>
      <c r="Q39" s="36"/>
      <c r="R39" s="36"/>
      <c r="S39" s="36">
        <v>0</v>
      </c>
      <c r="T39" s="37" t="s">
        <v>4454</v>
      </c>
      <c r="U39" s="37" t="s">
        <v>1996</v>
      </c>
      <c r="V39" s="37">
        <v>1</v>
      </c>
      <c r="W39" s="10"/>
      <c r="X39" s="10"/>
      <c r="Y39" s="10">
        <v>0.2</v>
      </c>
      <c r="Z39" s="10">
        <v>1</v>
      </c>
      <c r="AA39" s="34">
        <v>360</v>
      </c>
      <c r="AB39" s="10">
        <v>180</v>
      </c>
      <c r="AC39" s="10">
        <v>360</v>
      </c>
      <c r="AD39" s="10" t="s">
        <v>4455</v>
      </c>
      <c r="AE39" s="10" t="s">
        <v>218</v>
      </c>
      <c r="AF39" s="10" t="s">
        <v>218</v>
      </c>
      <c r="AG39" s="10" t="s">
        <v>218</v>
      </c>
      <c r="AH39" s="10" t="s">
        <v>218</v>
      </c>
      <c r="AI39" s="10" t="s">
        <v>218</v>
      </c>
      <c r="AJ39" s="10" t="s">
        <v>218</v>
      </c>
      <c r="AK39" s="10" t="s">
        <v>218</v>
      </c>
      <c r="AL39" s="10" t="s">
        <v>218</v>
      </c>
      <c r="AM39" s="10" t="s">
        <v>218</v>
      </c>
      <c r="AN39" s="10" t="s">
        <v>218</v>
      </c>
      <c r="AO39" s="10" t="s">
        <v>218</v>
      </c>
      <c r="AP39" s="10" t="s">
        <v>218</v>
      </c>
    </row>
    <row r="40" spans="1:284" ht="75" x14ac:dyDescent="0.25">
      <c r="A40" s="34"/>
      <c r="B40" s="34"/>
      <c r="C40" s="34">
        <v>0</v>
      </c>
      <c r="D40" s="34">
        <v>0</v>
      </c>
      <c r="E40" s="74">
        <v>0</v>
      </c>
      <c r="F40" s="34">
        <v>0</v>
      </c>
      <c r="G40" s="34">
        <v>0</v>
      </c>
      <c r="H40" s="36">
        <v>0</v>
      </c>
      <c r="I40" s="39"/>
      <c r="J40" s="39"/>
      <c r="K40" s="36">
        <v>0</v>
      </c>
      <c r="L40" s="39"/>
      <c r="M40" s="39"/>
      <c r="N40" s="36">
        <v>0</v>
      </c>
      <c r="O40" s="36">
        <v>0</v>
      </c>
      <c r="P40" s="36">
        <v>0</v>
      </c>
      <c r="Q40" s="36"/>
      <c r="R40" s="36"/>
      <c r="S40" s="36">
        <v>0</v>
      </c>
      <c r="T40" s="37" t="s">
        <v>4456</v>
      </c>
      <c r="U40" s="37" t="s">
        <v>1996</v>
      </c>
      <c r="V40" s="37">
        <v>1</v>
      </c>
      <c r="W40" s="10"/>
      <c r="X40" s="10"/>
      <c r="Y40" s="10">
        <v>0.4</v>
      </c>
      <c r="Z40" s="10">
        <v>1</v>
      </c>
      <c r="AA40" s="34">
        <v>360</v>
      </c>
      <c r="AB40" s="10">
        <v>180</v>
      </c>
      <c r="AC40" s="10">
        <v>360</v>
      </c>
      <c r="AD40" s="10" t="s">
        <v>4457</v>
      </c>
      <c r="AE40" s="10" t="s">
        <v>218</v>
      </c>
      <c r="AF40" s="10" t="s">
        <v>218</v>
      </c>
      <c r="AG40" s="10" t="s">
        <v>218</v>
      </c>
      <c r="AH40" s="10" t="s">
        <v>218</v>
      </c>
      <c r="AI40" s="10" t="s">
        <v>218</v>
      </c>
      <c r="AJ40" s="10" t="s">
        <v>218</v>
      </c>
      <c r="AK40" s="10" t="s">
        <v>218</v>
      </c>
      <c r="AL40" s="10" t="s">
        <v>218</v>
      </c>
      <c r="AM40" s="10" t="s">
        <v>218</v>
      </c>
      <c r="AN40" s="10" t="s">
        <v>218</v>
      </c>
      <c r="AO40" s="10" t="s">
        <v>218</v>
      </c>
      <c r="AP40" s="10" t="s">
        <v>218</v>
      </c>
    </row>
    <row r="41" spans="1:284" ht="150" x14ac:dyDescent="0.25">
      <c r="A41" s="34"/>
      <c r="B41" s="34"/>
      <c r="C41" s="34">
        <v>0</v>
      </c>
      <c r="D41" s="34">
        <v>0</v>
      </c>
      <c r="E41" s="74">
        <v>0</v>
      </c>
      <c r="F41" s="34">
        <v>0</v>
      </c>
      <c r="G41" s="34">
        <v>0</v>
      </c>
      <c r="H41" s="36">
        <v>0</v>
      </c>
      <c r="I41" s="39"/>
      <c r="J41" s="39"/>
      <c r="K41" s="36">
        <v>0</v>
      </c>
      <c r="L41" s="39"/>
      <c r="M41" s="39"/>
      <c r="N41" s="36">
        <v>0</v>
      </c>
      <c r="O41" s="36">
        <v>0</v>
      </c>
      <c r="P41" s="36">
        <v>0</v>
      </c>
      <c r="Q41" s="36"/>
      <c r="R41" s="36"/>
      <c r="S41" s="36">
        <v>0</v>
      </c>
      <c r="T41" s="37" t="s">
        <v>4458</v>
      </c>
      <c r="U41" s="37" t="s">
        <v>1996</v>
      </c>
      <c r="V41" s="37">
        <v>1</v>
      </c>
      <c r="W41" s="10"/>
      <c r="X41" s="10"/>
      <c r="Y41" s="10">
        <v>0</v>
      </c>
      <c r="Z41" s="10">
        <v>0</v>
      </c>
      <c r="AA41" s="34">
        <v>90</v>
      </c>
      <c r="AB41" s="10">
        <v>30</v>
      </c>
      <c r="AC41" s="10">
        <v>300</v>
      </c>
      <c r="AD41" s="10" t="s">
        <v>4459</v>
      </c>
      <c r="AE41" s="10">
        <v>0</v>
      </c>
      <c r="AF41" s="10">
        <v>0</v>
      </c>
      <c r="AG41" s="10" t="s">
        <v>218</v>
      </c>
      <c r="AH41" s="10" t="s">
        <v>218</v>
      </c>
      <c r="AI41" s="10" t="s">
        <v>218</v>
      </c>
      <c r="AJ41" s="10">
        <v>0</v>
      </c>
      <c r="AK41" s="10">
        <v>0</v>
      </c>
      <c r="AL41" s="10">
        <v>0</v>
      </c>
      <c r="AM41" s="10">
        <v>0</v>
      </c>
      <c r="AN41" s="10">
        <v>0</v>
      </c>
      <c r="AO41" s="10">
        <v>0</v>
      </c>
      <c r="AP41" s="10">
        <v>0</v>
      </c>
    </row>
    <row r="42" spans="1:284" ht="210" x14ac:dyDescent="0.25">
      <c r="A42" s="34"/>
      <c r="B42" s="34"/>
      <c r="C42" s="34">
        <v>0</v>
      </c>
      <c r="D42" s="34">
        <v>0</v>
      </c>
      <c r="E42" s="74">
        <v>0</v>
      </c>
      <c r="F42" s="34">
        <v>0</v>
      </c>
      <c r="G42" s="34">
        <v>0</v>
      </c>
      <c r="H42" s="36">
        <v>0</v>
      </c>
      <c r="I42" s="39"/>
      <c r="J42" s="39"/>
      <c r="K42" s="36">
        <v>0</v>
      </c>
      <c r="L42" s="39"/>
      <c r="M42" s="39"/>
      <c r="N42" s="36">
        <v>0</v>
      </c>
      <c r="O42" s="36">
        <v>0</v>
      </c>
      <c r="P42" s="36">
        <v>0</v>
      </c>
      <c r="Q42" s="36"/>
      <c r="R42" s="36"/>
      <c r="S42" s="36">
        <v>0</v>
      </c>
      <c r="T42" s="37" t="s">
        <v>4460</v>
      </c>
      <c r="U42" s="37" t="s">
        <v>1996</v>
      </c>
      <c r="V42" s="37">
        <v>1</v>
      </c>
      <c r="W42" s="10"/>
      <c r="X42" s="10"/>
      <c r="Y42" s="10">
        <v>0.25</v>
      </c>
      <c r="Z42" s="10">
        <v>1</v>
      </c>
      <c r="AA42" s="34">
        <v>180</v>
      </c>
      <c r="AB42" s="10">
        <v>60</v>
      </c>
      <c r="AC42" s="10">
        <v>270</v>
      </c>
      <c r="AD42" s="10" t="s">
        <v>4461</v>
      </c>
      <c r="AE42" s="10">
        <v>0</v>
      </c>
      <c r="AF42" s="10">
        <v>0</v>
      </c>
      <c r="AG42" s="10" t="s">
        <v>218</v>
      </c>
      <c r="AH42" s="10" t="s">
        <v>218</v>
      </c>
      <c r="AI42" s="10" t="s">
        <v>218</v>
      </c>
      <c r="AJ42" s="10" t="s">
        <v>218</v>
      </c>
      <c r="AK42" s="10" t="s">
        <v>218</v>
      </c>
      <c r="AL42" s="10" t="s">
        <v>218</v>
      </c>
      <c r="AM42" s="10">
        <v>0</v>
      </c>
      <c r="AN42" s="10">
        <v>0</v>
      </c>
      <c r="AO42" s="10">
        <v>0</v>
      </c>
      <c r="AP42" s="10">
        <v>0</v>
      </c>
    </row>
    <row r="43" spans="1:284" ht="165" x14ac:dyDescent="0.25">
      <c r="A43" s="34"/>
      <c r="B43" s="34"/>
      <c r="C43" s="34">
        <v>0</v>
      </c>
      <c r="D43" s="34">
        <v>0</v>
      </c>
      <c r="E43" s="74">
        <v>0</v>
      </c>
      <c r="F43" s="34">
        <v>0</v>
      </c>
      <c r="G43" s="34">
        <v>0</v>
      </c>
      <c r="H43" s="36">
        <v>0</v>
      </c>
      <c r="I43" s="39"/>
      <c r="J43" s="39"/>
      <c r="K43" s="36">
        <v>0</v>
      </c>
      <c r="L43" s="39"/>
      <c r="M43" s="39"/>
      <c r="N43" s="36">
        <v>0</v>
      </c>
      <c r="O43" s="36">
        <v>0</v>
      </c>
      <c r="P43" s="36">
        <v>0</v>
      </c>
      <c r="Q43" s="36"/>
      <c r="R43" s="36"/>
      <c r="S43" s="36">
        <v>0</v>
      </c>
      <c r="T43" s="37" t="s">
        <v>4462</v>
      </c>
      <c r="U43" s="37" t="s">
        <v>1996</v>
      </c>
      <c r="V43" s="37">
        <v>3</v>
      </c>
      <c r="W43" s="10">
        <v>9</v>
      </c>
      <c r="X43" s="10">
        <v>12</v>
      </c>
      <c r="Y43" s="10">
        <v>9</v>
      </c>
      <c r="Z43" s="10">
        <v>12</v>
      </c>
      <c r="AA43" s="34">
        <v>180</v>
      </c>
      <c r="AB43" s="10">
        <v>150</v>
      </c>
      <c r="AC43" s="10">
        <v>180</v>
      </c>
      <c r="AD43" s="10" t="s">
        <v>4463</v>
      </c>
      <c r="AE43" s="10">
        <v>0</v>
      </c>
      <c r="AF43" s="10">
        <v>0</v>
      </c>
      <c r="AG43" s="10">
        <v>0</v>
      </c>
      <c r="AH43" s="10">
        <v>0</v>
      </c>
      <c r="AI43" s="10">
        <v>0</v>
      </c>
      <c r="AJ43" s="10">
        <v>0</v>
      </c>
      <c r="AK43" s="10" t="s">
        <v>218</v>
      </c>
      <c r="AL43" s="10" t="s">
        <v>218</v>
      </c>
      <c r="AM43" s="10" t="s">
        <v>218</v>
      </c>
      <c r="AN43" s="10" t="s">
        <v>218</v>
      </c>
      <c r="AO43" s="10" t="s">
        <v>218</v>
      </c>
      <c r="AP43" s="10" t="s">
        <v>218</v>
      </c>
    </row>
    <row r="44" spans="1:284" ht="72" x14ac:dyDescent="0.25">
      <c r="A44" s="34"/>
      <c r="B44" s="34"/>
      <c r="C44" s="34">
        <v>0</v>
      </c>
      <c r="D44" s="34">
        <v>0</v>
      </c>
      <c r="E44" s="74">
        <v>0</v>
      </c>
      <c r="F44" s="34">
        <v>0</v>
      </c>
      <c r="G44" s="34">
        <v>0</v>
      </c>
      <c r="H44" s="36">
        <v>0</v>
      </c>
      <c r="I44" s="39"/>
      <c r="J44" s="39"/>
      <c r="K44" s="36">
        <v>0</v>
      </c>
      <c r="L44" s="39"/>
      <c r="M44" s="39"/>
      <c r="N44" s="36">
        <v>0</v>
      </c>
      <c r="O44" s="36">
        <v>0</v>
      </c>
      <c r="P44" s="36">
        <v>0</v>
      </c>
      <c r="Q44" s="36"/>
      <c r="R44" s="36"/>
      <c r="S44" s="36">
        <v>0</v>
      </c>
      <c r="T44" s="37" t="s">
        <v>4464</v>
      </c>
      <c r="U44" s="37" t="s">
        <v>1996</v>
      </c>
      <c r="V44" s="37">
        <v>2</v>
      </c>
      <c r="W44" s="10"/>
      <c r="X44" s="10"/>
      <c r="Y44" s="10">
        <v>1</v>
      </c>
      <c r="Z44" s="10">
        <v>2</v>
      </c>
      <c r="AA44" s="34">
        <v>30</v>
      </c>
      <c r="AB44" s="10">
        <v>15</v>
      </c>
      <c r="AC44" s="10">
        <v>30</v>
      </c>
      <c r="AD44" s="10" t="s">
        <v>4465</v>
      </c>
      <c r="AE44" s="10" t="s">
        <v>218</v>
      </c>
      <c r="AF44" s="10">
        <v>0</v>
      </c>
      <c r="AG44" s="10">
        <v>0</v>
      </c>
      <c r="AH44" s="10">
        <v>0</v>
      </c>
      <c r="AI44" s="10">
        <v>0</v>
      </c>
      <c r="AJ44" s="10">
        <v>0</v>
      </c>
      <c r="AK44" s="10" t="s">
        <v>218</v>
      </c>
      <c r="AL44" s="10">
        <v>0</v>
      </c>
      <c r="AM44" s="10">
        <v>0</v>
      </c>
      <c r="AN44" s="10">
        <v>0</v>
      </c>
      <c r="AO44" s="10">
        <v>0</v>
      </c>
      <c r="AP44" s="10">
        <v>0</v>
      </c>
    </row>
    <row r="45" spans="1:284" ht="240" x14ac:dyDescent="0.25">
      <c r="A45" s="34"/>
      <c r="B45" s="34"/>
      <c r="C45" s="34">
        <v>0</v>
      </c>
      <c r="D45" s="34">
        <v>0</v>
      </c>
      <c r="E45" s="74">
        <v>0</v>
      </c>
      <c r="F45" s="34">
        <v>0</v>
      </c>
      <c r="G45" s="34">
        <v>0</v>
      </c>
      <c r="H45" s="36">
        <v>0</v>
      </c>
      <c r="I45" s="39"/>
      <c r="J45" s="39"/>
      <c r="K45" s="36">
        <v>0</v>
      </c>
      <c r="L45" s="39"/>
      <c r="M45" s="39"/>
      <c r="N45" s="36">
        <v>0</v>
      </c>
      <c r="O45" s="36">
        <v>0</v>
      </c>
      <c r="P45" s="36">
        <v>0</v>
      </c>
      <c r="Q45" s="36"/>
      <c r="R45" s="36"/>
      <c r="S45" s="36">
        <v>0</v>
      </c>
      <c r="T45" s="37" t="s">
        <v>4466</v>
      </c>
      <c r="U45" s="37" t="s">
        <v>1996</v>
      </c>
      <c r="V45" s="37">
        <v>2</v>
      </c>
      <c r="W45" s="10"/>
      <c r="X45" s="10"/>
      <c r="Y45" s="10">
        <v>2</v>
      </c>
      <c r="Z45" s="10">
        <v>4</v>
      </c>
      <c r="AA45" s="34">
        <v>300</v>
      </c>
      <c r="AB45" s="10">
        <v>150</v>
      </c>
      <c r="AC45" s="10">
        <v>330</v>
      </c>
      <c r="AD45" s="10" t="s">
        <v>4467</v>
      </c>
      <c r="AE45" s="10">
        <v>0</v>
      </c>
      <c r="AF45" s="10" t="s">
        <v>218</v>
      </c>
      <c r="AG45" s="10" t="s">
        <v>218</v>
      </c>
      <c r="AH45" s="10" t="s">
        <v>218</v>
      </c>
      <c r="AI45" s="10" t="s">
        <v>218</v>
      </c>
      <c r="AJ45" s="10" t="s">
        <v>218</v>
      </c>
      <c r="AK45" s="10" t="s">
        <v>218</v>
      </c>
      <c r="AL45" s="10" t="s">
        <v>218</v>
      </c>
      <c r="AM45" s="10" t="s">
        <v>218</v>
      </c>
      <c r="AN45" s="10" t="s">
        <v>218</v>
      </c>
      <c r="AO45" s="10" t="s">
        <v>218</v>
      </c>
      <c r="AP45" s="10">
        <v>0</v>
      </c>
    </row>
    <row r="46" spans="1:284" ht="120" x14ac:dyDescent="0.25">
      <c r="A46" s="34"/>
      <c r="B46" s="34"/>
      <c r="C46" s="34">
        <v>0</v>
      </c>
      <c r="D46" s="34">
        <v>0</v>
      </c>
      <c r="E46" s="74">
        <v>0</v>
      </c>
      <c r="F46" s="34">
        <v>0</v>
      </c>
      <c r="G46" s="34">
        <v>0</v>
      </c>
      <c r="H46" s="36">
        <v>0</v>
      </c>
      <c r="I46" s="39"/>
      <c r="J46" s="39"/>
      <c r="K46" s="36">
        <v>0</v>
      </c>
      <c r="L46" s="39"/>
      <c r="M46" s="39"/>
      <c r="N46" s="36">
        <v>0</v>
      </c>
      <c r="O46" s="36">
        <v>0</v>
      </c>
      <c r="P46" s="36">
        <v>0</v>
      </c>
      <c r="Q46" s="36"/>
      <c r="R46" s="36"/>
      <c r="S46" s="36">
        <v>0</v>
      </c>
      <c r="T46" s="37" t="s">
        <v>4468</v>
      </c>
      <c r="U46" s="37" t="s">
        <v>1996</v>
      </c>
      <c r="V46" s="37">
        <v>1</v>
      </c>
      <c r="W46" s="10"/>
      <c r="X46" s="10"/>
      <c r="Y46" s="10">
        <v>1</v>
      </c>
      <c r="Z46" s="10">
        <v>1</v>
      </c>
      <c r="AA46" s="34">
        <v>300</v>
      </c>
      <c r="AB46" s="10">
        <v>150</v>
      </c>
      <c r="AC46" s="10">
        <v>300</v>
      </c>
      <c r="AD46" s="10" t="s">
        <v>4469</v>
      </c>
      <c r="AE46" s="10">
        <v>0</v>
      </c>
      <c r="AF46" s="10" t="s">
        <v>218</v>
      </c>
      <c r="AG46" s="10" t="s">
        <v>218</v>
      </c>
      <c r="AH46" s="10" t="s">
        <v>218</v>
      </c>
      <c r="AI46" s="10" t="s">
        <v>218</v>
      </c>
      <c r="AJ46" s="10" t="s">
        <v>218</v>
      </c>
      <c r="AK46" s="10" t="s">
        <v>218</v>
      </c>
      <c r="AL46" s="10" t="s">
        <v>218</v>
      </c>
      <c r="AM46" s="10" t="s">
        <v>218</v>
      </c>
      <c r="AN46" s="10" t="s">
        <v>218</v>
      </c>
      <c r="AO46" s="10" t="s">
        <v>218</v>
      </c>
      <c r="AP46" s="10">
        <v>0</v>
      </c>
    </row>
    <row r="47" spans="1:284" ht="409.5" x14ac:dyDescent="0.25">
      <c r="A47" s="578" t="s">
        <v>23</v>
      </c>
      <c r="B47" s="578" t="s">
        <v>136</v>
      </c>
      <c r="C47" s="34" t="s">
        <v>2518</v>
      </c>
      <c r="D47" s="34">
        <v>211220000</v>
      </c>
      <c r="E47" s="74" t="s">
        <v>4302</v>
      </c>
      <c r="F47" s="34" t="s">
        <v>4303</v>
      </c>
      <c r="G47" s="34" t="s">
        <v>4304</v>
      </c>
      <c r="H47" s="36">
        <v>100000000</v>
      </c>
      <c r="I47" s="39"/>
      <c r="J47" s="39">
        <v>0</v>
      </c>
      <c r="K47" s="36">
        <v>0</v>
      </c>
      <c r="L47" s="39"/>
      <c r="M47" s="39"/>
      <c r="N47" s="36">
        <v>100000000</v>
      </c>
      <c r="O47" s="36">
        <v>0</v>
      </c>
      <c r="P47" s="36">
        <v>0</v>
      </c>
      <c r="Q47" s="36">
        <v>0</v>
      </c>
      <c r="R47" s="36"/>
      <c r="S47" s="36">
        <v>0</v>
      </c>
      <c r="T47" s="37" t="s">
        <v>4470</v>
      </c>
      <c r="U47" s="37" t="s">
        <v>2689</v>
      </c>
      <c r="V47" s="37">
        <v>1</v>
      </c>
      <c r="W47" s="583">
        <v>1</v>
      </c>
      <c r="X47" s="18">
        <v>1</v>
      </c>
      <c r="Y47" s="18">
        <v>2</v>
      </c>
      <c r="Z47" s="18">
        <v>2</v>
      </c>
      <c r="AA47" s="38">
        <v>90</v>
      </c>
      <c r="AB47" s="18">
        <v>90</v>
      </c>
      <c r="AC47" s="18">
        <v>90</v>
      </c>
      <c r="AD47" s="18" t="s">
        <v>4471</v>
      </c>
      <c r="AE47" s="10">
        <v>0</v>
      </c>
      <c r="AF47" s="10">
        <v>0</v>
      </c>
      <c r="AG47" s="10" t="s">
        <v>218</v>
      </c>
      <c r="AH47" s="10">
        <v>0</v>
      </c>
      <c r="AI47" s="10">
        <v>0</v>
      </c>
      <c r="AJ47" s="10">
        <v>0</v>
      </c>
      <c r="AK47" s="10">
        <v>0</v>
      </c>
      <c r="AL47" s="10">
        <v>0</v>
      </c>
      <c r="AM47" s="10">
        <v>0</v>
      </c>
      <c r="AN47" s="10">
        <v>0</v>
      </c>
      <c r="AO47" s="10">
        <v>0</v>
      </c>
      <c r="AP47" s="10">
        <v>0</v>
      </c>
    </row>
    <row r="48" spans="1:284" ht="24" x14ac:dyDescent="0.25">
      <c r="A48" s="34"/>
      <c r="B48" s="34"/>
      <c r="C48" s="34">
        <v>0</v>
      </c>
      <c r="D48" s="34">
        <v>0</v>
      </c>
      <c r="E48" s="74">
        <v>0</v>
      </c>
      <c r="F48" s="34">
        <v>0</v>
      </c>
      <c r="G48" s="34">
        <v>0</v>
      </c>
      <c r="H48" s="36">
        <v>0</v>
      </c>
      <c r="I48" s="39"/>
      <c r="J48" s="39"/>
      <c r="K48" s="36">
        <v>0</v>
      </c>
      <c r="L48" s="39"/>
      <c r="M48" s="39"/>
      <c r="N48" s="36">
        <v>0</v>
      </c>
      <c r="O48" s="36">
        <v>0</v>
      </c>
      <c r="P48" s="36">
        <v>0</v>
      </c>
      <c r="Q48" s="36"/>
      <c r="R48" s="36"/>
      <c r="S48" s="36">
        <v>0</v>
      </c>
      <c r="T48" s="37" t="s">
        <v>4472</v>
      </c>
      <c r="U48" s="37" t="s">
        <v>2689</v>
      </c>
      <c r="V48" s="37">
        <v>1</v>
      </c>
      <c r="W48" s="583">
        <v>1</v>
      </c>
      <c r="X48" s="18"/>
      <c r="Y48" s="18"/>
      <c r="Z48" s="18"/>
      <c r="AA48" s="38">
        <v>180</v>
      </c>
      <c r="AB48" s="18">
        <v>180</v>
      </c>
      <c r="AC48" s="10"/>
      <c r="AD48" s="10"/>
      <c r="AE48" s="10">
        <v>0</v>
      </c>
      <c r="AF48" s="10">
        <v>0</v>
      </c>
      <c r="AG48" s="10">
        <v>0</v>
      </c>
      <c r="AH48" s="10">
        <v>0</v>
      </c>
      <c r="AI48" s="10">
        <v>0</v>
      </c>
      <c r="AJ48" s="10" t="s">
        <v>218</v>
      </c>
      <c r="AK48" s="10">
        <v>0</v>
      </c>
      <c r="AL48" s="10">
        <v>0</v>
      </c>
      <c r="AM48" s="10">
        <v>0</v>
      </c>
      <c r="AN48" s="10">
        <v>0</v>
      </c>
      <c r="AO48" s="10">
        <v>0</v>
      </c>
      <c r="AP48" s="10">
        <v>0</v>
      </c>
    </row>
    <row r="49" spans="1:42" ht="60" x14ac:dyDescent="0.25">
      <c r="A49" s="578" t="s">
        <v>23</v>
      </c>
      <c r="B49" s="578" t="s">
        <v>136</v>
      </c>
      <c r="C49" s="34" t="s">
        <v>2518</v>
      </c>
      <c r="D49" s="34">
        <v>211220000</v>
      </c>
      <c r="E49" s="74" t="s">
        <v>4307</v>
      </c>
      <c r="F49" s="34" t="s">
        <v>4308</v>
      </c>
      <c r="G49" s="34" t="s">
        <v>4309</v>
      </c>
      <c r="H49" s="36">
        <v>4506892000</v>
      </c>
      <c r="I49" s="39">
        <v>5400943295</v>
      </c>
      <c r="J49" s="39"/>
      <c r="K49" s="36">
        <v>0</v>
      </c>
      <c r="L49" s="39"/>
      <c r="M49" s="39"/>
      <c r="N49" s="36">
        <f t="shared" si="0"/>
        <v>4506892000</v>
      </c>
      <c r="O49" s="36">
        <f t="shared" si="0"/>
        <v>5400943295</v>
      </c>
      <c r="P49" s="36">
        <f t="shared" si="0"/>
        <v>0</v>
      </c>
      <c r="Q49" s="36">
        <v>3637026480</v>
      </c>
      <c r="R49" s="36"/>
      <c r="S49" s="36">
        <f t="shared" si="1"/>
        <v>3637026480</v>
      </c>
      <c r="T49" s="37">
        <v>0</v>
      </c>
      <c r="U49" s="37">
        <v>0</v>
      </c>
      <c r="V49" s="37">
        <v>0</v>
      </c>
      <c r="W49" s="10"/>
      <c r="X49" s="10"/>
      <c r="Y49" s="10"/>
      <c r="Z49" s="10"/>
      <c r="AA49" s="34">
        <v>0</v>
      </c>
      <c r="AB49" s="10"/>
      <c r="AC49" s="10"/>
      <c r="AD49" s="10"/>
      <c r="AE49" s="10">
        <v>0</v>
      </c>
      <c r="AF49" s="10">
        <v>0</v>
      </c>
      <c r="AG49" s="10">
        <v>0</v>
      </c>
      <c r="AH49" s="10">
        <v>0</v>
      </c>
      <c r="AI49" s="10">
        <v>0</v>
      </c>
      <c r="AJ49" s="10">
        <v>0</v>
      </c>
      <c r="AK49" s="10">
        <v>0</v>
      </c>
      <c r="AL49" s="10">
        <v>0</v>
      </c>
      <c r="AM49" s="10">
        <v>0</v>
      </c>
      <c r="AN49" s="10">
        <v>0</v>
      </c>
      <c r="AO49" s="10">
        <v>0</v>
      </c>
      <c r="AP49" s="10">
        <v>0</v>
      </c>
    </row>
    <row r="50" spans="1:42" ht="61.5" customHeight="1" x14ac:dyDescent="0.25">
      <c r="A50" s="34"/>
      <c r="B50" s="34"/>
      <c r="C50" s="34">
        <v>0</v>
      </c>
      <c r="D50" s="34">
        <v>0</v>
      </c>
      <c r="E50" s="74">
        <v>0</v>
      </c>
      <c r="F50" s="34">
        <v>0</v>
      </c>
      <c r="G50" s="34">
        <v>0</v>
      </c>
      <c r="H50" s="36"/>
      <c r="I50" s="39"/>
      <c r="J50" s="39"/>
      <c r="K50" s="36"/>
      <c r="L50" s="39"/>
      <c r="M50" s="39"/>
      <c r="N50" s="36"/>
      <c r="O50" s="36">
        <f t="shared" si="0"/>
        <v>0</v>
      </c>
      <c r="P50" s="36">
        <f t="shared" si="0"/>
        <v>0</v>
      </c>
      <c r="Q50" s="36"/>
      <c r="R50" s="36"/>
      <c r="S50" s="36">
        <f t="shared" si="1"/>
        <v>0</v>
      </c>
      <c r="T50" s="37" t="s">
        <v>4473</v>
      </c>
      <c r="U50" s="37" t="s">
        <v>4436</v>
      </c>
      <c r="V50" s="37">
        <v>12</v>
      </c>
      <c r="W50" s="10"/>
      <c r="X50" s="10"/>
      <c r="Y50" s="10">
        <v>6</v>
      </c>
      <c r="Z50" s="10">
        <v>12</v>
      </c>
      <c r="AA50" s="34">
        <v>360</v>
      </c>
      <c r="AB50" s="10">
        <v>180</v>
      </c>
      <c r="AC50" s="10">
        <v>360</v>
      </c>
      <c r="AD50" s="10"/>
      <c r="AE50" s="10" t="s">
        <v>218</v>
      </c>
      <c r="AF50" s="10" t="s">
        <v>218</v>
      </c>
      <c r="AG50" s="10" t="s">
        <v>218</v>
      </c>
      <c r="AH50" s="10" t="s">
        <v>218</v>
      </c>
      <c r="AI50" s="10" t="s">
        <v>218</v>
      </c>
      <c r="AJ50" s="10" t="s">
        <v>218</v>
      </c>
      <c r="AK50" s="10" t="s">
        <v>218</v>
      </c>
      <c r="AL50" s="10" t="s">
        <v>218</v>
      </c>
      <c r="AM50" s="10" t="s">
        <v>218</v>
      </c>
      <c r="AN50" s="10" t="s">
        <v>218</v>
      </c>
      <c r="AO50" s="10" t="s">
        <v>218</v>
      </c>
      <c r="AP50" s="10" t="s">
        <v>218</v>
      </c>
    </row>
    <row r="51" spans="1:42" ht="162" customHeight="1" x14ac:dyDescent="0.25">
      <c r="A51" s="34"/>
      <c r="B51" s="34"/>
      <c r="C51" s="34">
        <v>0</v>
      </c>
      <c r="D51" s="34">
        <v>0</v>
      </c>
      <c r="E51" s="74">
        <v>0</v>
      </c>
      <c r="F51" s="34">
        <v>0</v>
      </c>
      <c r="G51" s="34">
        <v>0</v>
      </c>
      <c r="H51" s="36"/>
      <c r="I51" s="39"/>
      <c r="J51" s="39"/>
      <c r="K51" s="36"/>
      <c r="L51" s="39"/>
      <c r="M51" s="39"/>
      <c r="N51" s="36"/>
      <c r="O51" s="36">
        <f t="shared" si="0"/>
        <v>0</v>
      </c>
      <c r="P51" s="36">
        <f t="shared" si="0"/>
        <v>0</v>
      </c>
      <c r="Q51" s="36"/>
      <c r="R51" s="36"/>
      <c r="S51" s="36">
        <f t="shared" si="1"/>
        <v>0</v>
      </c>
      <c r="T51" s="37" t="s">
        <v>4474</v>
      </c>
      <c r="U51" s="37" t="s">
        <v>4436</v>
      </c>
      <c r="V51" s="37">
        <v>12</v>
      </c>
      <c r="W51" s="10"/>
      <c r="X51" s="10"/>
      <c r="Y51" s="10">
        <v>6</v>
      </c>
      <c r="Z51" s="10">
        <v>12</v>
      </c>
      <c r="AA51" s="34">
        <v>360</v>
      </c>
      <c r="AB51" s="10">
        <v>180</v>
      </c>
      <c r="AC51" s="10">
        <v>360</v>
      </c>
      <c r="AD51" s="10"/>
      <c r="AE51" s="10" t="s">
        <v>218</v>
      </c>
      <c r="AF51" s="10" t="s">
        <v>218</v>
      </c>
      <c r="AG51" s="10" t="s">
        <v>218</v>
      </c>
      <c r="AH51" s="10" t="s">
        <v>218</v>
      </c>
      <c r="AI51" s="10" t="s">
        <v>218</v>
      </c>
      <c r="AJ51" s="10" t="s">
        <v>218</v>
      </c>
      <c r="AK51" s="10" t="s">
        <v>218</v>
      </c>
      <c r="AL51" s="10" t="s">
        <v>218</v>
      </c>
      <c r="AM51" s="10" t="s">
        <v>218</v>
      </c>
      <c r="AN51" s="10" t="s">
        <v>218</v>
      </c>
      <c r="AO51" s="10" t="s">
        <v>218</v>
      </c>
      <c r="AP51" s="10" t="s">
        <v>218</v>
      </c>
    </row>
    <row r="52" spans="1:42" ht="144" x14ac:dyDescent="0.25">
      <c r="A52" s="34"/>
      <c r="B52" s="34"/>
      <c r="C52" s="34">
        <v>0</v>
      </c>
      <c r="D52" s="34">
        <v>0</v>
      </c>
      <c r="E52" s="74">
        <v>0</v>
      </c>
      <c r="F52" s="34">
        <v>0</v>
      </c>
      <c r="G52" s="34">
        <v>0</v>
      </c>
      <c r="H52" s="36"/>
      <c r="I52" s="39"/>
      <c r="J52" s="39"/>
      <c r="K52" s="36"/>
      <c r="L52" s="39"/>
      <c r="M52" s="39"/>
      <c r="N52" s="36"/>
      <c r="O52" s="36">
        <f t="shared" si="0"/>
        <v>0</v>
      </c>
      <c r="P52" s="36">
        <f t="shared" si="0"/>
        <v>0</v>
      </c>
      <c r="Q52" s="36"/>
      <c r="R52" s="36"/>
      <c r="S52" s="36">
        <f t="shared" si="1"/>
        <v>0</v>
      </c>
      <c r="T52" s="37" t="s">
        <v>4475</v>
      </c>
      <c r="U52" s="37" t="s">
        <v>4436</v>
      </c>
      <c r="V52" s="37">
        <v>2</v>
      </c>
      <c r="W52" s="10"/>
      <c r="X52" s="10"/>
      <c r="Y52" s="10">
        <v>2</v>
      </c>
      <c r="Z52" s="10">
        <v>0</v>
      </c>
      <c r="AA52" s="34">
        <v>60</v>
      </c>
      <c r="AB52" s="10">
        <v>60</v>
      </c>
      <c r="AC52" s="10">
        <v>0</v>
      </c>
      <c r="AD52" s="10" t="s">
        <v>4476</v>
      </c>
      <c r="AE52" s="10">
        <v>0</v>
      </c>
      <c r="AF52" s="10">
        <v>0</v>
      </c>
      <c r="AG52" s="10">
        <v>0</v>
      </c>
      <c r="AH52" s="10">
        <v>0</v>
      </c>
      <c r="AI52" s="10">
        <v>0</v>
      </c>
      <c r="AJ52" s="10">
        <v>0</v>
      </c>
      <c r="AK52" s="10">
        <v>0</v>
      </c>
      <c r="AL52" s="10" t="s">
        <v>218</v>
      </c>
      <c r="AM52" s="10" t="s">
        <v>218</v>
      </c>
      <c r="AN52" s="10">
        <v>0</v>
      </c>
      <c r="AO52" s="10">
        <v>0</v>
      </c>
      <c r="AP52" s="10">
        <v>0</v>
      </c>
    </row>
    <row r="53" spans="1:42" ht="108" x14ac:dyDescent="0.25">
      <c r="A53" s="34"/>
      <c r="B53" s="34"/>
      <c r="C53" s="34">
        <v>0</v>
      </c>
      <c r="D53" s="34">
        <v>0</v>
      </c>
      <c r="E53" s="74">
        <v>0</v>
      </c>
      <c r="F53" s="34">
        <v>0</v>
      </c>
      <c r="G53" s="34">
        <v>0</v>
      </c>
      <c r="H53" s="36"/>
      <c r="I53" s="39"/>
      <c r="J53" s="39"/>
      <c r="K53" s="36"/>
      <c r="L53" s="39"/>
      <c r="M53" s="39"/>
      <c r="N53" s="36"/>
      <c r="O53" s="36">
        <f t="shared" si="0"/>
        <v>0</v>
      </c>
      <c r="P53" s="36">
        <f t="shared" si="0"/>
        <v>0</v>
      </c>
      <c r="Q53" s="36"/>
      <c r="R53" s="36"/>
      <c r="S53" s="36">
        <f t="shared" si="1"/>
        <v>0</v>
      </c>
      <c r="T53" s="37" t="s">
        <v>4477</v>
      </c>
      <c r="U53" s="37" t="s">
        <v>4436</v>
      </c>
      <c r="V53" s="37">
        <v>7</v>
      </c>
      <c r="W53" s="10"/>
      <c r="X53" s="10"/>
      <c r="Y53" s="10">
        <v>6</v>
      </c>
      <c r="Z53" s="10">
        <v>0</v>
      </c>
      <c r="AA53" s="34">
        <v>210</v>
      </c>
      <c r="AB53" s="10">
        <v>180</v>
      </c>
      <c r="AC53" s="10"/>
      <c r="AD53" s="10" t="s">
        <v>4476</v>
      </c>
      <c r="AE53" s="10">
        <v>0</v>
      </c>
      <c r="AF53" s="10" t="s">
        <v>218</v>
      </c>
      <c r="AG53" s="10" t="s">
        <v>218</v>
      </c>
      <c r="AH53" s="10" t="s">
        <v>218</v>
      </c>
      <c r="AI53" s="10" t="s">
        <v>218</v>
      </c>
      <c r="AJ53" s="10" t="s">
        <v>218</v>
      </c>
      <c r="AK53" s="10" t="s">
        <v>218</v>
      </c>
      <c r="AL53" s="10" t="s">
        <v>218</v>
      </c>
      <c r="AM53" s="10">
        <v>0</v>
      </c>
      <c r="AN53" s="10">
        <v>0</v>
      </c>
      <c r="AO53" s="10">
        <v>0</v>
      </c>
      <c r="AP53" s="10">
        <v>0</v>
      </c>
    </row>
    <row r="54" spans="1:42" ht="84" x14ac:dyDescent="0.25">
      <c r="A54" s="578" t="s">
        <v>23</v>
      </c>
      <c r="B54" s="578" t="s">
        <v>142</v>
      </c>
      <c r="C54" s="34" t="s">
        <v>150</v>
      </c>
      <c r="D54" s="34">
        <v>212370000</v>
      </c>
      <c r="E54" s="74" t="s">
        <v>4313</v>
      </c>
      <c r="F54" s="34" t="s">
        <v>4314</v>
      </c>
      <c r="G54" s="34" t="s">
        <v>4315</v>
      </c>
      <c r="H54" s="36">
        <v>1100000000</v>
      </c>
      <c r="I54" s="39"/>
      <c r="J54" s="39">
        <v>609752416</v>
      </c>
      <c r="K54" s="36">
        <v>0</v>
      </c>
      <c r="L54" s="39"/>
      <c r="M54" s="39"/>
      <c r="N54" s="36">
        <f t="shared" si="0"/>
        <v>1100000000</v>
      </c>
      <c r="O54" s="36">
        <f t="shared" si="0"/>
        <v>0</v>
      </c>
      <c r="P54" s="36">
        <f t="shared" si="0"/>
        <v>609752416</v>
      </c>
      <c r="Q54" s="144">
        <v>609752416</v>
      </c>
      <c r="R54" s="36"/>
      <c r="S54" s="36">
        <f t="shared" si="1"/>
        <v>609752416</v>
      </c>
      <c r="T54" s="37">
        <v>0</v>
      </c>
      <c r="U54" s="37">
        <v>0</v>
      </c>
      <c r="V54" s="37">
        <v>0</v>
      </c>
      <c r="W54" s="10"/>
      <c r="X54" s="10"/>
      <c r="Y54" s="10"/>
      <c r="Z54" s="10"/>
      <c r="AA54" s="34">
        <v>0</v>
      </c>
      <c r="AB54" s="10"/>
      <c r="AC54" s="10"/>
      <c r="AD54" s="10"/>
      <c r="AE54" s="10">
        <v>0</v>
      </c>
      <c r="AF54" s="10">
        <v>0</v>
      </c>
      <c r="AG54" s="10">
        <v>0</v>
      </c>
      <c r="AH54" s="10">
        <v>0</v>
      </c>
      <c r="AI54" s="10">
        <v>0</v>
      </c>
      <c r="AJ54" s="10">
        <v>0</v>
      </c>
      <c r="AK54" s="10">
        <v>0</v>
      </c>
      <c r="AL54" s="10">
        <v>0</v>
      </c>
      <c r="AM54" s="10">
        <v>0</v>
      </c>
      <c r="AN54" s="10">
        <v>0</v>
      </c>
      <c r="AO54" s="10">
        <v>0</v>
      </c>
      <c r="AP54" s="10">
        <v>0</v>
      </c>
    </row>
    <row r="55" spans="1:42" ht="48" x14ac:dyDescent="0.25">
      <c r="A55" s="34"/>
      <c r="B55" s="34"/>
      <c r="C55" s="34">
        <v>0</v>
      </c>
      <c r="D55" s="34">
        <v>0</v>
      </c>
      <c r="E55" s="74">
        <v>0</v>
      </c>
      <c r="F55" s="34">
        <v>0</v>
      </c>
      <c r="G55" s="34">
        <v>0</v>
      </c>
      <c r="H55" s="36">
        <v>0</v>
      </c>
      <c r="I55" s="39"/>
      <c r="J55" s="39"/>
      <c r="K55" s="36">
        <v>0</v>
      </c>
      <c r="L55" s="39"/>
      <c r="M55" s="39"/>
      <c r="N55" s="36">
        <f t="shared" si="0"/>
        <v>0</v>
      </c>
      <c r="O55" s="36">
        <f t="shared" si="0"/>
        <v>0</v>
      </c>
      <c r="P55" s="36">
        <f t="shared" si="0"/>
        <v>0</v>
      </c>
      <c r="Q55" s="36"/>
      <c r="R55" s="36"/>
      <c r="S55" s="36">
        <f t="shared" si="1"/>
        <v>0</v>
      </c>
      <c r="T55" s="37" t="s">
        <v>4478</v>
      </c>
      <c r="U55" s="37" t="s">
        <v>4479</v>
      </c>
      <c r="V55" s="37">
        <v>115</v>
      </c>
      <c r="W55" s="10"/>
      <c r="X55" s="10"/>
      <c r="Y55" s="10">
        <v>115</v>
      </c>
      <c r="Z55" s="10">
        <v>115</v>
      </c>
      <c r="AA55" s="34">
        <v>28</v>
      </c>
      <c r="AB55" s="10">
        <v>28</v>
      </c>
      <c r="AC55" s="10"/>
      <c r="AD55" s="10"/>
      <c r="AE55" s="10" t="s">
        <v>218</v>
      </c>
      <c r="AF55" s="10">
        <v>0</v>
      </c>
      <c r="AG55" s="10">
        <v>0</v>
      </c>
      <c r="AH55" s="10">
        <v>0</v>
      </c>
      <c r="AI55" s="10">
        <v>0</v>
      </c>
      <c r="AJ55" s="10">
        <v>0</v>
      </c>
      <c r="AK55" s="10">
        <v>0</v>
      </c>
      <c r="AL55" s="10">
        <v>0</v>
      </c>
      <c r="AM55" s="10">
        <v>0</v>
      </c>
      <c r="AN55" s="10">
        <v>0</v>
      </c>
      <c r="AO55" s="10">
        <v>0</v>
      </c>
      <c r="AP55" s="10">
        <v>0</v>
      </c>
    </row>
    <row r="56" spans="1:42" ht="120" x14ac:dyDescent="0.25">
      <c r="A56" s="34"/>
      <c r="B56" s="34"/>
      <c r="C56" s="34">
        <v>0</v>
      </c>
      <c r="D56" s="34">
        <v>0</v>
      </c>
      <c r="E56" s="74">
        <v>0</v>
      </c>
      <c r="F56" s="34">
        <v>0</v>
      </c>
      <c r="G56" s="34">
        <v>0</v>
      </c>
      <c r="H56" s="36">
        <v>0</v>
      </c>
      <c r="I56" s="39"/>
      <c r="J56" s="39"/>
      <c r="K56" s="36">
        <v>0</v>
      </c>
      <c r="L56" s="39"/>
      <c r="M56" s="39"/>
      <c r="N56" s="36">
        <f t="shared" si="0"/>
        <v>0</v>
      </c>
      <c r="O56" s="36">
        <f t="shared" si="0"/>
        <v>0</v>
      </c>
      <c r="P56" s="36">
        <f t="shared" si="0"/>
        <v>0</v>
      </c>
      <c r="Q56" s="36"/>
      <c r="R56" s="36"/>
      <c r="S56" s="36">
        <f t="shared" si="1"/>
        <v>0</v>
      </c>
      <c r="T56" s="37" t="s">
        <v>4480</v>
      </c>
      <c r="U56" s="37" t="s">
        <v>4481</v>
      </c>
      <c r="V56" s="37">
        <v>124</v>
      </c>
      <c r="W56" s="10">
        <v>115</v>
      </c>
      <c r="X56" s="10"/>
      <c r="Y56" s="10">
        <v>115</v>
      </c>
      <c r="Z56" s="10">
        <v>115</v>
      </c>
      <c r="AA56" s="34">
        <v>75</v>
      </c>
      <c r="AB56" s="10">
        <v>75</v>
      </c>
      <c r="AC56" s="10">
        <v>75</v>
      </c>
      <c r="AD56" s="10" t="s">
        <v>4482</v>
      </c>
      <c r="AE56" s="10" t="s">
        <v>102</v>
      </c>
      <c r="AF56" s="10" t="s">
        <v>102</v>
      </c>
      <c r="AG56" s="10" t="s">
        <v>102</v>
      </c>
      <c r="AH56" s="10">
        <v>0</v>
      </c>
      <c r="AI56" s="10">
        <v>0</v>
      </c>
      <c r="AJ56" s="10">
        <v>0</v>
      </c>
      <c r="AK56" s="10">
        <v>0</v>
      </c>
      <c r="AL56" s="10">
        <v>0</v>
      </c>
      <c r="AM56" s="10">
        <v>0</v>
      </c>
      <c r="AN56" s="10">
        <v>0</v>
      </c>
      <c r="AO56" s="10">
        <v>0</v>
      </c>
      <c r="AP56" s="10">
        <v>0</v>
      </c>
    </row>
    <row r="57" spans="1:42" ht="75" x14ac:dyDescent="0.25">
      <c r="A57" s="34"/>
      <c r="B57" s="34"/>
      <c r="C57" s="34">
        <v>0</v>
      </c>
      <c r="D57" s="34">
        <v>0</v>
      </c>
      <c r="E57" s="74">
        <v>0</v>
      </c>
      <c r="F57" s="34">
        <v>0</v>
      </c>
      <c r="G57" s="34">
        <v>0</v>
      </c>
      <c r="H57" s="36">
        <v>0</v>
      </c>
      <c r="I57" s="39"/>
      <c r="J57" s="39"/>
      <c r="K57" s="36">
        <v>0</v>
      </c>
      <c r="L57" s="39"/>
      <c r="M57" s="39"/>
      <c r="N57" s="36">
        <f t="shared" si="0"/>
        <v>0</v>
      </c>
      <c r="O57" s="36">
        <f t="shared" si="0"/>
        <v>0</v>
      </c>
      <c r="P57" s="36">
        <f t="shared" si="0"/>
        <v>0</v>
      </c>
      <c r="Q57" s="36"/>
      <c r="R57" s="36"/>
      <c r="S57" s="36">
        <f t="shared" si="1"/>
        <v>0</v>
      </c>
      <c r="T57" s="37" t="s">
        <v>4483</v>
      </c>
      <c r="U57" s="37" t="s">
        <v>4484</v>
      </c>
      <c r="V57" s="37">
        <v>3</v>
      </c>
      <c r="W57" s="10">
        <v>1</v>
      </c>
      <c r="X57" s="10"/>
      <c r="Y57" s="10">
        <v>1</v>
      </c>
      <c r="Z57" s="10">
        <v>1</v>
      </c>
      <c r="AA57" s="34">
        <v>3</v>
      </c>
      <c r="AB57" s="10">
        <v>1</v>
      </c>
      <c r="AC57" s="10">
        <v>1</v>
      </c>
      <c r="AD57" s="10" t="s">
        <v>4485</v>
      </c>
      <c r="AE57" s="10" t="s">
        <v>218</v>
      </c>
      <c r="AF57" s="10">
        <v>0</v>
      </c>
      <c r="AG57" s="10">
        <v>0</v>
      </c>
      <c r="AH57" s="10">
        <v>0</v>
      </c>
      <c r="AI57" s="10">
        <v>0</v>
      </c>
      <c r="AJ57" s="10" t="s">
        <v>102</v>
      </c>
      <c r="AK57" s="10">
        <v>0</v>
      </c>
      <c r="AL57" s="10">
        <v>0</v>
      </c>
      <c r="AM57" s="10">
        <v>0</v>
      </c>
      <c r="AN57" s="10">
        <v>0</v>
      </c>
      <c r="AO57" s="10">
        <v>0</v>
      </c>
      <c r="AP57" s="10" t="s">
        <v>102</v>
      </c>
    </row>
    <row r="58" spans="1:42" ht="120" x14ac:dyDescent="0.25">
      <c r="A58" s="34"/>
      <c r="B58" s="34"/>
      <c r="C58" s="34">
        <v>0</v>
      </c>
      <c r="D58" s="34">
        <v>0</v>
      </c>
      <c r="E58" s="74">
        <v>0</v>
      </c>
      <c r="F58" s="34">
        <v>0</v>
      </c>
      <c r="G58" s="34">
        <v>0</v>
      </c>
      <c r="H58" s="36">
        <v>0</v>
      </c>
      <c r="I58" s="39"/>
      <c r="J58" s="39"/>
      <c r="K58" s="36">
        <v>0</v>
      </c>
      <c r="L58" s="39"/>
      <c r="M58" s="39"/>
      <c r="N58" s="36">
        <f t="shared" si="0"/>
        <v>0</v>
      </c>
      <c r="O58" s="36">
        <f t="shared" si="0"/>
        <v>0</v>
      </c>
      <c r="P58" s="36">
        <f t="shared" si="0"/>
        <v>0</v>
      </c>
      <c r="Q58" s="36"/>
      <c r="R58" s="36"/>
      <c r="S58" s="36">
        <f t="shared" si="1"/>
        <v>0</v>
      </c>
      <c r="T58" s="37" t="s">
        <v>4486</v>
      </c>
      <c r="U58" s="37" t="s">
        <v>4487</v>
      </c>
      <c r="V58" s="37">
        <v>5</v>
      </c>
      <c r="W58" s="10">
        <v>3</v>
      </c>
      <c r="X58" s="10"/>
      <c r="Y58" s="10">
        <v>3</v>
      </c>
      <c r="Z58" s="10">
        <v>5</v>
      </c>
      <c r="AA58" s="34">
        <v>150</v>
      </c>
      <c r="AB58" s="10">
        <v>90</v>
      </c>
      <c r="AC58" s="10">
        <v>150</v>
      </c>
      <c r="AD58" s="10" t="s">
        <v>4488</v>
      </c>
      <c r="AE58" s="10">
        <v>0</v>
      </c>
      <c r="AF58" s="10">
        <v>0</v>
      </c>
      <c r="AG58" s="10">
        <v>0</v>
      </c>
      <c r="AH58" s="10">
        <v>0</v>
      </c>
      <c r="AI58" s="10" t="s">
        <v>102</v>
      </c>
      <c r="AJ58" s="10">
        <v>0</v>
      </c>
      <c r="AK58" s="10" t="s">
        <v>102</v>
      </c>
      <c r="AL58" s="10">
        <v>0</v>
      </c>
      <c r="AM58" s="10" t="s">
        <v>102</v>
      </c>
      <c r="AN58" s="10">
        <v>0</v>
      </c>
      <c r="AO58" s="10" t="s">
        <v>102</v>
      </c>
      <c r="AP58" s="10" t="s">
        <v>102</v>
      </c>
    </row>
    <row r="59" spans="1:42" ht="48" x14ac:dyDescent="0.25">
      <c r="A59" s="34"/>
      <c r="B59" s="34"/>
      <c r="C59" s="34">
        <v>0</v>
      </c>
      <c r="D59" s="34">
        <v>0</v>
      </c>
      <c r="E59" s="74">
        <v>0</v>
      </c>
      <c r="F59" s="34">
        <v>0</v>
      </c>
      <c r="G59" s="34">
        <v>0</v>
      </c>
      <c r="H59" s="36">
        <v>0</v>
      </c>
      <c r="I59" s="39"/>
      <c r="J59" s="39"/>
      <c r="K59" s="36">
        <v>0</v>
      </c>
      <c r="L59" s="39"/>
      <c r="M59" s="39"/>
      <c r="N59" s="36">
        <f t="shared" si="0"/>
        <v>0</v>
      </c>
      <c r="O59" s="36">
        <f t="shared" si="0"/>
        <v>0</v>
      </c>
      <c r="P59" s="36">
        <f t="shared" si="0"/>
        <v>0</v>
      </c>
      <c r="Q59" s="36"/>
      <c r="R59" s="36"/>
      <c r="S59" s="36">
        <f t="shared" si="1"/>
        <v>0</v>
      </c>
      <c r="T59" s="37" t="s">
        <v>4489</v>
      </c>
      <c r="U59" s="37" t="s">
        <v>4490</v>
      </c>
      <c r="V59" s="37">
        <v>9</v>
      </c>
      <c r="W59" s="10"/>
      <c r="X59" s="10"/>
      <c r="Y59" s="10">
        <v>9</v>
      </c>
      <c r="Z59" s="10">
        <v>9</v>
      </c>
      <c r="AA59" s="34">
        <v>60</v>
      </c>
      <c r="AB59" s="10">
        <v>60</v>
      </c>
      <c r="AC59" s="10">
        <v>60</v>
      </c>
      <c r="AD59" s="10"/>
      <c r="AE59" s="10">
        <v>0</v>
      </c>
      <c r="AF59" s="10" t="s">
        <v>102</v>
      </c>
      <c r="AG59" s="10" t="s">
        <v>102</v>
      </c>
      <c r="AH59" s="10">
        <v>0</v>
      </c>
      <c r="AI59" s="10">
        <v>0</v>
      </c>
      <c r="AJ59" s="10">
        <v>0</v>
      </c>
      <c r="AK59" s="10">
        <v>0</v>
      </c>
      <c r="AL59" s="10">
        <v>0</v>
      </c>
      <c r="AM59" s="10">
        <v>0</v>
      </c>
      <c r="AN59" s="10">
        <v>0</v>
      </c>
      <c r="AO59" s="10">
        <v>0</v>
      </c>
      <c r="AP59" s="10">
        <v>0</v>
      </c>
    </row>
    <row r="60" spans="1:42" ht="60" x14ac:dyDescent="0.25">
      <c r="A60" s="34"/>
      <c r="B60" s="34"/>
      <c r="C60" s="34">
        <v>0</v>
      </c>
      <c r="D60" s="34">
        <v>0</v>
      </c>
      <c r="E60" s="74">
        <v>0</v>
      </c>
      <c r="F60" s="34">
        <v>0</v>
      </c>
      <c r="G60" s="34">
        <v>0</v>
      </c>
      <c r="H60" s="36">
        <v>0</v>
      </c>
      <c r="I60" s="39"/>
      <c r="J60" s="39"/>
      <c r="K60" s="36">
        <v>0</v>
      </c>
      <c r="L60" s="39"/>
      <c r="M60" s="39"/>
      <c r="N60" s="36">
        <f t="shared" si="0"/>
        <v>0</v>
      </c>
      <c r="O60" s="36">
        <f t="shared" si="0"/>
        <v>0</v>
      </c>
      <c r="P60" s="36">
        <f t="shared" si="0"/>
        <v>0</v>
      </c>
      <c r="Q60" s="36"/>
      <c r="R60" s="36"/>
      <c r="S60" s="36">
        <f t="shared" si="1"/>
        <v>0</v>
      </c>
      <c r="T60" s="37" t="s">
        <v>4491</v>
      </c>
      <c r="U60" s="37" t="s">
        <v>4492</v>
      </c>
      <c r="V60" s="37">
        <v>80</v>
      </c>
      <c r="W60" s="10"/>
      <c r="X60" s="10"/>
      <c r="Y60" s="10">
        <v>50</v>
      </c>
      <c r="Z60" s="10">
        <v>109</v>
      </c>
      <c r="AA60" s="34">
        <v>144</v>
      </c>
      <c r="AB60" s="10">
        <v>100</v>
      </c>
      <c r="AC60" s="10">
        <v>144</v>
      </c>
      <c r="AD60" s="10"/>
      <c r="AE60" s="10" t="s">
        <v>218</v>
      </c>
      <c r="AF60" s="10" t="s">
        <v>218</v>
      </c>
      <c r="AG60" s="10" t="s">
        <v>102</v>
      </c>
      <c r="AH60" s="10" t="s">
        <v>102</v>
      </c>
      <c r="AI60" s="10" t="s">
        <v>102</v>
      </c>
      <c r="AJ60" s="10" t="s">
        <v>102</v>
      </c>
      <c r="AK60" s="10" t="s">
        <v>102</v>
      </c>
      <c r="AL60" s="10" t="s">
        <v>102</v>
      </c>
      <c r="AM60" s="10" t="s">
        <v>102</v>
      </c>
      <c r="AN60" s="10" t="s">
        <v>102</v>
      </c>
      <c r="AO60" s="10" t="s">
        <v>102</v>
      </c>
      <c r="AP60" s="10" t="s">
        <v>102</v>
      </c>
    </row>
    <row r="61" spans="1:42" ht="60" x14ac:dyDescent="0.25">
      <c r="A61" s="34"/>
      <c r="B61" s="34"/>
      <c r="C61" s="34">
        <v>0</v>
      </c>
      <c r="D61" s="34">
        <v>0</v>
      </c>
      <c r="E61" s="74">
        <v>0</v>
      </c>
      <c r="F61" s="34">
        <v>0</v>
      </c>
      <c r="G61" s="34">
        <v>0</v>
      </c>
      <c r="H61" s="36">
        <v>0</v>
      </c>
      <c r="I61" s="39"/>
      <c r="J61" s="39"/>
      <c r="K61" s="36">
        <v>0</v>
      </c>
      <c r="L61" s="39"/>
      <c r="M61" s="39"/>
      <c r="N61" s="36">
        <f t="shared" si="0"/>
        <v>0</v>
      </c>
      <c r="O61" s="36">
        <f t="shared" si="0"/>
        <v>0</v>
      </c>
      <c r="P61" s="36">
        <f t="shared" si="0"/>
        <v>0</v>
      </c>
      <c r="Q61" s="36"/>
      <c r="R61" s="36"/>
      <c r="S61" s="36">
        <f t="shared" si="1"/>
        <v>0</v>
      </c>
      <c r="T61" s="37" t="s">
        <v>4493</v>
      </c>
      <c r="U61" s="37" t="s">
        <v>4494</v>
      </c>
      <c r="V61" s="37">
        <v>80</v>
      </c>
      <c r="W61" s="10"/>
      <c r="X61" s="10"/>
      <c r="Y61" s="10">
        <v>50</v>
      </c>
      <c r="Z61" s="10">
        <v>109</v>
      </c>
      <c r="AA61" s="34">
        <v>200</v>
      </c>
      <c r="AB61" s="10">
        <v>150</v>
      </c>
      <c r="AC61" s="10">
        <v>200</v>
      </c>
      <c r="AD61" s="10"/>
      <c r="AE61" s="10" t="s">
        <v>102</v>
      </c>
      <c r="AF61" s="10" t="s">
        <v>102</v>
      </c>
      <c r="AG61" s="10" t="s">
        <v>102</v>
      </c>
      <c r="AH61" s="10" t="s">
        <v>102</v>
      </c>
      <c r="AI61" s="10" t="s">
        <v>102</v>
      </c>
      <c r="AJ61" s="10" t="s">
        <v>102</v>
      </c>
      <c r="AK61" s="10" t="s">
        <v>102</v>
      </c>
      <c r="AL61" s="10" t="s">
        <v>102</v>
      </c>
      <c r="AM61" s="10" t="s">
        <v>102</v>
      </c>
      <c r="AN61" s="10" t="s">
        <v>102</v>
      </c>
      <c r="AO61" s="10" t="s">
        <v>102</v>
      </c>
      <c r="AP61" s="10" t="s">
        <v>102</v>
      </c>
    </row>
    <row r="62" spans="1:42" ht="96" x14ac:dyDescent="0.25">
      <c r="A62" s="34"/>
      <c r="B62" s="34"/>
      <c r="C62" s="34">
        <v>0</v>
      </c>
      <c r="D62" s="34">
        <v>0</v>
      </c>
      <c r="E62" s="74">
        <v>0</v>
      </c>
      <c r="F62" s="34">
        <v>0</v>
      </c>
      <c r="G62" s="34">
        <v>0</v>
      </c>
      <c r="H62" s="36">
        <v>0</v>
      </c>
      <c r="I62" s="39"/>
      <c r="J62" s="39"/>
      <c r="K62" s="36">
        <v>0</v>
      </c>
      <c r="L62" s="39"/>
      <c r="M62" s="39"/>
      <c r="N62" s="36">
        <f t="shared" si="0"/>
        <v>0</v>
      </c>
      <c r="O62" s="36">
        <f t="shared" si="0"/>
        <v>0</v>
      </c>
      <c r="P62" s="36">
        <f t="shared" si="0"/>
        <v>0</v>
      </c>
      <c r="Q62" s="36"/>
      <c r="R62" s="36"/>
      <c r="S62" s="36">
        <f t="shared" si="1"/>
        <v>0</v>
      </c>
      <c r="T62" s="37" t="s">
        <v>4495</v>
      </c>
      <c r="U62" s="37" t="s">
        <v>4496</v>
      </c>
      <c r="V62" s="37">
        <v>1240</v>
      </c>
      <c r="W62" s="10">
        <v>500</v>
      </c>
      <c r="X62" s="10"/>
      <c r="Y62" s="10">
        <v>500</v>
      </c>
      <c r="Z62" s="10">
        <v>1180</v>
      </c>
      <c r="AA62" s="34">
        <v>300</v>
      </c>
      <c r="AB62" s="10">
        <v>150</v>
      </c>
      <c r="AC62" s="10">
        <v>340</v>
      </c>
      <c r="AD62" s="10"/>
      <c r="AE62" s="10">
        <v>0</v>
      </c>
      <c r="AF62" s="10" t="s">
        <v>102</v>
      </c>
      <c r="AG62" s="10" t="s">
        <v>102</v>
      </c>
      <c r="AH62" s="10" t="s">
        <v>102</v>
      </c>
      <c r="AI62" s="10" t="s">
        <v>102</v>
      </c>
      <c r="AJ62" s="10" t="s">
        <v>102</v>
      </c>
      <c r="AK62" s="10" t="s">
        <v>102</v>
      </c>
      <c r="AL62" s="10" t="s">
        <v>102</v>
      </c>
      <c r="AM62" s="10" t="s">
        <v>102</v>
      </c>
      <c r="AN62" s="10" t="s">
        <v>102</v>
      </c>
      <c r="AO62" s="10" t="s">
        <v>102</v>
      </c>
      <c r="AP62" s="10">
        <v>0</v>
      </c>
    </row>
    <row r="63" spans="1:42" s="27" customFormat="1" ht="96" x14ac:dyDescent="0.25">
      <c r="A63" s="578" t="s">
        <v>156</v>
      </c>
      <c r="B63" s="578" t="s">
        <v>982</v>
      </c>
      <c r="C63" s="34" t="s">
        <v>1006</v>
      </c>
      <c r="D63" s="34">
        <v>222740000</v>
      </c>
      <c r="E63" s="74" t="s">
        <v>4319</v>
      </c>
      <c r="F63" s="34" t="s">
        <v>4320</v>
      </c>
      <c r="G63" s="34" t="s">
        <v>4321</v>
      </c>
      <c r="H63" s="36">
        <v>999000000</v>
      </c>
      <c r="I63" s="39"/>
      <c r="J63" s="39">
        <v>0</v>
      </c>
      <c r="K63" s="36">
        <v>999000000</v>
      </c>
      <c r="L63" s="39"/>
      <c r="M63" s="39"/>
      <c r="N63" s="36">
        <f t="shared" si="0"/>
        <v>1998000000</v>
      </c>
      <c r="O63" s="36">
        <f t="shared" si="0"/>
        <v>0</v>
      </c>
      <c r="P63" s="36">
        <f t="shared" si="0"/>
        <v>0</v>
      </c>
      <c r="Q63" s="36"/>
      <c r="R63" s="36">
        <v>999000000</v>
      </c>
      <c r="S63" s="36">
        <f t="shared" si="1"/>
        <v>999000000</v>
      </c>
      <c r="T63" s="37">
        <v>0</v>
      </c>
      <c r="U63" s="37">
        <v>0</v>
      </c>
      <c r="V63" s="37">
        <v>0</v>
      </c>
      <c r="W63" s="10"/>
      <c r="X63" s="10"/>
      <c r="Y63" s="10"/>
      <c r="Z63" s="10"/>
      <c r="AA63" s="34">
        <v>0</v>
      </c>
      <c r="AB63" s="10"/>
      <c r="AC63" s="10"/>
      <c r="AD63" s="10"/>
      <c r="AE63" s="10">
        <v>0</v>
      </c>
      <c r="AF63" s="10">
        <v>0</v>
      </c>
      <c r="AG63" s="10">
        <v>0</v>
      </c>
      <c r="AH63" s="10">
        <v>0</v>
      </c>
      <c r="AI63" s="10">
        <v>0</v>
      </c>
      <c r="AJ63" s="10">
        <v>0</v>
      </c>
      <c r="AK63" s="10">
        <v>0</v>
      </c>
      <c r="AL63" s="10">
        <v>0</v>
      </c>
      <c r="AM63" s="10">
        <v>0</v>
      </c>
      <c r="AN63" s="10">
        <v>0</v>
      </c>
      <c r="AO63" s="10">
        <v>0</v>
      </c>
      <c r="AP63" s="10">
        <v>0</v>
      </c>
    </row>
    <row r="64" spans="1:42" s="27" customFormat="1" ht="36" x14ac:dyDescent="0.25">
      <c r="A64" s="34"/>
      <c r="B64" s="34"/>
      <c r="C64" s="34">
        <v>0</v>
      </c>
      <c r="D64" s="34">
        <v>0</v>
      </c>
      <c r="E64" s="74">
        <v>0</v>
      </c>
      <c r="F64" s="34">
        <v>0</v>
      </c>
      <c r="G64" s="34">
        <v>0</v>
      </c>
      <c r="H64" s="36">
        <v>0</v>
      </c>
      <c r="I64" s="39"/>
      <c r="J64" s="39"/>
      <c r="K64" s="36">
        <v>0</v>
      </c>
      <c r="L64" s="39"/>
      <c r="M64" s="39"/>
      <c r="N64" s="36">
        <f t="shared" si="0"/>
        <v>0</v>
      </c>
      <c r="O64" s="36">
        <f t="shared" si="0"/>
        <v>0</v>
      </c>
      <c r="P64" s="36">
        <f t="shared" si="0"/>
        <v>0</v>
      </c>
      <c r="Q64" s="36"/>
      <c r="R64" s="36"/>
      <c r="S64" s="36">
        <f t="shared" si="1"/>
        <v>0</v>
      </c>
      <c r="T64" s="37" t="s">
        <v>4497</v>
      </c>
      <c r="U64" s="37" t="s">
        <v>225</v>
      </c>
      <c r="V64" s="37">
        <v>1</v>
      </c>
      <c r="W64" s="10"/>
      <c r="X64" s="10"/>
      <c r="Y64" s="10">
        <v>1</v>
      </c>
      <c r="Z64" s="10">
        <v>1</v>
      </c>
      <c r="AA64" s="34">
        <v>210</v>
      </c>
      <c r="AB64" s="10">
        <v>210</v>
      </c>
      <c r="AC64" s="10">
        <v>210</v>
      </c>
      <c r="AD64" s="10"/>
      <c r="AE64" s="10">
        <v>0</v>
      </c>
      <c r="AF64" s="10" t="s">
        <v>102</v>
      </c>
      <c r="AG64" s="10" t="s">
        <v>102</v>
      </c>
      <c r="AH64" s="10" t="s">
        <v>102</v>
      </c>
      <c r="AI64" s="10" t="s">
        <v>102</v>
      </c>
      <c r="AJ64" s="10" t="s">
        <v>102</v>
      </c>
      <c r="AK64" s="10" t="s">
        <v>102</v>
      </c>
      <c r="AL64" s="10" t="s">
        <v>102</v>
      </c>
      <c r="AM64" s="10">
        <v>0</v>
      </c>
      <c r="AN64" s="10">
        <v>0</v>
      </c>
      <c r="AO64" s="10">
        <v>0</v>
      </c>
      <c r="AP64" s="10">
        <v>0</v>
      </c>
    </row>
    <row r="65" spans="1:42" s="27" customFormat="1" ht="24" x14ac:dyDescent="0.25">
      <c r="A65" s="34"/>
      <c r="B65" s="34"/>
      <c r="C65" s="34">
        <v>0</v>
      </c>
      <c r="D65" s="34">
        <v>0</v>
      </c>
      <c r="E65" s="74">
        <v>0</v>
      </c>
      <c r="F65" s="34">
        <v>0</v>
      </c>
      <c r="G65" s="34">
        <v>0</v>
      </c>
      <c r="H65" s="36">
        <v>0</v>
      </c>
      <c r="I65" s="39"/>
      <c r="J65" s="39"/>
      <c r="K65" s="36">
        <v>0</v>
      </c>
      <c r="L65" s="39"/>
      <c r="M65" s="39"/>
      <c r="N65" s="36">
        <f t="shared" si="0"/>
        <v>0</v>
      </c>
      <c r="O65" s="36">
        <f t="shared" si="0"/>
        <v>0</v>
      </c>
      <c r="P65" s="36">
        <f t="shared" si="0"/>
        <v>0</v>
      </c>
      <c r="Q65" s="36"/>
      <c r="R65" s="36"/>
      <c r="S65" s="36">
        <f t="shared" si="1"/>
        <v>0</v>
      </c>
      <c r="T65" s="37" t="s">
        <v>4498</v>
      </c>
      <c r="U65" s="37" t="s">
        <v>225</v>
      </c>
      <c r="V65" s="37">
        <v>1</v>
      </c>
      <c r="W65" s="10"/>
      <c r="X65" s="10"/>
      <c r="Y65" s="10">
        <v>0</v>
      </c>
      <c r="Z65" s="10">
        <v>1</v>
      </c>
      <c r="AA65" s="34">
        <v>30</v>
      </c>
      <c r="AB65" s="10">
        <v>0</v>
      </c>
      <c r="AC65" s="10">
        <v>90</v>
      </c>
      <c r="AD65" s="10"/>
      <c r="AE65" s="10">
        <v>0</v>
      </c>
      <c r="AF65" s="10">
        <v>0</v>
      </c>
      <c r="AG65" s="10">
        <v>0</v>
      </c>
      <c r="AH65" s="10">
        <v>0</v>
      </c>
      <c r="AI65" s="10">
        <v>0</v>
      </c>
      <c r="AJ65" s="10" t="s">
        <v>102</v>
      </c>
      <c r="AK65" s="10" t="s">
        <v>102</v>
      </c>
      <c r="AL65" s="10" t="s">
        <v>102</v>
      </c>
      <c r="AM65" s="10">
        <v>0</v>
      </c>
      <c r="AN65" s="10">
        <v>0</v>
      </c>
      <c r="AO65" s="10">
        <v>0</v>
      </c>
      <c r="AP65" s="10">
        <v>0</v>
      </c>
    </row>
    <row r="66" spans="1:42" s="27" customFormat="1" ht="135" x14ac:dyDescent="0.25">
      <c r="A66" s="34"/>
      <c r="B66" s="34"/>
      <c r="C66" s="34">
        <v>0</v>
      </c>
      <c r="D66" s="34">
        <v>0</v>
      </c>
      <c r="E66" s="74">
        <v>0</v>
      </c>
      <c r="F66" s="34">
        <v>0</v>
      </c>
      <c r="G66" s="34">
        <v>0</v>
      </c>
      <c r="H66" s="36">
        <v>0</v>
      </c>
      <c r="I66" s="39"/>
      <c r="J66" s="39"/>
      <c r="K66" s="36">
        <v>0</v>
      </c>
      <c r="L66" s="39"/>
      <c r="M66" s="39"/>
      <c r="N66" s="36">
        <f t="shared" si="0"/>
        <v>0</v>
      </c>
      <c r="O66" s="36">
        <f t="shared" si="0"/>
        <v>0</v>
      </c>
      <c r="P66" s="36">
        <f t="shared" si="0"/>
        <v>0</v>
      </c>
      <c r="Q66" s="36"/>
      <c r="R66" s="36"/>
      <c r="S66" s="36">
        <f t="shared" si="1"/>
        <v>0</v>
      </c>
      <c r="T66" s="37" t="s">
        <v>4499</v>
      </c>
      <c r="U66" s="37" t="s">
        <v>225</v>
      </c>
      <c r="V66" s="37">
        <v>15</v>
      </c>
      <c r="W66" s="10"/>
      <c r="X66" s="10"/>
      <c r="Y66" s="10">
        <v>0</v>
      </c>
      <c r="Z66" s="10">
        <v>5</v>
      </c>
      <c r="AA66" s="34">
        <v>210</v>
      </c>
      <c r="AB66" s="10">
        <v>0</v>
      </c>
      <c r="AC66" s="10">
        <v>210</v>
      </c>
      <c r="AD66" s="10" t="s">
        <v>4500</v>
      </c>
      <c r="AE66" s="10">
        <v>0</v>
      </c>
      <c r="AF66" s="10">
        <v>0</v>
      </c>
      <c r="AG66" s="10" t="s">
        <v>102</v>
      </c>
      <c r="AH66" s="10" t="s">
        <v>102</v>
      </c>
      <c r="AI66" s="10" t="s">
        <v>102</v>
      </c>
      <c r="AJ66" s="10" t="s">
        <v>102</v>
      </c>
      <c r="AK66" s="10" t="s">
        <v>102</v>
      </c>
      <c r="AL66" s="10" t="s">
        <v>102</v>
      </c>
      <c r="AM66" s="10">
        <v>0</v>
      </c>
      <c r="AN66" s="10">
        <v>0</v>
      </c>
      <c r="AO66" s="10">
        <v>0</v>
      </c>
      <c r="AP66" s="10">
        <v>0</v>
      </c>
    </row>
    <row r="67" spans="1:42" s="27" customFormat="1" ht="60" x14ac:dyDescent="0.25">
      <c r="A67" s="34"/>
      <c r="B67" s="34"/>
      <c r="C67" s="34"/>
      <c r="D67" s="34"/>
      <c r="E67" s="74"/>
      <c r="F67" s="34"/>
      <c r="G67" s="34"/>
      <c r="H67" s="36"/>
      <c r="I67" s="39"/>
      <c r="J67" s="39"/>
      <c r="K67" s="36"/>
      <c r="L67" s="39"/>
      <c r="M67" s="39"/>
      <c r="N67" s="36"/>
      <c r="O67" s="36"/>
      <c r="P67" s="36"/>
      <c r="Q67" s="36"/>
      <c r="R67" s="36"/>
      <c r="S67" s="36"/>
      <c r="T67" s="37" t="s">
        <v>4501</v>
      </c>
      <c r="U67" s="37" t="s">
        <v>316</v>
      </c>
      <c r="V67" s="37">
        <v>1</v>
      </c>
      <c r="W67" s="10"/>
      <c r="X67" s="10"/>
      <c r="Y67" s="10">
        <v>0</v>
      </c>
      <c r="Z67" s="10">
        <v>4</v>
      </c>
      <c r="AA67" s="34">
        <v>180</v>
      </c>
      <c r="AB67" s="10">
        <v>0</v>
      </c>
      <c r="AC67" s="10">
        <v>60</v>
      </c>
      <c r="AD67" s="10"/>
      <c r="AE67" s="10"/>
      <c r="AF67" s="10"/>
      <c r="AG67" s="10"/>
      <c r="AH67" s="10"/>
      <c r="AI67" s="10"/>
      <c r="AJ67" s="10"/>
      <c r="AK67" s="10"/>
      <c r="AL67" s="10"/>
      <c r="AM67" s="10"/>
      <c r="AN67" s="10"/>
      <c r="AO67" s="10"/>
      <c r="AP67" s="10"/>
    </row>
    <row r="68" spans="1:42" ht="285" x14ac:dyDescent="0.25">
      <c r="A68" s="578" t="s">
        <v>55</v>
      </c>
      <c r="B68" s="578" t="s">
        <v>48</v>
      </c>
      <c r="C68" s="34" t="s">
        <v>2735</v>
      </c>
      <c r="D68" s="34">
        <v>242140000</v>
      </c>
      <c r="E68" s="74" t="s">
        <v>4324</v>
      </c>
      <c r="F68" s="34" t="s">
        <v>4325</v>
      </c>
      <c r="G68" s="34" t="s">
        <v>4502</v>
      </c>
      <c r="H68" s="36">
        <v>50000000</v>
      </c>
      <c r="I68" s="39"/>
      <c r="J68" s="39">
        <v>50000000</v>
      </c>
      <c r="K68" s="36">
        <v>0</v>
      </c>
      <c r="L68" s="39"/>
      <c r="M68" s="39"/>
      <c r="N68" s="36">
        <v>50000000</v>
      </c>
      <c r="O68" s="36">
        <v>0</v>
      </c>
      <c r="P68" s="36">
        <v>50000000</v>
      </c>
      <c r="Q68" s="36">
        <v>50000000</v>
      </c>
      <c r="R68" s="36"/>
      <c r="S68" s="36">
        <v>50000000</v>
      </c>
      <c r="T68" s="37" t="s">
        <v>4503</v>
      </c>
      <c r="U68" s="37" t="s">
        <v>2689</v>
      </c>
      <c r="V68" s="37">
        <v>9</v>
      </c>
      <c r="W68" s="583" t="s">
        <v>2726</v>
      </c>
      <c r="X68" s="18"/>
      <c r="Y68" s="583" t="s">
        <v>2726</v>
      </c>
      <c r="Z68" s="18">
        <v>0</v>
      </c>
      <c r="AA68" s="38">
        <v>30</v>
      </c>
      <c r="AB68" s="18">
        <v>6</v>
      </c>
      <c r="AC68" s="18">
        <v>90</v>
      </c>
      <c r="AD68" s="18" t="s">
        <v>4504</v>
      </c>
      <c r="AE68" s="10">
        <v>0</v>
      </c>
      <c r="AF68" s="10">
        <v>0</v>
      </c>
      <c r="AG68" s="10">
        <v>0</v>
      </c>
      <c r="AH68" s="10">
        <v>0</v>
      </c>
      <c r="AI68" s="10" t="s">
        <v>218</v>
      </c>
      <c r="AJ68" s="10">
        <v>0</v>
      </c>
      <c r="AK68" s="10">
        <v>0</v>
      </c>
      <c r="AL68" s="10">
        <v>0</v>
      </c>
      <c r="AM68" s="10">
        <v>0</v>
      </c>
      <c r="AN68" s="10">
        <v>0</v>
      </c>
      <c r="AO68" s="10" t="s">
        <v>218</v>
      </c>
      <c r="AP68" s="10">
        <v>0</v>
      </c>
    </row>
    <row r="69" spans="1:42" ht="60" x14ac:dyDescent="0.25">
      <c r="A69" s="34"/>
      <c r="B69" s="34"/>
      <c r="C69" s="34">
        <v>0</v>
      </c>
      <c r="D69" s="34">
        <v>0</v>
      </c>
      <c r="E69" s="74">
        <v>0</v>
      </c>
      <c r="F69" s="34">
        <v>0</v>
      </c>
      <c r="G69" s="34">
        <v>0</v>
      </c>
      <c r="H69" s="36">
        <v>0</v>
      </c>
      <c r="I69" s="39"/>
      <c r="J69" s="39"/>
      <c r="K69" s="36">
        <v>0</v>
      </c>
      <c r="L69" s="39"/>
      <c r="M69" s="39"/>
      <c r="N69" s="36">
        <v>0</v>
      </c>
      <c r="O69" s="36">
        <v>0</v>
      </c>
      <c r="P69" s="36">
        <v>0</v>
      </c>
      <c r="Q69" s="36"/>
      <c r="R69" s="36"/>
      <c r="S69" s="36">
        <v>0</v>
      </c>
      <c r="T69" s="37" t="s">
        <v>4505</v>
      </c>
      <c r="U69" s="37" t="s">
        <v>2689</v>
      </c>
      <c r="V69" s="37">
        <v>1</v>
      </c>
      <c r="W69" s="584" t="s">
        <v>2726</v>
      </c>
      <c r="X69" s="10"/>
      <c r="Y69" s="10"/>
      <c r="Z69" s="10"/>
      <c r="AA69" s="34">
        <v>20</v>
      </c>
      <c r="AB69" s="10"/>
      <c r="AC69" s="10"/>
      <c r="AD69" s="10"/>
      <c r="AE69" s="10">
        <v>0</v>
      </c>
      <c r="AF69" s="10">
        <v>0</v>
      </c>
      <c r="AG69" s="10">
        <v>0</v>
      </c>
      <c r="AH69" s="10">
        <v>0</v>
      </c>
      <c r="AI69" s="10">
        <v>0</v>
      </c>
      <c r="AJ69" s="10" t="s">
        <v>218</v>
      </c>
      <c r="AK69" s="10">
        <v>0</v>
      </c>
      <c r="AL69" s="10">
        <v>0</v>
      </c>
      <c r="AM69" s="10">
        <v>0</v>
      </c>
      <c r="AN69" s="10">
        <v>0</v>
      </c>
      <c r="AO69" s="10">
        <v>0</v>
      </c>
      <c r="AP69" s="10" t="s">
        <v>218</v>
      </c>
    </row>
    <row r="70" spans="1:42" ht="102.75" x14ac:dyDescent="0.25">
      <c r="A70" s="578" t="s">
        <v>4329</v>
      </c>
      <c r="B70" s="578" t="s">
        <v>4330</v>
      </c>
      <c r="C70" s="34" t="s">
        <v>4331</v>
      </c>
      <c r="D70" s="34">
        <v>264110000</v>
      </c>
      <c r="E70" s="74" t="s">
        <v>4333</v>
      </c>
      <c r="F70" s="34" t="s">
        <v>4334</v>
      </c>
      <c r="G70" s="34" t="s">
        <v>4335</v>
      </c>
      <c r="H70" s="36">
        <v>400000000</v>
      </c>
      <c r="I70" s="39"/>
      <c r="J70" s="36">
        <v>400000000</v>
      </c>
      <c r="K70" s="36">
        <v>400000000</v>
      </c>
      <c r="L70" s="39">
        <v>350000000</v>
      </c>
      <c r="M70" s="39"/>
      <c r="N70" s="36">
        <f t="shared" si="0"/>
        <v>800000000</v>
      </c>
      <c r="O70" s="36">
        <f t="shared" si="0"/>
        <v>350000000</v>
      </c>
      <c r="P70" s="36">
        <f t="shared" si="0"/>
        <v>400000000</v>
      </c>
      <c r="Q70" s="36">
        <v>350000000</v>
      </c>
      <c r="R70" s="36"/>
      <c r="S70" s="36">
        <f t="shared" si="1"/>
        <v>350000000</v>
      </c>
      <c r="T70" s="37">
        <v>0</v>
      </c>
      <c r="U70" s="37">
        <v>0</v>
      </c>
      <c r="V70" s="37">
        <v>0</v>
      </c>
      <c r="W70" s="10"/>
      <c r="X70" s="10"/>
      <c r="Y70" s="10"/>
      <c r="Z70" s="10"/>
      <c r="AA70" s="34">
        <v>0</v>
      </c>
      <c r="AB70" s="10"/>
      <c r="AC70" s="10"/>
      <c r="AD70" s="10"/>
      <c r="AE70" s="10">
        <v>0</v>
      </c>
      <c r="AF70" s="10">
        <v>0</v>
      </c>
      <c r="AG70" s="10">
        <v>0</v>
      </c>
      <c r="AH70" s="10">
        <v>0</v>
      </c>
      <c r="AI70" s="10">
        <v>0</v>
      </c>
      <c r="AJ70" s="10">
        <v>0</v>
      </c>
      <c r="AK70" s="10">
        <v>0</v>
      </c>
      <c r="AL70" s="10">
        <v>0</v>
      </c>
      <c r="AM70" s="10">
        <v>0</v>
      </c>
      <c r="AN70" s="10">
        <v>0</v>
      </c>
      <c r="AO70" s="10">
        <v>0</v>
      </c>
      <c r="AP70" s="10">
        <v>0</v>
      </c>
    </row>
    <row r="71" spans="1:42" ht="36" x14ac:dyDescent="0.25">
      <c r="A71" s="34"/>
      <c r="B71" s="34"/>
      <c r="C71" s="34">
        <v>0</v>
      </c>
      <c r="D71" s="34">
        <v>0</v>
      </c>
      <c r="E71" s="74">
        <v>0</v>
      </c>
      <c r="F71" s="34">
        <v>0</v>
      </c>
      <c r="G71" s="34">
        <v>0</v>
      </c>
      <c r="H71" s="36">
        <v>0</v>
      </c>
      <c r="I71" s="39"/>
      <c r="J71" s="39"/>
      <c r="K71" s="36">
        <v>0</v>
      </c>
      <c r="L71" s="39"/>
      <c r="M71" s="39"/>
      <c r="N71" s="36">
        <f t="shared" si="0"/>
        <v>0</v>
      </c>
      <c r="O71" s="36">
        <f t="shared" si="0"/>
        <v>0</v>
      </c>
      <c r="P71" s="36">
        <f t="shared" si="0"/>
        <v>0</v>
      </c>
      <c r="Q71" s="36"/>
      <c r="R71" s="36"/>
      <c r="S71" s="36">
        <f t="shared" si="1"/>
        <v>0</v>
      </c>
      <c r="T71" s="37" t="s">
        <v>4506</v>
      </c>
      <c r="U71" s="37" t="s">
        <v>2689</v>
      </c>
      <c r="V71" s="37">
        <v>1</v>
      </c>
      <c r="W71" s="10"/>
      <c r="X71" s="10"/>
      <c r="Y71" s="10"/>
      <c r="Z71" s="10">
        <v>1</v>
      </c>
      <c r="AA71" s="34">
        <v>300</v>
      </c>
      <c r="AB71" s="10"/>
      <c r="AC71" s="10">
        <v>300</v>
      </c>
      <c r="AD71" s="10"/>
      <c r="AE71" s="10">
        <v>0</v>
      </c>
      <c r="AF71" s="10" t="s">
        <v>102</v>
      </c>
      <c r="AG71" s="10" t="s">
        <v>102</v>
      </c>
      <c r="AH71" s="10" t="s">
        <v>102</v>
      </c>
      <c r="AI71" s="10" t="s">
        <v>102</v>
      </c>
      <c r="AJ71" s="10" t="s">
        <v>102</v>
      </c>
      <c r="AK71" s="10" t="s">
        <v>102</v>
      </c>
      <c r="AL71" s="10" t="s">
        <v>102</v>
      </c>
      <c r="AM71" s="10" t="s">
        <v>102</v>
      </c>
      <c r="AN71" s="10" t="s">
        <v>102</v>
      </c>
      <c r="AO71" s="10" t="s">
        <v>102</v>
      </c>
      <c r="AP71" s="10" t="s">
        <v>102</v>
      </c>
    </row>
    <row r="72" spans="1:42" ht="60" x14ac:dyDescent="0.25">
      <c r="A72" s="34"/>
      <c r="B72" s="34"/>
      <c r="C72" s="34">
        <v>0</v>
      </c>
      <c r="D72" s="34">
        <v>0</v>
      </c>
      <c r="E72" s="74">
        <v>0</v>
      </c>
      <c r="F72" s="34">
        <v>0</v>
      </c>
      <c r="G72" s="34">
        <v>0</v>
      </c>
      <c r="H72" s="36">
        <v>0</v>
      </c>
      <c r="I72" s="39"/>
      <c r="J72" s="39"/>
      <c r="K72" s="36">
        <v>0</v>
      </c>
      <c r="L72" s="39"/>
      <c r="M72" s="39"/>
      <c r="N72" s="36">
        <f t="shared" si="0"/>
        <v>0</v>
      </c>
      <c r="O72" s="36">
        <f t="shared" si="0"/>
        <v>0</v>
      </c>
      <c r="P72" s="36">
        <f t="shared" si="0"/>
        <v>0</v>
      </c>
      <c r="Q72" s="36"/>
      <c r="R72" s="36"/>
      <c r="S72" s="36">
        <f t="shared" si="1"/>
        <v>0</v>
      </c>
      <c r="T72" s="37" t="s">
        <v>4507</v>
      </c>
      <c r="U72" s="37" t="s">
        <v>2689</v>
      </c>
      <c r="V72" s="37">
        <v>1</v>
      </c>
      <c r="W72" s="10"/>
      <c r="X72" s="10"/>
      <c r="Y72" s="10"/>
      <c r="Z72" s="10">
        <v>1</v>
      </c>
      <c r="AA72" s="34">
        <v>300</v>
      </c>
      <c r="AB72" s="10"/>
      <c r="AC72" s="10">
        <v>300</v>
      </c>
      <c r="AD72" s="10"/>
      <c r="AE72" s="10">
        <v>0</v>
      </c>
      <c r="AF72" s="10" t="s">
        <v>102</v>
      </c>
      <c r="AG72" s="10" t="s">
        <v>102</v>
      </c>
      <c r="AH72" s="10" t="s">
        <v>102</v>
      </c>
      <c r="AI72" s="10" t="s">
        <v>102</v>
      </c>
      <c r="AJ72" s="10" t="s">
        <v>102</v>
      </c>
      <c r="AK72" s="10" t="s">
        <v>102</v>
      </c>
      <c r="AL72" s="10" t="s">
        <v>102</v>
      </c>
      <c r="AM72" s="10" t="s">
        <v>102</v>
      </c>
      <c r="AN72" s="10" t="s">
        <v>102</v>
      </c>
      <c r="AO72" s="10" t="s">
        <v>102</v>
      </c>
      <c r="AP72" s="10" t="s">
        <v>102</v>
      </c>
    </row>
    <row r="73" spans="1:42" ht="48" x14ac:dyDescent="0.25">
      <c r="A73" s="34"/>
      <c r="B73" s="34"/>
      <c r="C73" s="34">
        <v>0</v>
      </c>
      <c r="D73" s="34">
        <v>0</v>
      </c>
      <c r="E73" s="74">
        <v>0</v>
      </c>
      <c r="F73" s="34">
        <v>0</v>
      </c>
      <c r="G73" s="34">
        <v>0</v>
      </c>
      <c r="H73" s="36">
        <v>0</v>
      </c>
      <c r="I73" s="39"/>
      <c r="J73" s="39"/>
      <c r="K73" s="36">
        <v>0</v>
      </c>
      <c r="L73" s="39"/>
      <c r="M73" s="39"/>
      <c r="N73" s="36">
        <f t="shared" si="0"/>
        <v>0</v>
      </c>
      <c r="O73" s="36">
        <f t="shared" si="0"/>
        <v>0</v>
      </c>
      <c r="P73" s="36">
        <f t="shared" si="0"/>
        <v>0</v>
      </c>
      <c r="Q73" s="36"/>
      <c r="R73" s="36"/>
      <c r="S73" s="36">
        <f t="shared" si="1"/>
        <v>0</v>
      </c>
      <c r="T73" s="37" t="s">
        <v>4508</v>
      </c>
      <c r="U73" s="37" t="s">
        <v>2689</v>
      </c>
      <c r="V73" s="37">
        <v>1</v>
      </c>
      <c r="W73" s="10"/>
      <c r="X73" s="10"/>
      <c r="Y73" s="10"/>
      <c r="Z73" s="10">
        <v>1</v>
      </c>
      <c r="AA73" s="34">
        <v>300</v>
      </c>
      <c r="AB73" s="10"/>
      <c r="AC73" s="10">
        <v>300</v>
      </c>
      <c r="AD73" s="10"/>
      <c r="AE73" s="10">
        <v>0</v>
      </c>
      <c r="AF73" s="10" t="s">
        <v>102</v>
      </c>
      <c r="AG73" s="10" t="s">
        <v>102</v>
      </c>
      <c r="AH73" s="10" t="s">
        <v>102</v>
      </c>
      <c r="AI73" s="10" t="s">
        <v>102</v>
      </c>
      <c r="AJ73" s="10" t="s">
        <v>102</v>
      </c>
      <c r="AK73" s="10" t="s">
        <v>102</v>
      </c>
      <c r="AL73" s="10" t="s">
        <v>102</v>
      </c>
      <c r="AM73" s="10" t="s">
        <v>102</v>
      </c>
      <c r="AN73" s="10" t="s">
        <v>102</v>
      </c>
      <c r="AO73" s="10" t="s">
        <v>102</v>
      </c>
      <c r="AP73" s="10" t="s">
        <v>102</v>
      </c>
    </row>
    <row r="74" spans="1:42" ht="102.75" x14ac:dyDescent="0.25">
      <c r="A74" s="578" t="s">
        <v>4329</v>
      </c>
      <c r="B74" s="578" t="s">
        <v>4330</v>
      </c>
      <c r="C74" s="34" t="s">
        <v>4331</v>
      </c>
      <c r="D74" s="34">
        <v>264120000</v>
      </c>
      <c r="E74" s="74" t="s">
        <v>4339</v>
      </c>
      <c r="F74" s="34" t="s">
        <v>4340</v>
      </c>
      <c r="G74" s="34" t="s">
        <v>4341</v>
      </c>
      <c r="H74" s="36">
        <v>400000000</v>
      </c>
      <c r="I74" s="36">
        <v>400000000</v>
      </c>
      <c r="J74" s="39">
        <v>400000000</v>
      </c>
      <c r="K74" s="36">
        <v>0</v>
      </c>
      <c r="L74" s="39"/>
      <c r="M74" s="39"/>
      <c r="N74" s="36">
        <f t="shared" si="0"/>
        <v>400000000</v>
      </c>
      <c r="O74" s="36">
        <f t="shared" si="0"/>
        <v>400000000</v>
      </c>
      <c r="P74" s="36">
        <f t="shared" si="0"/>
        <v>400000000</v>
      </c>
      <c r="Q74" s="36">
        <f t="shared" si="0"/>
        <v>400000000</v>
      </c>
      <c r="R74" s="36"/>
      <c r="S74" s="36">
        <f t="shared" si="1"/>
        <v>400000000</v>
      </c>
      <c r="T74" s="37">
        <v>0</v>
      </c>
      <c r="U74" s="37">
        <v>0</v>
      </c>
      <c r="V74" s="37">
        <v>0</v>
      </c>
      <c r="W74" s="10"/>
      <c r="X74" s="10"/>
      <c r="Y74" s="10"/>
      <c r="Z74" s="10"/>
      <c r="AA74" s="34">
        <v>0</v>
      </c>
      <c r="AB74" s="10"/>
      <c r="AC74" s="10"/>
      <c r="AD74" s="10"/>
      <c r="AE74" s="10">
        <v>0</v>
      </c>
      <c r="AF74" s="10">
        <v>0</v>
      </c>
      <c r="AG74" s="10">
        <v>0</v>
      </c>
      <c r="AH74" s="10">
        <v>0</v>
      </c>
      <c r="AI74" s="10">
        <v>0</v>
      </c>
      <c r="AJ74" s="10">
        <v>0</v>
      </c>
      <c r="AK74" s="10">
        <v>0</v>
      </c>
      <c r="AL74" s="10">
        <v>0</v>
      </c>
      <c r="AM74" s="10">
        <v>0</v>
      </c>
      <c r="AN74" s="10">
        <v>0</v>
      </c>
      <c r="AO74" s="10">
        <v>0</v>
      </c>
      <c r="AP74" s="10">
        <v>0</v>
      </c>
    </row>
    <row r="75" spans="1:42" ht="150" x14ac:dyDescent="0.25">
      <c r="A75" s="34"/>
      <c r="B75" s="34"/>
      <c r="C75" s="34">
        <v>0</v>
      </c>
      <c r="D75" s="34">
        <v>0</v>
      </c>
      <c r="E75" s="74">
        <v>0</v>
      </c>
      <c r="F75" s="34">
        <v>0</v>
      </c>
      <c r="G75" s="34">
        <v>0</v>
      </c>
      <c r="H75" s="36">
        <v>0</v>
      </c>
      <c r="I75" s="39"/>
      <c r="J75" s="39"/>
      <c r="K75" s="36">
        <v>0</v>
      </c>
      <c r="L75" s="39"/>
      <c r="M75" s="39"/>
      <c r="N75" s="36">
        <f t="shared" ref="N75:P106" si="2">H75+K75</f>
        <v>0</v>
      </c>
      <c r="O75" s="36">
        <f t="shared" si="2"/>
        <v>0</v>
      </c>
      <c r="P75" s="36">
        <f t="shared" si="2"/>
        <v>0</v>
      </c>
      <c r="Q75" s="36"/>
      <c r="R75" s="36"/>
      <c r="S75" s="36">
        <f t="shared" si="1"/>
        <v>0</v>
      </c>
      <c r="T75" s="37" t="s">
        <v>4509</v>
      </c>
      <c r="U75" s="37" t="s">
        <v>2689</v>
      </c>
      <c r="V75" s="37">
        <v>1</v>
      </c>
      <c r="W75" s="10"/>
      <c r="X75" s="10"/>
      <c r="Y75" s="10"/>
      <c r="Z75" s="10">
        <v>1</v>
      </c>
      <c r="AA75" s="34">
        <v>300</v>
      </c>
      <c r="AB75" s="10"/>
      <c r="AC75" s="18">
        <v>300</v>
      </c>
      <c r="AD75" s="18" t="s">
        <v>4510</v>
      </c>
      <c r="AE75" s="10">
        <v>0</v>
      </c>
      <c r="AF75" s="10">
        <v>0</v>
      </c>
      <c r="AG75" s="10" t="s">
        <v>102</v>
      </c>
      <c r="AH75" s="10" t="s">
        <v>102</v>
      </c>
      <c r="AI75" s="10" t="s">
        <v>102</v>
      </c>
      <c r="AJ75" s="10" t="s">
        <v>102</v>
      </c>
      <c r="AK75" s="10" t="s">
        <v>102</v>
      </c>
      <c r="AL75" s="10" t="s">
        <v>102</v>
      </c>
      <c r="AM75" s="10" t="s">
        <v>102</v>
      </c>
      <c r="AN75" s="10" t="s">
        <v>102</v>
      </c>
      <c r="AO75" s="10" t="s">
        <v>102</v>
      </c>
      <c r="AP75" s="10" t="s">
        <v>102</v>
      </c>
    </row>
    <row r="76" spans="1:42" ht="72" x14ac:dyDescent="0.25">
      <c r="A76" s="34"/>
      <c r="B76" s="34"/>
      <c r="C76" s="34">
        <v>0</v>
      </c>
      <c r="D76" s="34">
        <v>0</v>
      </c>
      <c r="E76" s="74">
        <v>0</v>
      </c>
      <c r="F76" s="34">
        <v>0</v>
      </c>
      <c r="G76" s="34">
        <v>0</v>
      </c>
      <c r="H76" s="36">
        <v>0</v>
      </c>
      <c r="I76" s="39"/>
      <c r="J76" s="39"/>
      <c r="K76" s="36">
        <v>0</v>
      </c>
      <c r="L76" s="39"/>
      <c r="M76" s="39"/>
      <c r="N76" s="36">
        <f t="shared" si="2"/>
        <v>0</v>
      </c>
      <c r="O76" s="36">
        <f t="shared" si="2"/>
        <v>0</v>
      </c>
      <c r="P76" s="36">
        <f t="shared" si="2"/>
        <v>0</v>
      </c>
      <c r="Q76" s="36"/>
      <c r="R76" s="36"/>
      <c r="S76" s="36">
        <f t="shared" si="1"/>
        <v>0</v>
      </c>
      <c r="T76" s="37" t="s">
        <v>4511</v>
      </c>
      <c r="U76" s="37" t="s">
        <v>2689</v>
      </c>
      <c r="V76" s="37">
        <v>1</v>
      </c>
      <c r="W76" s="10"/>
      <c r="X76" s="10"/>
      <c r="Y76" s="10"/>
      <c r="Z76" s="10">
        <v>1</v>
      </c>
      <c r="AA76" s="34">
        <v>300</v>
      </c>
      <c r="AB76" s="10"/>
      <c r="AC76" s="18">
        <v>300</v>
      </c>
      <c r="AD76" s="18" t="s">
        <v>4512</v>
      </c>
      <c r="AE76" s="10">
        <v>0</v>
      </c>
      <c r="AF76" s="10">
        <v>0</v>
      </c>
      <c r="AG76" s="10" t="s">
        <v>102</v>
      </c>
      <c r="AH76" s="10" t="s">
        <v>102</v>
      </c>
      <c r="AI76" s="10" t="s">
        <v>102</v>
      </c>
      <c r="AJ76" s="10" t="s">
        <v>102</v>
      </c>
      <c r="AK76" s="10" t="s">
        <v>102</v>
      </c>
      <c r="AL76" s="10" t="s">
        <v>102</v>
      </c>
      <c r="AM76" s="10" t="s">
        <v>102</v>
      </c>
      <c r="AN76" s="10" t="s">
        <v>102</v>
      </c>
      <c r="AO76" s="10" t="s">
        <v>102</v>
      </c>
      <c r="AP76" s="10" t="s">
        <v>102</v>
      </c>
    </row>
    <row r="77" spans="1:42" ht="105" x14ac:dyDescent="0.25">
      <c r="A77" s="34"/>
      <c r="B77" s="34"/>
      <c r="C77" s="34">
        <v>0</v>
      </c>
      <c r="D77" s="34">
        <v>0</v>
      </c>
      <c r="E77" s="74">
        <v>0</v>
      </c>
      <c r="F77" s="34">
        <v>0</v>
      </c>
      <c r="G77" s="34">
        <v>0</v>
      </c>
      <c r="H77" s="36">
        <v>0</v>
      </c>
      <c r="I77" s="39"/>
      <c r="J77" s="39"/>
      <c r="K77" s="36">
        <v>0</v>
      </c>
      <c r="L77" s="39"/>
      <c r="M77" s="39"/>
      <c r="N77" s="36">
        <f t="shared" si="2"/>
        <v>0</v>
      </c>
      <c r="O77" s="36">
        <f t="shared" si="2"/>
        <v>0</v>
      </c>
      <c r="P77" s="36">
        <f t="shared" si="2"/>
        <v>0</v>
      </c>
      <c r="Q77" s="36"/>
      <c r="R77" s="36"/>
      <c r="S77" s="36">
        <f t="shared" si="1"/>
        <v>0</v>
      </c>
      <c r="T77" s="37" t="s">
        <v>4513</v>
      </c>
      <c r="U77" s="37" t="s">
        <v>2689</v>
      </c>
      <c r="V77" s="37">
        <v>1</v>
      </c>
      <c r="W77" s="10"/>
      <c r="X77" s="10"/>
      <c r="Y77" s="10"/>
      <c r="Z77" s="18">
        <v>0.5</v>
      </c>
      <c r="AA77" s="34">
        <v>300</v>
      </c>
      <c r="AB77" s="10"/>
      <c r="AC77" s="18">
        <v>180</v>
      </c>
      <c r="AD77" s="18" t="s">
        <v>4514</v>
      </c>
      <c r="AE77" s="10">
        <v>0</v>
      </c>
      <c r="AF77" s="10">
        <v>0</v>
      </c>
      <c r="AG77" s="10" t="s">
        <v>102</v>
      </c>
      <c r="AH77" s="10" t="s">
        <v>102</v>
      </c>
      <c r="AI77" s="10" t="s">
        <v>102</v>
      </c>
      <c r="AJ77" s="10" t="s">
        <v>102</v>
      </c>
      <c r="AK77" s="10" t="s">
        <v>102</v>
      </c>
      <c r="AL77" s="10" t="s">
        <v>102</v>
      </c>
      <c r="AM77" s="10" t="s">
        <v>102</v>
      </c>
      <c r="AN77" s="10" t="s">
        <v>102</v>
      </c>
      <c r="AO77" s="10" t="s">
        <v>102</v>
      </c>
      <c r="AP77" s="10" t="s">
        <v>102</v>
      </c>
    </row>
    <row r="78" spans="1:42" ht="192" x14ac:dyDescent="0.25">
      <c r="A78" s="34"/>
      <c r="B78" s="34"/>
      <c r="C78" s="34">
        <v>0</v>
      </c>
      <c r="D78" s="34">
        <v>0</v>
      </c>
      <c r="E78" s="74">
        <v>0</v>
      </c>
      <c r="F78" s="34">
        <v>0</v>
      </c>
      <c r="G78" s="34">
        <v>0</v>
      </c>
      <c r="H78" s="36">
        <v>0</v>
      </c>
      <c r="I78" s="39"/>
      <c r="J78" s="39"/>
      <c r="K78" s="36">
        <v>0</v>
      </c>
      <c r="L78" s="39"/>
      <c r="M78" s="39"/>
      <c r="N78" s="36">
        <f t="shared" si="2"/>
        <v>0</v>
      </c>
      <c r="O78" s="36">
        <f t="shared" si="2"/>
        <v>0</v>
      </c>
      <c r="P78" s="36">
        <f t="shared" si="2"/>
        <v>0</v>
      </c>
      <c r="Q78" s="36"/>
      <c r="R78" s="36"/>
      <c r="S78" s="36">
        <f t="shared" si="1"/>
        <v>0</v>
      </c>
      <c r="T78" s="37" t="s">
        <v>4515</v>
      </c>
      <c r="U78" s="37" t="s">
        <v>2689</v>
      </c>
      <c r="V78" s="37">
        <v>1</v>
      </c>
      <c r="W78" s="10"/>
      <c r="X78" s="10"/>
      <c r="Y78" s="10"/>
      <c r="Z78" s="10">
        <v>1</v>
      </c>
      <c r="AA78" s="34">
        <v>180</v>
      </c>
      <c r="AB78" s="10"/>
      <c r="AC78" s="10">
        <v>180</v>
      </c>
      <c r="AD78" s="10" t="s">
        <v>4516</v>
      </c>
      <c r="AE78" s="10" t="s">
        <v>102</v>
      </c>
      <c r="AF78" s="10" t="s">
        <v>102</v>
      </c>
      <c r="AG78" s="10" t="s">
        <v>102</v>
      </c>
      <c r="AH78" s="10" t="s">
        <v>102</v>
      </c>
      <c r="AI78" s="10" t="s">
        <v>102</v>
      </c>
      <c r="AJ78" s="10" t="s">
        <v>102</v>
      </c>
      <c r="AK78" s="10" t="s">
        <v>102</v>
      </c>
      <c r="AL78" s="10">
        <v>0</v>
      </c>
      <c r="AM78" s="10">
        <v>0</v>
      </c>
      <c r="AN78" s="10">
        <v>0</v>
      </c>
      <c r="AO78" s="10">
        <v>0</v>
      </c>
      <c r="AP78" s="10">
        <v>0</v>
      </c>
    </row>
    <row r="79" spans="1:42" ht="102.75" x14ac:dyDescent="0.25">
      <c r="A79" s="578" t="s">
        <v>4329</v>
      </c>
      <c r="B79" s="578" t="s">
        <v>4330</v>
      </c>
      <c r="C79" s="34" t="s">
        <v>4331</v>
      </c>
      <c r="D79" s="34">
        <v>264130000</v>
      </c>
      <c r="E79" s="74" t="s">
        <v>4345</v>
      </c>
      <c r="F79" s="34" t="s">
        <v>4346</v>
      </c>
      <c r="G79" s="34" t="s">
        <v>4347</v>
      </c>
      <c r="H79" s="36">
        <v>400000000</v>
      </c>
      <c r="I79" s="36">
        <v>395578750</v>
      </c>
      <c r="J79" s="39">
        <v>395578750</v>
      </c>
      <c r="K79" s="36">
        <v>0</v>
      </c>
      <c r="L79" s="39"/>
      <c r="M79" s="39"/>
      <c r="N79" s="36">
        <f t="shared" si="2"/>
        <v>400000000</v>
      </c>
      <c r="O79" s="36">
        <f t="shared" si="2"/>
        <v>395578750</v>
      </c>
      <c r="P79" s="36">
        <f t="shared" si="2"/>
        <v>395578750</v>
      </c>
      <c r="Q79" s="36">
        <v>388485350</v>
      </c>
      <c r="R79" s="36"/>
      <c r="S79" s="36">
        <f t="shared" si="1"/>
        <v>388485350</v>
      </c>
      <c r="T79" s="37">
        <v>0</v>
      </c>
      <c r="U79" s="37">
        <v>0</v>
      </c>
      <c r="V79" s="37">
        <v>0</v>
      </c>
      <c r="W79" s="10"/>
      <c r="X79" s="10"/>
      <c r="Y79" s="10"/>
      <c r="Z79" s="10"/>
      <c r="AA79" s="34">
        <v>0</v>
      </c>
      <c r="AB79" s="10"/>
      <c r="AC79" s="10"/>
      <c r="AD79" s="10"/>
      <c r="AE79" s="10">
        <v>0</v>
      </c>
      <c r="AF79" s="10">
        <v>0</v>
      </c>
      <c r="AG79" s="10">
        <v>0</v>
      </c>
      <c r="AH79" s="10">
        <v>0</v>
      </c>
      <c r="AI79" s="10">
        <v>0</v>
      </c>
      <c r="AJ79" s="10">
        <v>0</v>
      </c>
      <c r="AK79" s="10">
        <v>0</v>
      </c>
      <c r="AL79" s="10">
        <v>0</v>
      </c>
      <c r="AM79" s="10">
        <v>0</v>
      </c>
      <c r="AN79" s="10">
        <v>0</v>
      </c>
      <c r="AO79" s="10">
        <v>0</v>
      </c>
      <c r="AP79" s="10">
        <v>0</v>
      </c>
    </row>
    <row r="80" spans="1:42" ht="192" x14ac:dyDescent="0.25">
      <c r="A80" s="34"/>
      <c r="B80" s="34"/>
      <c r="C80" s="34">
        <v>0</v>
      </c>
      <c r="D80" s="34">
        <v>0</v>
      </c>
      <c r="E80" s="74">
        <v>0</v>
      </c>
      <c r="F80" s="34">
        <v>0</v>
      </c>
      <c r="G80" s="34">
        <v>0</v>
      </c>
      <c r="H80" s="36">
        <v>0</v>
      </c>
      <c r="I80" s="39"/>
      <c r="J80" s="39"/>
      <c r="K80" s="36">
        <v>0</v>
      </c>
      <c r="L80" s="39"/>
      <c r="M80" s="39"/>
      <c r="N80" s="36">
        <f t="shared" si="2"/>
        <v>0</v>
      </c>
      <c r="O80" s="36">
        <f t="shared" si="2"/>
        <v>0</v>
      </c>
      <c r="P80" s="36">
        <f t="shared" si="2"/>
        <v>0</v>
      </c>
      <c r="Q80" s="36"/>
      <c r="R80" s="36"/>
      <c r="S80" s="36">
        <f t="shared" si="1"/>
        <v>0</v>
      </c>
      <c r="T80" s="37" t="s">
        <v>4515</v>
      </c>
      <c r="U80" s="37" t="s">
        <v>2689</v>
      </c>
      <c r="V80" s="37">
        <v>1</v>
      </c>
      <c r="W80" s="10"/>
      <c r="X80" s="10"/>
      <c r="Y80" s="10"/>
      <c r="Z80" s="10">
        <v>1</v>
      </c>
      <c r="AA80" s="34">
        <v>180</v>
      </c>
      <c r="AB80" s="10"/>
      <c r="AC80" s="10">
        <v>180</v>
      </c>
      <c r="AD80" s="10"/>
      <c r="AE80" s="10" t="s">
        <v>102</v>
      </c>
      <c r="AF80" s="10" t="s">
        <v>102</v>
      </c>
      <c r="AG80" s="10" t="s">
        <v>102</v>
      </c>
      <c r="AH80" s="10" t="s">
        <v>102</v>
      </c>
      <c r="AI80" s="10" t="s">
        <v>102</v>
      </c>
      <c r="AJ80" s="10" t="s">
        <v>102</v>
      </c>
      <c r="AK80" s="10" t="s">
        <v>102</v>
      </c>
      <c r="AL80" s="10">
        <v>0</v>
      </c>
      <c r="AM80" s="10">
        <v>0</v>
      </c>
      <c r="AN80" s="10">
        <v>0</v>
      </c>
      <c r="AO80" s="10">
        <v>0</v>
      </c>
      <c r="AP80" s="10">
        <v>0</v>
      </c>
    </row>
    <row r="81" spans="1:43" ht="144" x14ac:dyDescent="0.25">
      <c r="A81" s="34"/>
      <c r="B81" s="34"/>
      <c r="C81" s="34">
        <v>0</v>
      </c>
      <c r="D81" s="34">
        <v>0</v>
      </c>
      <c r="E81" s="74">
        <v>0</v>
      </c>
      <c r="F81" s="34">
        <v>0</v>
      </c>
      <c r="G81" s="34">
        <v>0</v>
      </c>
      <c r="H81" s="36">
        <v>0</v>
      </c>
      <c r="I81" s="39"/>
      <c r="J81" s="39"/>
      <c r="K81" s="36">
        <v>0</v>
      </c>
      <c r="L81" s="39"/>
      <c r="M81" s="39"/>
      <c r="N81" s="36">
        <f t="shared" si="2"/>
        <v>0</v>
      </c>
      <c r="O81" s="36">
        <f t="shared" si="2"/>
        <v>0</v>
      </c>
      <c r="P81" s="36">
        <f t="shared" si="2"/>
        <v>0</v>
      </c>
      <c r="Q81" s="36"/>
      <c r="R81" s="36"/>
      <c r="S81" s="36">
        <f t="shared" si="1"/>
        <v>0</v>
      </c>
      <c r="T81" s="37" t="s">
        <v>4517</v>
      </c>
      <c r="U81" s="37" t="s">
        <v>2689</v>
      </c>
      <c r="V81" s="37">
        <v>1</v>
      </c>
      <c r="W81" s="10"/>
      <c r="X81" s="10"/>
      <c r="Y81" s="10"/>
      <c r="Z81" s="10">
        <v>1</v>
      </c>
      <c r="AA81" s="34">
        <v>180</v>
      </c>
      <c r="AB81" s="10"/>
      <c r="AC81" s="10">
        <v>180</v>
      </c>
      <c r="AD81" s="10"/>
      <c r="AE81" s="10" t="s">
        <v>102</v>
      </c>
      <c r="AF81" s="10" t="s">
        <v>102</v>
      </c>
      <c r="AG81" s="10" t="s">
        <v>102</v>
      </c>
      <c r="AH81" s="10" t="s">
        <v>102</v>
      </c>
      <c r="AI81" s="10" t="s">
        <v>102</v>
      </c>
      <c r="AJ81" s="10" t="s">
        <v>102</v>
      </c>
      <c r="AK81" s="10">
        <v>0</v>
      </c>
      <c r="AL81" s="10">
        <v>0</v>
      </c>
      <c r="AM81" s="10">
        <v>0</v>
      </c>
      <c r="AN81" s="10">
        <v>0</v>
      </c>
      <c r="AO81" s="10">
        <v>0</v>
      </c>
      <c r="AP81" s="10">
        <v>0</v>
      </c>
    </row>
    <row r="82" spans="1:43" ht="108" x14ac:dyDescent="0.25">
      <c r="A82" s="34"/>
      <c r="B82" s="34"/>
      <c r="C82" s="34">
        <v>0</v>
      </c>
      <c r="D82" s="34">
        <v>0</v>
      </c>
      <c r="E82" s="74">
        <v>0</v>
      </c>
      <c r="F82" s="34">
        <v>0</v>
      </c>
      <c r="G82" s="34">
        <v>0</v>
      </c>
      <c r="H82" s="36">
        <v>0</v>
      </c>
      <c r="I82" s="39"/>
      <c r="J82" s="39"/>
      <c r="K82" s="36">
        <v>0</v>
      </c>
      <c r="L82" s="39"/>
      <c r="M82" s="39"/>
      <c r="N82" s="36">
        <f t="shared" si="2"/>
        <v>0</v>
      </c>
      <c r="O82" s="36">
        <f t="shared" si="2"/>
        <v>0</v>
      </c>
      <c r="P82" s="36">
        <f t="shared" si="2"/>
        <v>0</v>
      </c>
      <c r="Q82" s="36"/>
      <c r="R82" s="36"/>
      <c r="S82" s="36">
        <f t="shared" si="1"/>
        <v>0</v>
      </c>
      <c r="T82" s="37" t="s">
        <v>4518</v>
      </c>
      <c r="U82" s="37" t="s">
        <v>2689</v>
      </c>
      <c r="V82" s="37">
        <v>1</v>
      </c>
      <c r="W82" s="10"/>
      <c r="X82" s="10"/>
      <c r="Y82" s="10"/>
      <c r="Z82" s="10">
        <v>1</v>
      </c>
      <c r="AA82" s="34">
        <v>300</v>
      </c>
      <c r="AB82" s="10"/>
      <c r="AC82" s="10"/>
      <c r="AD82" s="10"/>
      <c r="AE82" s="10">
        <v>0</v>
      </c>
      <c r="AF82" s="10">
        <v>0</v>
      </c>
      <c r="AG82" s="10" t="s">
        <v>102</v>
      </c>
      <c r="AH82" s="10" t="s">
        <v>102</v>
      </c>
      <c r="AI82" s="10" t="s">
        <v>102</v>
      </c>
      <c r="AJ82" s="10" t="s">
        <v>102</v>
      </c>
      <c r="AK82" s="10" t="s">
        <v>102</v>
      </c>
      <c r="AL82" s="10" t="s">
        <v>102</v>
      </c>
      <c r="AM82" s="10" t="s">
        <v>102</v>
      </c>
      <c r="AN82" s="10" t="s">
        <v>102</v>
      </c>
      <c r="AO82" s="10" t="s">
        <v>102</v>
      </c>
      <c r="AP82" s="10" t="s">
        <v>102</v>
      </c>
    </row>
    <row r="83" spans="1:43" ht="72" x14ac:dyDescent="0.25">
      <c r="A83" s="34"/>
      <c r="B83" s="34"/>
      <c r="C83" s="34">
        <v>0</v>
      </c>
      <c r="D83" s="34">
        <v>0</v>
      </c>
      <c r="E83" s="74">
        <v>0</v>
      </c>
      <c r="F83" s="34">
        <v>0</v>
      </c>
      <c r="G83" s="34">
        <v>0</v>
      </c>
      <c r="H83" s="36">
        <v>0</v>
      </c>
      <c r="I83" s="39"/>
      <c r="J83" s="39"/>
      <c r="K83" s="36">
        <v>0</v>
      </c>
      <c r="L83" s="39"/>
      <c r="M83" s="39"/>
      <c r="N83" s="36">
        <f t="shared" si="2"/>
        <v>0</v>
      </c>
      <c r="O83" s="36">
        <f t="shared" si="2"/>
        <v>0</v>
      </c>
      <c r="P83" s="36">
        <f t="shared" si="2"/>
        <v>0</v>
      </c>
      <c r="Q83" s="36"/>
      <c r="R83" s="36"/>
      <c r="S83" s="36">
        <f t="shared" si="1"/>
        <v>0</v>
      </c>
      <c r="T83" s="37" t="s">
        <v>4519</v>
      </c>
      <c r="U83" s="37" t="s">
        <v>2689</v>
      </c>
      <c r="V83" s="37">
        <v>1</v>
      </c>
      <c r="W83" s="10"/>
      <c r="X83" s="10"/>
      <c r="Y83" s="10"/>
      <c r="Z83" s="10">
        <v>0.5</v>
      </c>
      <c r="AA83" s="34">
        <v>300</v>
      </c>
      <c r="AB83" s="10"/>
      <c r="AC83" s="10">
        <v>180</v>
      </c>
      <c r="AD83" s="10" t="s">
        <v>4520</v>
      </c>
      <c r="AE83" s="10">
        <v>0</v>
      </c>
      <c r="AF83" s="10">
        <v>0</v>
      </c>
      <c r="AG83" s="10" t="s">
        <v>102</v>
      </c>
      <c r="AH83" s="10" t="s">
        <v>102</v>
      </c>
      <c r="AI83" s="10" t="s">
        <v>102</v>
      </c>
      <c r="AJ83" s="10" t="s">
        <v>102</v>
      </c>
      <c r="AK83" s="10" t="s">
        <v>102</v>
      </c>
      <c r="AL83" s="10" t="s">
        <v>102</v>
      </c>
      <c r="AM83" s="10" t="s">
        <v>102</v>
      </c>
      <c r="AN83" s="10" t="s">
        <v>102</v>
      </c>
      <c r="AO83" s="10" t="s">
        <v>102</v>
      </c>
      <c r="AP83" s="10" t="s">
        <v>102</v>
      </c>
    </row>
    <row r="84" spans="1:43" ht="165" x14ac:dyDescent="0.25">
      <c r="A84" s="34"/>
      <c r="B84" s="34"/>
      <c r="C84" s="34">
        <v>0</v>
      </c>
      <c r="D84" s="34">
        <v>0</v>
      </c>
      <c r="E84" s="74">
        <v>0</v>
      </c>
      <c r="F84" s="34">
        <v>0</v>
      </c>
      <c r="G84" s="34">
        <v>0</v>
      </c>
      <c r="H84" s="36">
        <v>0</v>
      </c>
      <c r="I84" s="39"/>
      <c r="J84" s="39"/>
      <c r="K84" s="36">
        <v>0</v>
      </c>
      <c r="L84" s="39"/>
      <c r="M84" s="39"/>
      <c r="N84" s="36">
        <f t="shared" si="2"/>
        <v>0</v>
      </c>
      <c r="O84" s="36">
        <f t="shared" si="2"/>
        <v>0</v>
      </c>
      <c r="P84" s="36">
        <f t="shared" si="2"/>
        <v>0</v>
      </c>
      <c r="Q84" s="36"/>
      <c r="R84" s="36"/>
      <c r="S84" s="36">
        <f t="shared" si="1"/>
        <v>0</v>
      </c>
      <c r="T84" s="37" t="s">
        <v>4521</v>
      </c>
      <c r="U84" s="37" t="s">
        <v>2689</v>
      </c>
      <c r="V84" s="37">
        <v>1</v>
      </c>
      <c r="W84" s="10"/>
      <c r="X84" s="10"/>
      <c r="Y84" s="10"/>
      <c r="Z84" s="10">
        <v>1</v>
      </c>
      <c r="AA84" s="34">
        <v>300</v>
      </c>
      <c r="AB84" s="10"/>
      <c r="AC84" s="10">
        <v>300</v>
      </c>
      <c r="AD84" s="10" t="s">
        <v>4522</v>
      </c>
      <c r="AE84" s="10">
        <v>0</v>
      </c>
      <c r="AF84" s="10">
        <v>0</v>
      </c>
      <c r="AG84" s="10" t="s">
        <v>102</v>
      </c>
      <c r="AH84" s="10" t="s">
        <v>102</v>
      </c>
      <c r="AI84" s="10" t="s">
        <v>102</v>
      </c>
      <c r="AJ84" s="10" t="s">
        <v>102</v>
      </c>
      <c r="AK84" s="10" t="s">
        <v>102</v>
      </c>
      <c r="AL84" s="10" t="s">
        <v>102</v>
      </c>
      <c r="AM84" s="10" t="s">
        <v>102</v>
      </c>
      <c r="AN84" s="10" t="s">
        <v>102</v>
      </c>
      <c r="AO84" s="10" t="s">
        <v>102</v>
      </c>
      <c r="AP84" s="10" t="s">
        <v>102</v>
      </c>
    </row>
    <row r="85" spans="1:43" ht="102.75" x14ac:dyDescent="0.25">
      <c r="A85" s="578" t="s">
        <v>4329</v>
      </c>
      <c r="B85" s="578" t="s">
        <v>4330</v>
      </c>
      <c r="C85" s="34" t="s">
        <v>4353</v>
      </c>
      <c r="D85" s="34">
        <v>264220000</v>
      </c>
      <c r="E85" s="74" t="s">
        <v>4355</v>
      </c>
      <c r="F85" s="34" t="s">
        <v>4356</v>
      </c>
      <c r="G85" s="34" t="s">
        <v>4357</v>
      </c>
      <c r="H85" s="36">
        <v>500000000</v>
      </c>
      <c r="I85" s="36">
        <v>384200000</v>
      </c>
      <c r="J85" s="39">
        <v>384200000</v>
      </c>
      <c r="K85" s="36">
        <v>0</v>
      </c>
      <c r="L85" s="39"/>
      <c r="M85" s="39"/>
      <c r="N85" s="36">
        <f t="shared" si="2"/>
        <v>500000000</v>
      </c>
      <c r="O85" s="36">
        <f t="shared" si="2"/>
        <v>384200000</v>
      </c>
      <c r="P85" s="36">
        <f t="shared" si="2"/>
        <v>384200000</v>
      </c>
      <c r="Q85" s="36">
        <v>361575000</v>
      </c>
      <c r="R85" s="36"/>
      <c r="S85" s="36">
        <f t="shared" si="1"/>
        <v>361575000</v>
      </c>
      <c r="T85" s="37">
        <v>0</v>
      </c>
      <c r="U85" s="37">
        <v>0</v>
      </c>
      <c r="V85" s="37">
        <v>0</v>
      </c>
      <c r="W85" s="10"/>
      <c r="X85" s="10"/>
      <c r="Y85" s="10"/>
      <c r="Z85" s="10"/>
      <c r="AA85" s="34">
        <v>0</v>
      </c>
      <c r="AB85" s="10"/>
      <c r="AC85" s="10"/>
      <c r="AD85" s="10"/>
      <c r="AE85" s="10">
        <v>0</v>
      </c>
      <c r="AF85" s="10">
        <v>0</v>
      </c>
      <c r="AG85" s="10">
        <v>0</v>
      </c>
      <c r="AH85" s="10">
        <v>0</v>
      </c>
      <c r="AI85" s="10">
        <v>0</v>
      </c>
      <c r="AJ85" s="10">
        <v>0</v>
      </c>
      <c r="AK85" s="10">
        <v>0</v>
      </c>
      <c r="AL85" s="10">
        <v>0</v>
      </c>
      <c r="AM85" s="10">
        <v>0</v>
      </c>
      <c r="AN85" s="10">
        <v>0</v>
      </c>
      <c r="AO85" s="10">
        <v>0</v>
      </c>
      <c r="AP85" s="10">
        <v>0</v>
      </c>
    </row>
    <row r="86" spans="1:43" ht="84" x14ac:dyDescent="0.25">
      <c r="A86" s="34"/>
      <c r="B86" s="34"/>
      <c r="C86" s="34">
        <v>0</v>
      </c>
      <c r="D86" s="34">
        <v>0</v>
      </c>
      <c r="E86" s="74">
        <v>0</v>
      </c>
      <c r="F86" s="34">
        <v>0</v>
      </c>
      <c r="G86" s="34">
        <v>0</v>
      </c>
      <c r="H86" s="36">
        <v>0</v>
      </c>
      <c r="I86" s="39"/>
      <c r="J86" s="39"/>
      <c r="K86" s="36">
        <v>0</v>
      </c>
      <c r="L86" s="39"/>
      <c r="M86" s="39"/>
      <c r="N86" s="36">
        <f t="shared" si="2"/>
        <v>0</v>
      </c>
      <c r="O86" s="36">
        <f t="shared" si="2"/>
        <v>0</v>
      </c>
      <c r="P86" s="36">
        <f t="shared" si="2"/>
        <v>0</v>
      </c>
      <c r="Q86" s="36"/>
      <c r="R86" s="36"/>
      <c r="S86" s="36">
        <f t="shared" si="1"/>
        <v>0</v>
      </c>
      <c r="T86" s="37" t="s">
        <v>4523</v>
      </c>
      <c r="U86" s="37" t="s">
        <v>222</v>
      </c>
      <c r="V86" s="37">
        <v>100</v>
      </c>
      <c r="W86" s="10"/>
      <c r="X86" s="10"/>
      <c r="Y86" s="10"/>
      <c r="Z86" s="126">
        <v>1</v>
      </c>
      <c r="AA86" s="34">
        <v>365</v>
      </c>
      <c r="AB86" s="10"/>
      <c r="AC86" s="10">
        <v>365</v>
      </c>
      <c r="AD86" s="10" t="s">
        <v>1985</v>
      </c>
      <c r="AE86" s="10" t="s">
        <v>102</v>
      </c>
      <c r="AF86" s="10" t="s">
        <v>102</v>
      </c>
      <c r="AG86" s="10" t="s">
        <v>102</v>
      </c>
      <c r="AH86" s="10" t="s">
        <v>102</v>
      </c>
      <c r="AI86" s="10" t="s">
        <v>102</v>
      </c>
      <c r="AJ86" s="10" t="s">
        <v>102</v>
      </c>
      <c r="AK86" s="10" t="s">
        <v>102</v>
      </c>
      <c r="AL86" s="10" t="s">
        <v>102</v>
      </c>
      <c r="AM86" s="10" t="s">
        <v>102</v>
      </c>
      <c r="AN86" s="10" t="s">
        <v>102</v>
      </c>
      <c r="AO86" s="10" t="s">
        <v>102</v>
      </c>
      <c r="AP86" s="10" t="s">
        <v>102</v>
      </c>
    </row>
    <row r="87" spans="1:43" ht="60" x14ac:dyDescent="0.25">
      <c r="A87" s="34"/>
      <c r="B87" s="34"/>
      <c r="C87" s="34">
        <v>0</v>
      </c>
      <c r="D87" s="34">
        <v>0</v>
      </c>
      <c r="E87" s="74">
        <v>0</v>
      </c>
      <c r="F87" s="34">
        <v>0</v>
      </c>
      <c r="G87" s="34">
        <v>0</v>
      </c>
      <c r="H87" s="36">
        <v>0</v>
      </c>
      <c r="I87" s="39"/>
      <c r="J87" s="39"/>
      <c r="K87" s="36">
        <v>0</v>
      </c>
      <c r="L87" s="39"/>
      <c r="M87" s="39"/>
      <c r="N87" s="36">
        <f t="shared" si="2"/>
        <v>0</v>
      </c>
      <c r="O87" s="36">
        <f t="shared" si="2"/>
        <v>0</v>
      </c>
      <c r="P87" s="36">
        <f t="shared" si="2"/>
        <v>0</v>
      </c>
      <c r="Q87" s="36"/>
      <c r="R87" s="36"/>
      <c r="S87" s="36">
        <f t="shared" si="1"/>
        <v>0</v>
      </c>
      <c r="T87" s="37" t="s">
        <v>4524</v>
      </c>
      <c r="U87" s="37" t="s">
        <v>2689</v>
      </c>
      <c r="V87" s="37">
        <v>1</v>
      </c>
      <c r="W87" s="10"/>
      <c r="X87" s="10"/>
      <c r="Y87" s="10"/>
      <c r="Z87" s="10">
        <v>1</v>
      </c>
      <c r="AA87" s="34">
        <v>365</v>
      </c>
      <c r="AB87" s="10"/>
      <c r="AC87" s="10">
        <v>365</v>
      </c>
      <c r="AD87" s="10" t="s">
        <v>1985</v>
      </c>
      <c r="AE87" s="10" t="s">
        <v>102</v>
      </c>
      <c r="AF87" s="10" t="s">
        <v>102</v>
      </c>
      <c r="AG87" s="10" t="s">
        <v>102</v>
      </c>
      <c r="AH87" s="10" t="s">
        <v>102</v>
      </c>
      <c r="AI87" s="10" t="s">
        <v>102</v>
      </c>
      <c r="AJ87" s="10" t="s">
        <v>102</v>
      </c>
      <c r="AK87" s="10" t="s">
        <v>102</v>
      </c>
      <c r="AL87" s="10" t="s">
        <v>102</v>
      </c>
      <c r="AM87" s="10" t="s">
        <v>102</v>
      </c>
      <c r="AN87" s="10" t="s">
        <v>102</v>
      </c>
      <c r="AO87" s="10" t="s">
        <v>102</v>
      </c>
      <c r="AP87" s="10" t="s">
        <v>102</v>
      </c>
    </row>
    <row r="88" spans="1:43" ht="270" x14ac:dyDescent="0.25">
      <c r="A88" s="34"/>
      <c r="B88" s="34"/>
      <c r="C88" s="34">
        <v>0</v>
      </c>
      <c r="D88" s="34">
        <v>0</v>
      </c>
      <c r="E88" s="74">
        <v>0</v>
      </c>
      <c r="F88" s="34">
        <v>0</v>
      </c>
      <c r="G88" s="34">
        <v>0</v>
      </c>
      <c r="H88" s="36">
        <v>0</v>
      </c>
      <c r="I88" s="39"/>
      <c r="J88" s="39"/>
      <c r="K88" s="36">
        <v>0</v>
      </c>
      <c r="L88" s="39"/>
      <c r="M88" s="39"/>
      <c r="N88" s="36">
        <f t="shared" si="2"/>
        <v>0</v>
      </c>
      <c r="O88" s="36">
        <f t="shared" si="2"/>
        <v>0</v>
      </c>
      <c r="P88" s="36">
        <f t="shared" si="2"/>
        <v>0</v>
      </c>
      <c r="Q88" s="36"/>
      <c r="R88" s="36"/>
      <c r="S88" s="36">
        <f t="shared" si="1"/>
        <v>0</v>
      </c>
      <c r="T88" s="37" t="s">
        <v>4525</v>
      </c>
      <c r="U88" s="37" t="s">
        <v>2689</v>
      </c>
      <c r="V88" s="37">
        <v>1</v>
      </c>
      <c r="W88" s="10"/>
      <c r="X88" s="10"/>
      <c r="Y88" s="10"/>
      <c r="Z88" s="10">
        <v>3</v>
      </c>
      <c r="AA88" s="34">
        <v>270</v>
      </c>
      <c r="AB88" s="10"/>
      <c r="AC88" s="10">
        <v>270</v>
      </c>
      <c r="AD88" s="18" t="s">
        <v>4526</v>
      </c>
      <c r="AE88" s="10">
        <v>0</v>
      </c>
      <c r="AF88" s="10" t="s">
        <v>102</v>
      </c>
      <c r="AG88" s="10" t="s">
        <v>102</v>
      </c>
      <c r="AH88" s="10" t="s">
        <v>102</v>
      </c>
      <c r="AI88" s="10" t="s">
        <v>102</v>
      </c>
      <c r="AJ88" s="10" t="s">
        <v>102</v>
      </c>
      <c r="AK88" s="10" t="s">
        <v>102</v>
      </c>
      <c r="AL88" s="10" t="s">
        <v>102</v>
      </c>
      <c r="AM88" s="10" t="s">
        <v>102</v>
      </c>
      <c r="AN88" s="10" t="s">
        <v>102</v>
      </c>
      <c r="AO88" s="10">
        <v>0</v>
      </c>
      <c r="AP88" s="10">
        <v>0</v>
      </c>
    </row>
    <row r="89" spans="1:43" ht="165" x14ac:dyDescent="0.25">
      <c r="A89" s="578" t="s">
        <v>1788</v>
      </c>
      <c r="B89" s="578" t="s">
        <v>4363</v>
      </c>
      <c r="C89" s="34" t="s">
        <v>4364</v>
      </c>
      <c r="D89" s="34">
        <v>272110000</v>
      </c>
      <c r="E89" s="74" t="s">
        <v>4366</v>
      </c>
      <c r="F89" s="34" t="s">
        <v>4367</v>
      </c>
      <c r="G89" s="34" t="s">
        <v>4368</v>
      </c>
      <c r="H89" s="36">
        <v>2350000000</v>
      </c>
      <c r="I89" s="39">
        <v>-2350000000</v>
      </c>
      <c r="J89" s="39">
        <v>1000000000</v>
      </c>
      <c r="K89" s="36">
        <v>0</v>
      </c>
      <c r="L89" s="39"/>
      <c r="M89" s="39">
        <v>15924553280</v>
      </c>
      <c r="N89" s="36">
        <v>2350000000</v>
      </c>
      <c r="O89" s="36">
        <v>-2350000000</v>
      </c>
      <c r="P89" s="36"/>
      <c r="Q89" s="36">
        <v>1000000000</v>
      </c>
      <c r="R89" s="36"/>
      <c r="S89" s="36">
        <v>1000000000</v>
      </c>
      <c r="T89" s="37">
        <v>0</v>
      </c>
      <c r="U89" s="37">
        <v>0</v>
      </c>
      <c r="V89" s="37">
        <v>0</v>
      </c>
      <c r="W89" s="10"/>
      <c r="X89" s="10"/>
      <c r="Y89" s="10"/>
      <c r="Z89" s="10"/>
      <c r="AA89" s="34">
        <v>360</v>
      </c>
      <c r="AB89" s="10">
        <v>180</v>
      </c>
      <c r="AC89" s="10">
        <v>180</v>
      </c>
      <c r="AD89" s="10" t="s">
        <v>4527</v>
      </c>
      <c r="AE89" s="10">
        <v>0</v>
      </c>
      <c r="AF89" s="10" t="s">
        <v>102</v>
      </c>
      <c r="AG89" s="10" t="s">
        <v>102</v>
      </c>
      <c r="AH89" s="10" t="s">
        <v>102</v>
      </c>
      <c r="AI89" s="10" t="s">
        <v>102</v>
      </c>
      <c r="AJ89" s="10" t="s">
        <v>102</v>
      </c>
      <c r="AK89" s="10" t="s">
        <v>102</v>
      </c>
      <c r="AL89" s="10" t="s">
        <v>102</v>
      </c>
      <c r="AM89" s="10" t="s">
        <v>102</v>
      </c>
      <c r="AN89" s="10" t="s">
        <v>102</v>
      </c>
      <c r="AO89" s="10" t="s">
        <v>102</v>
      </c>
      <c r="AP89" s="10" t="s">
        <v>102</v>
      </c>
      <c r="AQ89" s="27"/>
    </row>
    <row r="90" spans="1:43" ht="60" x14ac:dyDescent="0.25">
      <c r="A90" s="34"/>
      <c r="B90" s="34"/>
      <c r="C90" s="34">
        <v>0</v>
      </c>
      <c r="D90" s="34">
        <v>0</v>
      </c>
      <c r="E90" s="74">
        <v>0</v>
      </c>
      <c r="F90" s="34">
        <v>0</v>
      </c>
      <c r="G90" s="34">
        <v>0</v>
      </c>
      <c r="H90" s="36">
        <v>0</v>
      </c>
      <c r="I90" s="39"/>
      <c r="J90" s="39"/>
      <c r="K90" s="36">
        <v>0</v>
      </c>
      <c r="L90" s="39"/>
      <c r="M90" s="39"/>
      <c r="N90" s="36">
        <v>0</v>
      </c>
      <c r="O90" s="36">
        <v>0</v>
      </c>
      <c r="P90" s="36">
        <v>0</v>
      </c>
      <c r="Q90" s="36"/>
      <c r="R90" s="36"/>
      <c r="S90" s="36">
        <v>0</v>
      </c>
      <c r="T90" s="37" t="s">
        <v>4528</v>
      </c>
      <c r="U90" s="37" t="s">
        <v>2689</v>
      </c>
      <c r="V90" s="37">
        <v>1</v>
      </c>
      <c r="W90" s="10"/>
      <c r="X90" s="10"/>
      <c r="Y90" s="10"/>
      <c r="Z90" s="10">
        <v>1</v>
      </c>
      <c r="AA90" s="34">
        <v>30</v>
      </c>
      <c r="AB90" s="10"/>
      <c r="AC90" s="10">
        <v>30</v>
      </c>
      <c r="AD90" s="10"/>
      <c r="AE90" s="10">
        <v>0</v>
      </c>
      <c r="AF90" s="10">
        <v>0</v>
      </c>
      <c r="AG90" s="10">
        <v>0</v>
      </c>
      <c r="AH90" s="10">
        <v>0</v>
      </c>
      <c r="AI90" s="10">
        <v>0</v>
      </c>
      <c r="AJ90" s="10">
        <v>0</v>
      </c>
      <c r="AK90" s="10">
        <v>0</v>
      </c>
      <c r="AL90" s="10">
        <v>0</v>
      </c>
      <c r="AM90" s="10">
        <v>0</v>
      </c>
      <c r="AN90" s="10">
        <v>0</v>
      </c>
      <c r="AO90" s="10" t="s">
        <v>218</v>
      </c>
      <c r="AP90" s="10">
        <v>0</v>
      </c>
      <c r="AQ90" s="27"/>
    </row>
    <row r="91" spans="1:43" ht="84" x14ac:dyDescent="0.25">
      <c r="A91" s="578" t="s">
        <v>1788</v>
      </c>
      <c r="B91" s="578" t="s">
        <v>4363</v>
      </c>
      <c r="C91" s="34" t="s">
        <v>4364</v>
      </c>
      <c r="D91" s="34">
        <v>272120000</v>
      </c>
      <c r="E91" s="74" t="s">
        <v>4372</v>
      </c>
      <c r="F91" s="34" t="s">
        <v>4373</v>
      </c>
      <c r="G91" s="34" t="s">
        <v>4374</v>
      </c>
      <c r="H91" s="36">
        <v>100000000</v>
      </c>
      <c r="I91" s="39"/>
      <c r="J91" s="39">
        <v>0</v>
      </c>
      <c r="K91" s="36">
        <v>0</v>
      </c>
      <c r="L91" s="39"/>
      <c r="M91" s="39"/>
      <c r="N91" s="36">
        <v>100000000</v>
      </c>
      <c r="O91" s="36">
        <v>0</v>
      </c>
      <c r="P91" s="36">
        <v>0</v>
      </c>
      <c r="Q91" s="36">
        <v>0</v>
      </c>
      <c r="R91" s="36"/>
      <c r="S91" s="36">
        <v>0</v>
      </c>
      <c r="T91" s="37">
        <v>0</v>
      </c>
      <c r="U91" s="37">
        <v>0</v>
      </c>
      <c r="V91" s="37">
        <v>0</v>
      </c>
      <c r="W91" s="10"/>
      <c r="X91" s="10"/>
      <c r="Y91" s="10"/>
      <c r="Z91" s="10"/>
      <c r="AA91" s="34">
        <v>0</v>
      </c>
      <c r="AB91" s="10">
        <v>0</v>
      </c>
      <c r="AC91" s="10">
        <v>0</v>
      </c>
      <c r="AD91" s="10"/>
      <c r="AE91" s="10">
        <v>0</v>
      </c>
      <c r="AF91" s="10">
        <v>0</v>
      </c>
      <c r="AG91" s="10">
        <v>0</v>
      </c>
      <c r="AH91" s="10">
        <v>0</v>
      </c>
      <c r="AI91" s="10">
        <v>0</v>
      </c>
      <c r="AJ91" s="10">
        <v>0</v>
      </c>
      <c r="AK91" s="10">
        <v>0</v>
      </c>
      <c r="AL91" s="10">
        <v>0</v>
      </c>
      <c r="AM91" s="10">
        <v>0</v>
      </c>
      <c r="AN91" s="10">
        <v>0</v>
      </c>
      <c r="AO91" s="10">
        <v>0</v>
      </c>
      <c r="AP91" s="10">
        <v>0</v>
      </c>
    </row>
    <row r="92" spans="1:43" ht="72" x14ac:dyDescent="0.25">
      <c r="A92" s="34"/>
      <c r="B92" s="34"/>
      <c r="C92" s="34">
        <v>0</v>
      </c>
      <c r="D92" s="34">
        <v>0</v>
      </c>
      <c r="E92" s="74">
        <v>0</v>
      </c>
      <c r="F92" s="34">
        <v>0</v>
      </c>
      <c r="G92" s="34">
        <v>0</v>
      </c>
      <c r="H92" s="36">
        <v>0</v>
      </c>
      <c r="I92" s="39"/>
      <c r="J92" s="39"/>
      <c r="K92" s="36">
        <v>0</v>
      </c>
      <c r="L92" s="39"/>
      <c r="M92" s="39"/>
      <c r="N92" s="36">
        <v>0</v>
      </c>
      <c r="O92" s="36">
        <v>0</v>
      </c>
      <c r="P92" s="36">
        <v>0</v>
      </c>
      <c r="Q92" s="36"/>
      <c r="R92" s="36"/>
      <c r="S92" s="36">
        <v>0</v>
      </c>
      <c r="T92" s="37" t="s">
        <v>4529</v>
      </c>
      <c r="U92" s="37" t="s">
        <v>2689</v>
      </c>
      <c r="V92" s="37">
        <v>1</v>
      </c>
      <c r="W92" s="10"/>
      <c r="X92" s="10"/>
      <c r="Y92" s="10"/>
      <c r="Z92" s="10">
        <v>0</v>
      </c>
      <c r="AA92" s="34">
        <v>180</v>
      </c>
      <c r="AB92" s="10">
        <v>0</v>
      </c>
      <c r="AC92" s="10">
        <v>0</v>
      </c>
      <c r="AD92" s="10" t="s">
        <v>4530</v>
      </c>
      <c r="AE92" s="10">
        <v>0</v>
      </c>
      <c r="AF92" s="10">
        <v>0</v>
      </c>
      <c r="AG92" s="10">
        <v>0</v>
      </c>
      <c r="AH92" s="10">
        <v>0</v>
      </c>
      <c r="AI92" s="10" t="s">
        <v>218</v>
      </c>
      <c r="AJ92" s="10" t="s">
        <v>218</v>
      </c>
      <c r="AK92" s="10" t="s">
        <v>218</v>
      </c>
      <c r="AL92" s="10" t="s">
        <v>218</v>
      </c>
      <c r="AM92" s="10" t="s">
        <v>218</v>
      </c>
      <c r="AN92" s="10" t="s">
        <v>218</v>
      </c>
      <c r="AO92" s="10">
        <v>0</v>
      </c>
      <c r="AP92" s="10">
        <v>0</v>
      </c>
    </row>
    <row r="93" spans="1:43" ht="180" x14ac:dyDescent="0.25">
      <c r="A93" s="578" t="s">
        <v>1788</v>
      </c>
      <c r="B93" s="578" t="s">
        <v>4363</v>
      </c>
      <c r="C93" s="34" t="s">
        <v>4379</v>
      </c>
      <c r="D93" s="34">
        <v>272210000</v>
      </c>
      <c r="E93" s="74" t="s">
        <v>2012</v>
      </c>
      <c r="F93" s="34" t="s">
        <v>4381</v>
      </c>
      <c r="G93" s="34" t="s">
        <v>4382</v>
      </c>
      <c r="H93" s="36">
        <v>100000000</v>
      </c>
      <c r="I93" s="39"/>
      <c r="J93" s="39">
        <v>0</v>
      </c>
      <c r="K93" s="36">
        <v>0</v>
      </c>
      <c r="L93" s="39">
        <v>14659090.909090908</v>
      </c>
      <c r="M93" s="39">
        <v>242560909.09090909</v>
      </c>
      <c r="N93" s="36">
        <v>100000000</v>
      </c>
      <c r="O93" s="36">
        <v>14659090.909090908</v>
      </c>
      <c r="P93" s="36">
        <v>242560909.09090909</v>
      </c>
      <c r="Q93" s="36">
        <v>0</v>
      </c>
      <c r="R93" s="36">
        <v>257220000</v>
      </c>
      <c r="S93" s="36">
        <v>257220000</v>
      </c>
      <c r="T93" s="37">
        <v>0</v>
      </c>
      <c r="U93" s="37">
        <v>0</v>
      </c>
      <c r="V93" s="37">
        <v>0</v>
      </c>
      <c r="W93" s="10"/>
      <c r="X93" s="10"/>
      <c r="Y93" s="10"/>
      <c r="Z93" s="10"/>
      <c r="AA93" s="34">
        <v>0</v>
      </c>
      <c r="AB93" s="10"/>
      <c r="AC93" s="10"/>
      <c r="AD93" s="10" t="s">
        <v>4531</v>
      </c>
      <c r="AE93" s="10">
        <v>0</v>
      </c>
      <c r="AF93" s="10">
        <v>0</v>
      </c>
      <c r="AG93" s="10">
        <v>0</v>
      </c>
      <c r="AH93" s="10">
        <v>0</v>
      </c>
      <c r="AI93" s="10">
        <v>0</v>
      </c>
      <c r="AJ93" s="10">
        <v>0</v>
      </c>
      <c r="AK93" s="10">
        <v>0</v>
      </c>
      <c r="AL93" s="10">
        <v>0</v>
      </c>
      <c r="AM93" s="10">
        <v>0</v>
      </c>
      <c r="AN93" s="10">
        <v>0</v>
      </c>
      <c r="AO93" s="10">
        <v>0</v>
      </c>
      <c r="AP93" s="10">
        <v>0</v>
      </c>
    </row>
    <row r="94" spans="1:43" ht="48" x14ac:dyDescent="0.25">
      <c r="A94" s="34"/>
      <c r="B94" s="34"/>
      <c r="C94" s="34">
        <v>0</v>
      </c>
      <c r="D94" s="34">
        <v>0</v>
      </c>
      <c r="E94" s="74">
        <v>0</v>
      </c>
      <c r="F94" s="34">
        <v>0</v>
      </c>
      <c r="G94" s="34">
        <v>0</v>
      </c>
      <c r="H94" s="36">
        <v>0</v>
      </c>
      <c r="I94" s="39"/>
      <c r="J94" s="39"/>
      <c r="K94" s="36">
        <v>0</v>
      </c>
      <c r="L94" s="39"/>
      <c r="M94" s="39"/>
      <c r="N94" s="36">
        <v>0</v>
      </c>
      <c r="O94" s="36">
        <v>0</v>
      </c>
      <c r="P94" s="36">
        <v>0</v>
      </c>
      <c r="Q94" s="36"/>
      <c r="R94" s="36"/>
      <c r="S94" s="36">
        <v>0</v>
      </c>
      <c r="T94" s="37" t="s">
        <v>4532</v>
      </c>
      <c r="U94" s="37" t="s">
        <v>2689</v>
      </c>
      <c r="V94" s="37">
        <v>1</v>
      </c>
      <c r="W94" s="10"/>
      <c r="X94" s="10"/>
      <c r="Y94" s="10">
        <v>0.8</v>
      </c>
      <c r="Z94" s="10">
        <v>0.8</v>
      </c>
      <c r="AA94" s="34">
        <v>95</v>
      </c>
      <c r="AB94" s="10"/>
      <c r="AC94" s="10">
        <v>360</v>
      </c>
      <c r="AD94" s="10"/>
      <c r="AE94" s="10">
        <v>0</v>
      </c>
      <c r="AF94" s="10">
        <v>0</v>
      </c>
      <c r="AG94" s="10">
        <v>0</v>
      </c>
      <c r="AH94" s="10" t="s">
        <v>218</v>
      </c>
      <c r="AI94" s="10" t="s">
        <v>218</v>
      </c>
      <c r="AJ94" s="10" t="s">
        <v>218</v>
      </c>
      <c r="AK94" s="10" t="s">
        <v>218</v>
      </c>
      <c r="AL94" s="10" t="s">
        <v>218</v>
      </c>
      <c r="AM94" s="10" t="s">
        <v>218</v>
      </c>
      <c r="AN94" s="10">
        <v>0</v>
      </c>
      <c r="AO94" s="10">
        <v>0</v>
      </c>
      <c r="AP94" s="10">
        <v>0</v>
      </c>
    </row>
    <row r="95" spans="1:43" ht="409.5" x14ac:dyDescent="0.25">
      <c r="A95" s="578" t="s">
        <v>1788</v>
      </c>
      <c r="B95" s="578" t="s">
        <v>4363</v>
      </c>
      <c r="C95" s="34" t="s">
        <v>4385</v>
      </c>
      <c r="D95" s="34">
        <v>272410000</v>
      </c>
      <c r="E95" s="74" t="s">
        <v>4387</v>
      </c>
      <c r="F95" s="34" t="s">
        <v>4388</v>
      </c>
      <c r="G95" s="34" t="s">
        <v>4389</v>
      </c>
      <c r="H95" s="36">
        <v>200000000</v>
      </c>
      <c r="I95" s="39"/>
      <c r="J95" s="39">
        <v>15600000</v>
      </c>
      <c r="K95" s="36">
        <v>0</v>
      </c>
      <c r="L95" s="39"/>
      <c r="M95" s="39"/>
      <c r="N95" s="36">
        <v>200000000</v>
      </c>
      <c r="O95" s="36">
        <v>0</v>
      </c>
      <c r="P95" s="36">
        <v>15600000</v>
      </c>
      <c r="Q95" s="36">
        <v>12102460</v>
      </c>
      <c r="R95" s="36"/>
      <c r="S95" s="36">
        <v>12102460</v>
      </c>
      <c r="T95" s="37">
        <v>0</v>
      </c>
      <c r="U95" s="37">
        <v>0</v>
      </c>
      <c r="V95" s="37">
        <v>0</v>
      </c>
      <c r="W95" s="10"/>
      <c r="X95" s="10"/>
      <c r="Y95" s="10"/>
      <c r="Z95" s="10"/>
      <c r="AA95" s="34">
        <v>0</v>
      </c>
      <c r="AB95" s="10"/>
      <c r="AC95" s="10">
        <v>30</v>
      </c>
      <c r="AD95" s="18" t="s">
        <v>4533</v>
      </c>
      <c r="AE95" s="10">
        <v>0</v>
      </c>
      <c r="AF95" s="10">
        <v>0</v>
      </c>
      <c r="AG95" s="10">
        <v>0</v>
      </c>
      <c r="AH95" s="10">
        <v>0</v>
      </c>
      <c r="AI95" s="10">
        <v>0</v>
      </c>
      <c r="AJ95" s="10">
        <v>0</v>
      </c>
      <c r="AK95" s="10">
        <v>0</v>
      </c>
      <c r="AL95" s="10">
        <v>0</v>
      </c>
      <c r="AM95" s="10">
        <v>0</v>
      </c>
      <c r="AN95" s="10">
        <v>0</v>
      </c>
      <c r="AO95" s="10">
        <v>0</v>
      </c>
      <c r="AP95" s="10">
        <v>0</v>
      </c>
    </row>
    <row r="96" spans="1:43" ht="48" x14ac:dyDescent="0.25">
      <c r="A96" s="34"/>
      <c r="B96" s="34"/>
      <c r="C96" s="34">
        <v>0</v>
      </c>
      <c r="D96" s="34">
        <v>0</v>
      </c>
      <c r="E96" s="74">
        <v>0</v>
      </c>
      <c r="F96" s="34">
        <v>0</v>
      </c>
      <c r="G96" s="34">
        <v>0</v>
      </c>
      <c r="H96" s="36">
        <v>0</v>
      </c>
      <c r="I96" s="39"/>
      <c r="J96" s="39"/>
      <c r="K96" s="36">
        <v>0</v>
      </c>
      <c r="L96" s="39"/>
      <c r="M96" s="39"/>
      <c r="N96" s="36">
        <v>0</v>
      </c>
      <c r="O96" s="36">
        <v>0</v>
      </c>
      <c r="P96" s="36">
        <v>0</v>
      </c>
      <c r="Q96" s="36"/>
      <c r="R96" s="36"/>
      <c r="S96" s="36">
        <v>0</v>
      </c>
      <c r="T96" s="37" t="s">
        <v>4534</v>
      </c>
      <c r="U96" s="37" t="s">
        <v>2689</v>
      </c>
      <c r="V96" s="37">
        <v>1</v>
      </c>
      <c r="W96" s="10"/>
      <c r="X96" s="10"/>
      <c r="Y96" s="10"/>
      <c r="Z96" s="10"/>
      <c r="AA96" s="34">
        <v>30</v>
      </c>
      <c r="AB96" s="10"/>
      <c r="AC96" s="10"/>
      <c r="AD96" s="10"/>
      <c r="AE96" s="10">
        <v>0</v>
      </c>
      <c r="AF96" s="10" t="s">
        <v>218</v>
      </c>
      <c r="AG96" s="10" t="s">
        <v>218</v>
      </c>
      <c r="AH96" s="10">
        <v>0</v>
      </c>
      <c r="AI96" s="10">
        <v>0</v>
      </c>
      <c r="AJ96" s="10">
        <v>0</v>
      </c>
      <c r="AK96" s="10">
        <v>0</v>
      </c>
      <c r="AL96" s="10">
        <v>0</v>
      </c>
      <c r="AM96" s="10">
        <v>0</v>
      </c>
      <c r="AN96" s="10">
        <v>0</v>
      </c>
      <c r="AO96" s="10">
        <v>0</v>
      </c>
      <c r="AP96" s="10">
        <v>0</v>
      </c>
    </row>
    <row r="97" spans="1:42" ht="36" x14ac:dyDescent="0.25">
      <c r="A97" s="34"/>
      <c r="B97" s="34"/>
      <c r="C97" s="34">
        <v>0</v>
      </c>
      <c r="D97" s="34">
        <v>0</v>
      </c>
      <c r="E97" s="74">
        <v>0</v>
      </c>
      <c r="F97" s="34">
        <v>0</v>
      </c>
      <c r="G97" s="34">
        <v>0</v>
      </c>
      <c r="H97" s="36">
        <v>0</v>
      </c>
      <c r="I97" s="39"/>
      <c r="J97" s="39"/>
      <c r="K97" s="36">
        <v>0</v>
      </c>
      <c r="L97" s="39"/>
      <c r="M97" s="39"/>
      <c r="N97" s="36">
        <v>0</v>
      </c>
      <c r="O97" s="36">
        <v>0</v>
      </c>
      <c r="P97" s="36">
        <v>0</v>
      </c>
      <c r="Q97" s="36"/>
      <c r="R97" s="36"/>
      <c r="S97" s="36">
        <v>0</v>
      </c>
      <c r="T97" s="37" t="s">
        <v>4535</v>
      </c>
      <c r="U97" s="37" t="s">
        <v>2689</v>
      </c>
      <c r="V97" s="37">
        <v>1</v>
      </c>
      <c r="W97" s="10"/>
      <c r="X97" s="10"/>
      <c r="Y97" s="10"/>
      <c r="Z97" s="10"/>
      <c r="AA97" s="34">
        <v>60</v>
      </c>
      <c r="AB97" s="10"/>
      <c r="AC97" s="10"/>
      <c r="AD97" s="10"/>
      <c r="AE97" s="10">
        <v>0</v>
      </c>
      <c r="AF97" s="10">
        <v>0</v>
      </c>
      <c r="AG97" s="10" t="s">
        <v>218</v>
      </c>
      <c r="AH97" s="10" t="s">
        <v>218</v>
      </c>
      <c r="AI97" s="10" t="s">
        <v>218</v>
      </c>
      <c r="AJ97" s="10">
        <v>0</v>
      </c>
      <c r="AK97" s="10">
        <v>0</v>
      </c>
      <c r="AL97" s="10">
        <v>0</v>
      </c>
      <c r="AM97" s="10">
        <v>0</v>
      </c>
      <c r="AN97" s="10">
        <v>0</v>
      </c>
      <c r="AO97" s="10">
        <v>0</v>
      </c>
      <c r="AP97" s="10">
        <v>0</v>
      </c>
    </row>
    <row r="98" spans="1:42" ht="120" x14ac:dyDescent="0.25">
      <c r="A98" s="34"/>
      <c r="B98" s="34"/>
      <c r="C98" s="34">
        <v>0</v>
      </c>
      <c r="D98" s="34">
        <v>0</v>
      </c>
      <c r="E98" s="74">
        <v>0</v>
      </c>
      <c r="F98" s="34">
        <v>0</v>
      </c>
      <c r="G98" s="34">
        <v>0</v>
      </c>
      <c r="H98" s="36">
        <v>0</v>
      </c>
      <c r="I98" s="39"/>
      <c r="J98" s="39"/>
      <c r="K98" s="36">
        <v>0</v>
      </c>
      <c r="L98" s="39"/>
      <c r="M98" s="39"/>
      <c r="N98" s="36">
        <v>0</v>
      </c>
      <c r="O98" s="36">
        <v>0</v>
      </c>
      <c r="P98" s="36">
        <v>0</v>
      </c>
      <c r="Q98" s="36"/>
      <c r="R98" s="36"/>
      <c r="S98" s="36">
        <v>0</v>
      </c>
      <c r="T98" s="37" t="s">
        <v>4536</v>
      </c>
      <c r="U98" s="37" t="s">
        <v>2689</v>
      </c>
      <c r="V98" s="37">
        <v>1</v>
      </c>
      <c r="W98" s="10"/>
      <c r="X98" s="10"/>
      <c r="Y98" s="10"/>
      <c r="Z98" s="10"/>
      <c r="AA98" s="34">
        <v>150</v>
      </c>
      <c r="AB98" s="10"/>
      <c r="AC98" s="10"/>
      <c r="AD98" s="10"/>
      <c r="AE98" s="10">
        <v>0</v>
      </c>
      <c r="AF98" s="10">
        <v>0</v>
      </c>
      <c r="AG98" s="10">
        <v>0</v>
      </c>
      <c r="AH98" s="10">
        <v>0</v>
      </c>
      <c r="AI98" s="10">
        <v>0</v>
      </c>
      <c r="AJ98" s="10" t="s">
        <v>218</v>
      </c>
      <c r="AK98" s="10" t="s">
        <v>218</v>
      </c>
      <c r="AL98" s="10" t="s">
        <v>218</v>
      </c>
      <c r="AM98" s="10" t="s">
        <v>218</v>
      </c>
      <c r="AN98" s="10" t="s">
        <v>218</v>
      </c>
      <c r="AO98" s="10">
        <v>0</v>
      </c>
      <c r="AP98" s="10">
        <v>0</v>
      </c>
    </row>
    <row r="99" spans="1:42" ht="48" x14ac:dyDescent="0.25">
      <c r="A99" s="34"/>
      <c r="B99" s="34"/>
      <c r="C99" s="34">
        <v>0</v>
      </c>
      <c r="D99" s="34">
        <v>0</v>
      </c>
      <c r="E99" s="74">
        <v>0</v>
      </c>
      <c r="F99" s="34">
        <v>0</v>
      </c>
      <c r="G99" s="34">
        <v>0</v>
      </c>
      <c r="H99" s="36">
        <v>0</v>
      </c>
      <c r="I99" s="39"/>
      <c r="J99" s="39"/>
      <c r="K99" s="36">
        <v>0</v>
      </c>
      <c r="L99" s="39"/>
      <c r="M99" s="39"/>
      <c r="N99" s="36">
        <v>0</v>
      </c>
      <c r="O99" s="36">
        <v>0</v>
      </c>
      <c r="P99" s="36">
        <v>0</v>
      </c>
      <c r="Q99" s="36"/>
      <c r="R99" s="36"/>
      <c r="S99" s="36">
        <v>0</v>
      </c>
      <c r="T99" s="37" t="s">
        <v>4537</v>
      </c>
      <c r="U99" s="37" t="s">
        <v>2689</v>
      </c>
      <c r="V99" s="37">
        <v>1</v>
      </c>
      <c r="W99" s="10"/>
      <c r="X99" s="10"/>
      <c r="Y99" s="10"/>
      <c r="Z99" s="10"/>
      <c r="AA99" s="34">
        <v>120</v>
      </c>
      <c r="AB99" s="10"/>
      <c r="AC99" s="10"/>
      <c r="AD99" s="10"/>
      <c r="AE99" s="10">
        <v>0</v>
      </c>
      <c r="AF99" s="10">
        <v>0</v>
      </c>
      <c r="AG99" s="10">
        <v>0</v>
      </c>
      <c r="AH99" s="10">
        <v>0</v>
      </c>
      <c r="AI99" s="10">
        <v>0</v>
      </c>
      <c r="AJ99" s="10">
        <v>0</v>
      </c>
      <c r="AK99" s="10">
        <v>0</v>
      </c>
      <c r="AL99" s="10">
        <v>0</v>
      </c>
      <c r="AM99" s="10" t="s">
        <v>218</v>
      </c>
      <c r="AN99" s="10" t="s">
        <v>218</v>
      </c>
      <c r="AO99" s="10" t="s">
        <v>218</v>
      </c>
      <c r="AP99" s="10" t="s">
        <v>218</v>
      </c>
    </row>
    <row r="100" spans="1:42" ht="409.5" x14ac:dyDescent="0.25">
      <c r="A100" s="578" t="s">
        <v>1788</v>
      </c>
      <c r="B100" s="578" t="s">
        <v>4363</v>
      </c>
      <c r="C100" s="34" t="s">
        <v>4385</v>
      </c>
      <c r="D100" s="34">
        <v>272420000</v>
      </c>
      <c r="E100" s="74" t="s">
        <v>4393</v>
      </c>
      <c r="F100" s="34" t="s">
        <v>4394</v>
      </c>
      <c r="G100" s="34" t="s">
        <v>4395</v>
      </c>
      <c r="H100" s="36">
        <v>200000000</v>
      </c>
      <c r="I100" s="39"/>
      <c r="J100" s="39">
        <v>81378028</v>
      </c>
      <c r="K100" s="36">
        <v>0</v>
      </c>
      <c r="L100" s="39"/>
      <c r="M100" s="39"/>
      <c r="N100" s="36">
        <v>200000000</v>
      </c>
      <c r="O100" s="36">
        <v>0</v>
      </c>
      <c r="P100" s="36">
        <v>81378028</v>
      </c>
      <c r="Q100" s="36">
        <v>81000000</v>
      </c>
      <c r="R100" s="36"/>
      <c r="S100" s="36">
        <v>81000000</v>
      </c>
      <c r="T100" s="37">
        <v>0</v>
      </c>
      <c r="U100" s="37">
        <v>0</v>
      </c>
      <c r="V100" s="37">
        <v>0</v>
      </c>
      <c r="W100" s="10"/>
      <c r="X100" s="10"/>
      <c r="Y100" s="10"/>
      <c r="Z100" s="10">
        <v>155</v>
      </c>
      <c r="AA100" s="34">
        <v>0</v>
      </c>
      <c r="AB100" s="10"/>
      <c r="AC100" s="10">
        <v>145</v>
      </c>
      <c r="AD100" s="10" t="s">
        <v>4538</v>
      </c>
      <c r="AE100" s="10">
        <v>0</v>
      </c>
      <c r="AF100" s="10">
        <v>0</v>
      </c>
      <c r="AG100" s="10">
        <v>0</v>
      </c>
      <c r="AH100" s="10">
        <v>0</v>
      </c>
      <c r="AI100" s="10">
        <v>0</v>
      </c>
      <c r="AJ100" s="10">
        <v>0</v>
      </c>
      <c r="AK100" s="10">
        <v>0</v>
      </c>
      <c r="AL100" s="10">
        <v>0</v>
      </c>
      <c r="AM100" s="10">
        <v>0</v>
      </c>
      <c r="AN100" s="10">
        <v>0</v>
      </c>
      <c r="AO100" s="10">
        <v>0</v>
      </c>
      <c r="AP100" s="10">
        <v>0</v>
      </c>
    </row>
    <row r="101" spans="1:42" ht="24" x14ac:dyDescent="0.25">
      <c r="A101" s="34"/>
      <c r="B101" s="34"/>
      <c r="C101" s="34">
        <v>0</v>
      </c>
      <c r="D101" s="34">
        <v>0</v>
      </c>
      <c r="E101" s="74">
        <v>0</v>
      </c>
      <c r="F101" s="34">
        <v>0</v>
      </c>
      <c r="G101" s="34">
        <v>0</v>
      </c>
      <c r="H101" s="36">
        <v>0</v>
      </c>
      <c r="I101" s="39"/>
      <c r="J101" s="39"/>
      <c r="K101" s="36">
        <v>0</v>
      </c>
      <c r="L101" s="39"/>
      <c r="M101" s="39"/>
      <c r="N101" s="36">
        <v>0</v>
      </c>
      <c r="O101" s="36">
        <v>0</v>
      </c>
      <c r="P101" s="36">
        <v>0</v>
      </c>
      <c r="Q101" s="36"/>
      <c r="R101" s="36"/>
      <c r="S101" s="36">
        <v>0</v>
      </c>
      <c r="T101" s="37" t="s">
        <v>4539</v>
      </c>
      <c r="U101" s="37" t="s">
        <v>2689</v>
      </c>
      <c r="V101" s="37">
        <v>2</v>
      </c>
      <c r="W101" s="10"/>
      <c r="X101" s="10"/>
      <c r="Y101" s="10"/>
      <c r="Z101" s="10"/>
      <c r="AA101" s="34">
        <v>330</v>
      </c>
      <c r="AB101" s="10"/>
      <c r="AC101" s="10"/>
      <c r="AD101" s="10"/>
      <c r="AE101" s="10">
        <v>0</v>
      </c>
      <c r="AF101" s="10">
        <v>0</v>
      </c>
      <c r="AG101" s="10">
        <v>0</v>
      </c>
      <c r="AH101" s="10">
        <v>0</v>
      </c>
      <c r="AI101" s="10">
        <v>0</v>
      </c>
      <c r="AJ101" s="10">
        <v>0</v>
      </c>
      <c r="AK101" s="10">
        <v>0</v>
      </c>
      <c r="AL101" s="10">
        <v>0</v>
      </c>
      <c r="AM101" s="10">
        <v>0</v>
      </c>
      <c r="AN101" s="10">
        <v>0</v>
      </c>
      <c r="AO101" s="10">
        <v>0</v>
      </c>
      <c r="AP101" s="10">
        <v>0</v>
      </c>
    </row>
    <row r="102" spans="1:42" ht="409.5" x14ac:dyDescent="0.25">
      <c r="A102" s="578" t="s">
        <v>1788</v>
      </c>
      <c r="B102" s="578" t="s">
        <v>4363</v>
      </c>
      <c r="C102" s="34" t="s">
        <v>4385</v>
      </c>
      <c r="D102" s="34">
        <v>272440000</v>
      </c>
      <c r="E102" s="74" t="s">
        <v>4399</v>
      </c>
      <c r="F102" s="34" t="s">
        <v>4400</v>
      </c>
      <c r="G102" s="34" t="s">
        <v>4401</v>
      </c>
      <c r="H102" s="36">
        <v>200000000</v>
      </c>
      <c r="I102" s="39"/>
      <c r="J102" s="39">
        <v>0</v>
      </c>
      <c r="K102" s="36">
        <v>0</v>
      </c>
      <c r="L102" s="39"/>
      <c r="M102" s="39"/>
      <c r="N102" s="36">
        <v>200000000</v>
      </c>
      <c r="O102" s="36">
        <v>0</v>
      </c>
      <c r="P102" s="36">
        <v>0</v>
      </c>
      <c r="Q102" s="36">
        <v>0</v>
      </c>
      <c r="R102" s="36"/>
      <c r="S102" s="36">
        <v>0</v>
      </c>
      <c r="T102" s="37">
        <v>0</v>
      </c>
      <c r="U102" s="37">
        <v>0</v>
      </c>
      <c r="V102" s="37">
        <v>0</v>
      </c>
      <c r="W102" s="10"/>
      <c r="X102" s="10"/>
      <c r="Y102" s="10"/>
      <c r="Z102" s="10" t="s">
        <v>188</v>
      </c>
      <c r="AA102" s="34">
        <v>0</v>
      </c>
      <c r="AB102" s="10"/>
      <c r="AC102" s="10"/>
      <c r="AD102" s="10" t="s">
        <v>4403</v>
      </c>
      <c r="AE102" s="10"/>
      <c r="AF102" s="10" t="s">
        <v>188</v>
      </c>
      <c r="AG102" s="10">
        <v>0</v>
      </c>
      <c r="AH102" s="10"/>
      <c r="AI102" s="10"/>
      <c r="AJ102" s="10" t="s">
        <v>4403</v>
      </c>
      <c r="AK102" s="10">
        <v>0</v>
      </c>
      <c r="AL102" s="10">
        <v>0</v>
      </c>
      <c r="AM102" s="10">
        <v>0</v>
      </c>
      <c r="AN102" s="10">
        <v>0</v>
      </c>
      <c r="AO102" s="10">
        <v>0</v>
      </c>
      <c r="AP102" s="10">
        <v>0</v>
      </c>
    </row>
    <row r="103" spans="1:42" ht="24" x14ac:dyDescent="0.25">
      <c r="A103" s="34"/>
      <c r="B103" s="34"/>
      <c r="C103" s="34">
        <v>0</v>
      </c>
      <c r="D103" s="34">
        <v>0</v>
      </c>
      <c r="E103" s="74">
        <v>0</v>
      </c>
      <c r="F103" s="34">
        <v>0</v>
      </c>
      <c r="G103" s="34">
        <v>0</v>
      </c>
      <c r="H103" s="36">
        <v>0</v>
      </c>
      <c r="I103" s="39"/>
      <c r="J103" s="39"/>
      <c r="K103" s="36">
        <v>0</v>
      </c>
      <c r="L103" s="39"/>
      <c r="M103" s="39"/>
      <c r="N103" s="36">
        <v>0</v>
      </c>
      <c r="O103" s="36">
        <v>0</v>
      </c>
      <c r="P103" s="36">
        <v>0</v>
      </c>
      <c r="Q103" s="36"/>
      <c r="R103" s="36"/>
      <c r="S103" s="36">
        <v>0</v>
      </c>
      <c r="T103" s="37" t="s">
        <v>4540</v>
      </c>
      <c r="U103" s="37" t="s">
        <v>2689</v>
      </c>
      <c r="V103" s="37">
        <v>1</v>
      </c>
      <c r="W103" s="10"/>
      <c r="X103" s="10"/>
      <c r="Y103" s="10"/>
      <c r="Z103" s="10"/>
      <c r="AA103" s="34">
        <v>30</v>
      </c>
      <c r="AB103" s="10"/>
      <c r="AC103" s="10"/>
      <c r="AD103" s="10"/>
      <c r="AE103" s="10"/>
      <c r="AF103" s="10"/>
      <c r="AG103" s="10">
        <v>30</v>
      </c>
      <c r="AH103" s="10"/>
      <c r="AI103" s="10"/>
      <c r="AJ103" s="10"/>
      <c r="AK103" s="10">
        <v>0</v>
      </c>
      <c r="AL103" s="10">
        <v>0</v>
      </c>
      <c r="AM103" s="10">
        <v>0</v>
      </c>
      <c r="AN103" s="10">
        <v>0</v>
      </c>
      <c r="AO103" s="10">
        <v>0</v>
      </c>
      <c r="AP103" s="10">
        <v>0</v>
      </c>
    </row>
    <row r="104" spans="1:42" ht="144" x14ac:dyDescent="0.25">
      <c r="A104" s="34"/>
      <c r="B104" s="34"/>
      <c r="C104" s="34">
        <v>0</v>
      </c>
      <c r="D104" s="34">
        <v>0</v>
      </c>
      <c r="E104" s="74">
        <v>0</v>
      </c>
      <c r="F104" s="34">
        <v>0</v>
      </c>
      <c r="G104" s="34">
        <v>0</v>
      </c>
      <c r="H104" s="36">
        <v>0</v>
      </c>
      <c r="I104" s="39"/>
      <c r="J104" s="39"/>
      <c r="K104" s="36">
        <v>0</v>
      </c>
      <c r="L104" s="39"/>
      <c r="M104" s="39"/>
      <c r="N104" s="36">
        <v>0</v>
      </c>
      <c r="O104" s="36">
        <v>0</v>
      </c>
      <c r="P104" s="36">
        <v>0</v>
      </c>
      <c r="Q104" s="36"/>
      <c r="R104" s="36"/>
      <c r="S104" s="36">
        <v>0</v>
      </c>
      <c r="T104" s="37" t="s">
        <v>4541</v>
      </c>
      <c r="U104" s="37" t="s">
        <v>2689</v>
      </c>
      <c r="V104" s="37">
        <v>1</v>
      </c>
      <c r="W104" s="10"/>
      <c r="X104" s="10"/>
      <c r="Y104" s="10"/>
      <c r="Z104" s="10"/>
      <c r="AA104" s="34">
        <v>360</v>
      </c>
      <c r="AB104" s="10"/>
      <c r="AC104" s="10"/>
      <c r="AD104" s="10"/>
      <c r="AE104" s="10"/>
      <c r="AF104" s="10"/>
      <c r="AG104" s="10">
        <v>360</v>
      </c>
      <c r="AH104" s="10"/>
      <c r="AI104" s="10"/>
      <c r="AJ104" s="10"/>
      <c r="AK104" s="10">
        <v>0</v>
      </c>
      <c r="AL104" s="10">
        <v>0</v>
      </c>
      <c r="AM104" s="10">
        <v>0</v>
      </c>
      <c r="AN104" s="10">
        <v>0</v>
      </c>
      <c r="AO104" s="10">
        <v>0</v>
      </c>
      <c r="AP104" s="10">
        <v>0</v>
      </c>
    </row>
    <row r="105" spans="1:42" x14ac:dyDescent="0.25">
      <c r="A105" s="34"/>
      <c r="B105" s="34"/>
      <c r="C105" s="34">
        <v>0</v>
      </c>
      <c r="D105" s="34">
        <v>0</v>
      </c>
      <c r="E105" s="74">
        <v>0</v>
      </c>
      <c r="F105" s="34">
        <v>0</v>
      </c>
      <c r="G105" s="34">
        <v>0</v>
      </c>
      <c r="H105" s="36">
        <v>0</v>
      </c>
      <c r="I105" s="39"/>
      <c r="J105" s="39"/>
      <c r="K105" s="36">
        <v>0</v>
      </c>
      <c r="L105" s="39"/>
      <c r="M105" s="39"/>
      <c r="N105" s="36">
        <f t="shared" si="2"/>
        <v>0</v>
      </c>
      <c r="O105" s="36">
        <f t="shared" si="2"/>
        <v>0</v>
      </c>
      <c r="P105" s="36">
        <f t="shared" si="2"/>
        <v>0</v>
      </c>
      <c r="Q105" s="36"/>
      <c r="R105" s="36"/>
      <c r="S105" s="36">
        <f t="shared" ref="S105:S106" si="3">Q105+R105</f>
        <v>0</v>
      </c>
      <c r="T105" s="37"/>
      <c r="U105" s="37"/>
      <c r="V105" s="37"/>
      <c r="W105" s="10"/>
      <c r="X105" s="10"/>
      <c r="Y105" s="10"/>
      <c r="Z105" s="10"/>
      <c r="AA105" s="34"/>
      <c r="AB105" s="10"/>
      <c r="AC105" s="10"/>
      <c r="AD105" s="10"/>
      <c r="AE105" s="10"/>
      <c r="AF105" s="10"/>
      <c r="AG105" s="10"/>
      <c r="AH105" s="10"/>
      <c r="AI105" s="10"/>
      <c r="AJ105" s="10"/>
      <c r="AK105" s="10"/>
      <c r="AL105" s="10"/>
      <c r="AM105" s="10"/>
      <c r="AN105" s="10"/>
      <c r="AO105" s="10"/>
      <c r="AP105" s="10"/>
    </row>
    <row r="106" spans="1:42" x14ac:dyDescent="0.25">
      <c r="A106" s="34"/>
      <c r="B106" s="34"/>
      <c r="C106" s="34">
        <v>0</v>
      </c>
      <c r="D106" s="34">
        <v>0</v>
      </c>
      <c r="E106" s="74">
        <v>0</v>
      </c>
      <c r="F106" s="34">
        <v>0</v>
      </c>
      <c r="G106" s="34">
        <v>0</v>
      </c>
      <c r="H106" s="36">
        <v>0</v>
      </c>
      <c r="I106" s="39"/>
      <c r="J106" s="39"/>
      <c r="K106" s="36">
        <v>0</v>
      </c>
      <c r="L106" s="39"/>
      <c r="M106" s="39"/>
      <c r="N106" s="36">
        <f t="shared" si="2"/>
        <v>0</v>
      </c>
      <c r="O106" s="36">
        <f t="shared" si="2"/>
        <v>0</v>
      </c>
      <c r="P106" s="36">
        <f t="shared" si="2"/>
        <v>0</v>
      </c>
      <c r="Q106" s="36"/>
      <c r="R106" s="36"/>
      <c r="S106" s="36">
        <f t="shared" si="3"/>
        <v>0</v>
      </c>
      <c r="T106" s="37"/>
      <c r="U106" s="37"/>
      <c r="V106" s="37"/>
      <c r="W106" s="10"/>
      <c r="X106" s="10"/>
      <c r="Y106" s="10"/>
      <c r="Z106" s="10"/>
      <c r="AA106" s="34"/>
      <c r="AB106" s="10"/>
      <c r="AC106" s="10"/>
      <c r="AD106" s="10"/>
      <c r="AE106" s="10"/>
      <c r="AF106" s="10"/>
      <c r="AG106" s="10"/>
      <c r="AH106" s="10"/>
      <c r="AI106" s="10"/>
      <c r="AJ106" s="10"/>
      <c r="AK106" s="10"/>
      <c r="AL106" s="10"/>
      <c r="AM106" s="10"/>
      <c r="AN106" s="10"/>
      <c r="AO106" s="10"/>
      <c r="AP106" s="10"/>
    </row>
    <row r="107" spans="1:42" ht="72" x14ac:dyDescent="0.25">
      <c r="A107" s="578" t="s">
        <v>1788</v>
      </c>
      <c r="B107" s="578" t="s">
        <v>4363</v>
      </c>
      <c r="C107" s="34" t="s">
        <v>4385</v>
      </c>
      <c r="D107" s="34">
        <v>272450000</v>
      </c>
      <c r="E107" s="74" t="s">
        <v>4405</v>
      </c>
      <c r="F107" s="34" t="s">
        <v>4406</v>
      </c>
      <c r="G107" s="34" t="s">
        <v>4407</v>
      </c>
      <c r="H107" s="36">
        <v>295000000</v>
      </c>
      <c r="I107" s="39">
        <v>600450000</v>
      </c>
      <c r="J107" s="39">
        <v>250000</v>
      </c>
      <c r="K107" s="36">
        <v>0</v>
      </c>
      <c r="L107" s="39">
        <v>0</v>
      </c>
      <c r="M107" s="39">
        <v>0</v>
      </c>
      <c r="N107" s="36">
        <v>295000000</v>
      </c>
      <c r="O107" s="36">
        <v>600450000</v>
      </c>
      <c r="P107" s="36">
        <v>250000</v>
      </c>
      <c r="Q107" s="36">
        <v>0</v>
      </c>
      <c r="R107" s="36"/>
      <c r="S107" s="36">
        <v>0</v>
      </c>
      <c r="T107" s="37">
        <v>0</v>
      </c>
      <c r="U107" s="37">
        <v>0</v>
      </c>
      <c r="V107" s="37">
        <v>0</v>
      </c>
      <c r="W107" s="10"/>
      <c r="X107" s="10"/>
      <c r="Y107" s="10"/>
      <c r="Z107" s="10"/>
      <c r="AA107" s="34">
        <v>0</v>
      </c>
      <c r="AB107" s="10"/>
      <c r="AC107" s="10"/>
      <c r="AD107" s="10"/>
      <c r="AE107" s="10">
        <v>0</v>
      </c>
      <c r="AF107" s="10">
        <v>0</v>
      </c>
      <c r="AG107" s="10">
        <v>0</v>
      </c>
      <c r="AH107" s="10">
        <v>0</v>
      </c>
      <c r="AI107" s="10">
        <v>0</v>
      </c>
      <c r="AJ107" s="10">
        <v>0</v>
      </c>
      <c r="AK107" s="10">
        <v>0</v>
      </c>
      <c r="AL107" s="10">
        <v>0</v>
      </c>
      <c r="AM107" s="10">
        <v>0</v>
      </c>
      <c r="AN107" s="10">
        <v>0</v>
      </c>
      <c r="AO107" s="10">
        <v>0</v>
      </c>
      <c r="AP107" s="10">
        <v>0</v>
      </c>
    </row>
    <row r="108" spans="1:42" ht="255" x14ac:dyDescent="0.25">
      <c r="A108" s="34"/>
      <c r="B108" s="34"/>
      <c r="C108" s="34">
        <v>0</v>
      </c>
      <c r="D108" s="34">
        <v>0</v>
      </c>
      <c r="E108" s="27"/>
      <c r="F108" s="34">
        <v>0</v>
      </c>
      <c r="G108" s="34">
        <v>0</v>
      </c>
      <c r="H108" s="36">
        <v>0</v>
      </c>
      <c r="I108" s="39"/>
      <c r="J108" s="39"/>
      <c r="K108" s="36">
        <v>0</v>
      </c>
      <c r="L108" s="39"/>
      <c r="M108" s="39"/>
      <c r="N108" s="36">
        <v>0</v>
      </c>
      <c r="O108" s="36">
        <v>0</v>
      </c>
      <c r="P108" s="36">
        <v>0</v>
      </c>
      <c r="Q108" s="36"/>
      <c r="R108" s="36"/>
      <c r="S108" s="36">
        <v>0</v>
      </c>
      <c r="T108" s="37" t="s">
        <v>4541</v>
      </c>
      <c r="U108" s="37" t="s">
        <v>2689</v>
      </c>
      <c r="V108" s="37">
        <v>1</v>
      </c>
      <c r="W108" s="10"/>
      <c r="X108" s="10"/>
      <c r="Y108" s="10"/>
      <c r="Z108" s="10">
        <v>0</v>
      </c>
      <c r="AA108" s="34">
        <v>360</v>
      </c>
      <c r="AB108" s="10">
        <v>180</v>
      </c>
      <c r="AC108" s="10">
        <v>150</v>
      </c>
      <c r="AD108" s="10" t="s">
        <v>4542</v>
      </c>
      <c r="AE108" s="10" t="s">
        <v>218</v>
      </c>
      <c r="AF108" s="10" t="s">
        <v>218</v>
      </c>
      <c r="AG108" s="10" t="s">
        <v>218</v>
      </c>
      <c r="AH108" s="10" t="s">
        <v>218</v>
      </c>
      <c r="AI108" s="10" t="s">
        <v>218</v>
      </c>
      <c r="AJ108" s="10" t="s">
        <v>218</v>
      </c>
      <c r="AK108" s="10" t="s">
        <v>218</v>
      </c>
      <c r="AL108" s="10" t="s">
        <v>218</v>
      </c>
      <c r="AM108" s="10" t="s">
        <v>218</v>
      </c>
      <c r="AN108" s="10" t="s">
        <v>218</v>
      </c>
      <c r="AO108" s="10" t="s">
        <v>218</v>
      </c>
      <c r="AP108" s="10"/>
    </row>
  </sheetData>
  <sheetProtection algorithmName="SHA-512" hashValue="zK90/O9Kf6XB52O3nGO8SaOuGL8tx5hMxMLlf85wW9amxgI5FcclSfAMeD+tMsiD/TAXCVTKlgVmQDGUIo/InQ==" saltValue="0PVLeJ7AMULh7gpT2eBL6g=="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3"/>
  <sheetViews>
    <sheetView topLeftCell="A4" zoomScaleNormal="100" workbookViewId="0">
      <pane ySplit="5" topLeftCell="A9" activePane="bottomLeft" state="frozen"/>
      <selection activeCell="A4" sqref="A4"/>
      <selection pane="bottomLeft" activeCell="H11" sqref="H11"/>
    </sheetView>
  </sheetViews>
  <sheetFormatPr baseColWidth="10" defaultRowHeight="15" x14ac:dyDescent="0.25"/>
  <cols>
    <col min="1" max="1" width="12" style="1" customWidth="1"/>
    <col min="2" max="2" width="13.5703125" style="1" customWidth="1"/>
    <col min="3" max="3" width="18.5703125" style="1" customWidth="1"/>
    <col min="4" max="4" width="11.42578125" style="1"/>
    <col min="5" max="5" width="18.28515625" style="1" customWidth="1"/>
    <col min="6" max="6" width="17.7109375" style="1" customWidth="1"/>
    <col min="7" max="7" width="14.42578125" style="1" customWidth="1"/>
    <col min="8" max="8" width="26.85546875" style="1" customWidth="1"/>
    <col min="9" max="9" width="19" style="1" customWidth="1"/>
    <col min="10" max="10" width="20" style="1" customWidth="1"/>
    <col min="11" max="11" width="20.42578125" style="1" customWidth="1"/>
    <col min="12" max="12" width="15.7109375" style="1" customWidth="1"/>
    <col min="13" max="13" width="16.5703125" style="1" customWidth="1"/>
    <col min="14" max="14" width="17.85546875" style="1" customWidth="1"/>
    <col min="15" max="15" width="13.28515625" style="1" customWidth="1"/>
    <col min="16" max="16" width="13.5703125" style="1" customWidth="1"/>
    <col min="17" max="17" width="21.5703125" style="1" customWidth="1"/>
    <col min="18" max="18" width="23.85546875" style="188" customWidth="1"/>
    <col min="19" max="16384" width="11.42578125" style="1"/>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row>
    <row r="5" spans="1:97" x14ac:dyDescent="0.25">
      <c r="A5" s="2"/>
      <c r="B5" s="2"/>
      <c r="C5" s="2"/>
      <c r="D5" s="2"/>
      <c r="E5" s="2"/>
      <c r="F5" s="2"/>
      <c r="G5" s="2"/>
      <c r="H5" s="2"/>
      <c r="I5" s="2"/>
      <c r="J5" s="2"/>
      <c r="K5" s="2"/>
      <c r="L5" s="4"/>
      <c r="M5" s="6"/>
      <c r="N5" s="5"/>
      <c r="O5" s="5"/>
    </row>
    <row r="6" spans="1:97" x14ac:dyDescent="0.25">
      <c r="A6" s="7" t="s">
        <v>4</v>
      </c>
      <c r="B6" s="606" t="s">
        <v>2272</v>
      </c>
      <c r="C6" s="606"/>
      <c r="D6" s="606"/>
      <c r="E6" s="606"/>
      <c r="F6" s="606"/>
      <c r="G6" s="606"/>
      <c r="H6" s="606"/>
      <c r="I6" s="606"/>
      <c r="J6" s="606"/>
      <c r="K6" s="606"/>
      <c r="L6" s="606"/>
      <c r="M6" s="606"/>
      <c r="N6" s="606"/>
      <c r="O6" s="606"/>
    </row>
    <row r="7" spans="1:97"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23" t="s">
        <v>18</v>
      </c>
      <c r="N7" s="623" t="s">
        <v>19</v>
      </c>
      <c r="O7" s="623" t="s">
        <v>20</v>
      </c>
      <c r="P7" s="623" t="s">
        <v>21</v>
      </c>
      <c r="Q7" s="619" t="s">
        <v>22</v>
      </c>
    </row>
    <row r="8" spans="1:97" ht="32.25" customHeight="1" x14ac:dyDescent="0.25">
      <c r="A8" s="618"/>
      <c r="B8" s="618"/>
      <c r="C8" s="618"/>
      <c r="D8" s="618"/>
      <c r="E8" s="618"/>
      <c r="F8" s="618"/>
      <c r="G8" s="618"/>
      <c r="H8" s="618"/>
      <c r="I8" s="622"/>
      <c r="J8" s="622"/>
      <c r="K8" s="618"/>
      <c r="L8" s="618"/>
      <c r="M8" s="624"/>
      <c r="N8" s="624"/>
      <c r="O8" s="624"/>
      <c r="P8" s="624"/>
      <c r="Q8" s="620"/>
      <c r="R8" s="1"/>
      <c r="S8" s="8"/>
      <c r="T8" s="8"/>
      <c r="U8" s="8"/>
      <c r="V8" s="8"/>
      <c r="W8" s="8"/>
      <c r="X8" s="8"/>
      <c r="Y8" s="8"/>
      <c r="Z8" s="8"/>
      <c r="AA8" s="8"/>
      <c r="AB8" s="8"/>
      <c r="AC8" s="8"/>
      <c r="AD8" s="8"/>
      <c r="AE8" s="8"/>
      <c r="AF8" s="8"/>
      <c r="AG8" s="8"/>
      <c r="AH8" s="8"/>
      <c r="AK8" s="9"/>
      <c r="AO8" s="9"/>
      <c r="AS8" s="9"/>
      <c r="AW8" s="9"/>
      <c r="BA8" s="9"/>
      <c r="BE8" s="9"/>
      <c r="BI8" s="9"/>
      <c r="BM8" s="9"/>
      <c r="BQ8" s="9"/>
      <c r="BU8" s="9"/>
      <c r="BY8" s="9"/>
      <c r="CC8" s="9"/>
      <c r="CG8" s="9"/>
      <c r="CK8" s="9"/>
      <c r="CO8" s="9"/>
      <c r="CS8" s="9"/>
    </row>
    <row r="9" spans="1:97" ht="110.25" customHeight="1" x14ac:dyDescent="0.25">
      <c r="A9" s="10" t="s">
        <v>23</v>
      </c>
      <c r="B9" s="10" t="s">
        <v>142</v>
      </c>
      <c r="C9" s="10" t="s">
        <v>150</v>
      </c>
      <c r="D9" s="10">
        <v>212350000</v>
      </c>
      <c r="E9" s="10" t="s">
        <v>2273</v>
      </c>
      <c r="F9" s="50" t="s">
        <v>2274</v>
      </c>
      <c r="G9" s="10" t="s">
        <v>2275</v>
      </c>
      <c r="H9" s="10" t="s">
        <v>2276</v>
      </c>
      <c r="I9" s="10">
        <v>3000000000</v>
      </c>
      <c r="J9" s="247">
        <f>'[16]FORMATO FINANCIERO'!J9-'[16]FORMATO FINANCIERO'!H9</f>
        <v>-197614053</v>
      </c>
      <c r="K9" s="10" t="s">
        <v>2277</v>
      </c>
      <c r="L9" s="118">
        <v>111300</v>
      </c>
      <c r="M9" s="44"/>
      <c r="N9" s="44"/>
      <c r="O9" s="44"/>
      <c r="P9" s="375">
        <v>89695</v>
      </c>
      <c r="Q9" s="376" t="s">
        <v>2278</v>
      </c>
      <c r="R9" s="16"/>
      <c r="U9" s="17"/>
      <c r="V9" s="8"/>
      <c r="W9" s="8"/>
      <c r="X9" s="8"/>
      <c r="Y9" s="8"/>
      <c r="Z9" s="8"/>
      <c r="AA9" s="8"/>
      <c r="AB9" s="8"/>
      <c r="AC9" s="8"/>
      <c r="AD9" s="8"/>
      <c r="AE9" s="8"/>
      <c r="AF9" s="8"/>
      <c r="AG9" s="8"/>
      <c r="AH9" s="8"/>
      <c r="AK9" s="9"/>
      <c r="AO9" s="9"/>
      <c r="AS9" s="9"/>
      <c r="AW9" s="9"/>
      <c r="BA9" s="9"/>
      <c r="BE9" s="9"/>
      <c r="BI9" s="9"/>
      <c r="BM9" s="9"/>
      <c r="BQ9" s="9"/>
      <c r="BU9" s="9"/>
      <c r="BY9" s="9"/>
      <c r="CC9" s="9"/>
      <c r="CG9" s="9"/>
      <c r="CK9" s="9"/>
      <c r="CO9" s="9"/>
      <c r="CS9" s="9"/>
    </row>
    <row r="10" spans="1:97" ht="109.5" customHeight="1" x14ac:dyDescent="0.25">
      <c r="A10" s="10" t="s">
        <v>23</v>
      </c>
      <c r="B10" s="10" t="s">
        <v>1573</v>
      </c>
      <c r="C10" s="10" t="s">
        <v>2279</v>
      </c>
      <c r="D10" s="10">
        <v>214620000</v>
      </c>
      <c r="E10" s="10" t="s">
        <v>1953</v>
      </c>
      <c r="F10" s="50" t="s">
        <v>2280</v>
      </c>
      <c r="G10" s="10" t="s">
        <v>2281</v>
      </c>
      <c r="H10" s="10" t="s">
        <v>2282</v>
      </c>
      <c r="I10" s="10"/>
      <c r="J10" s="39">
        <f>'[16]FORMATO FINANCIERO'!J26-'[16]FORMATO FINANCIERO'!H26</f>
        <v>3404067452</v>
      </c>
      <c r="K10" s="10" t="s">
        <v>2283</v>
      </c>
      <c r="L10" s="118">
        <v>6257</v>
      </c>
      <c r="M10" s="44"/>
      <c r="N10" s="44"/>
      <c r="O10" s="118">
        <v>4533</v>
      </c>
      <c r="P10" s="377">
        <v>6693</v>
      </c>
      <c r="Q10" s="10" t="s">
        <v>2284</v>
      </c>
      <c r="R10" s="16"/>
      <c r="U10" s="17"/>
      <c r="V10" s="8"/>
      <c r="W10" s="8"/>
      <c r="X10" s="8"/>
      <c r="Y10" s="8"/>
      <c r="Z10" s="8"/>
      <c r="AA10" s="8"/>
      <c r="AB10" s="8"/>
      <c r="AC10" s="8"/>
      <c r="AD10" s="8"/>
      <c r="AE10" s="8"/>
      <c r="AF10" s="8"/>
      <c r="AG10" s="8"/>
      <c r="AH10" s="8"/>
      <c r="AK10" s="9"/>
      <c r="AO10" s="9"/>
      <c r="AS10" s="9"/>
      <c r="AW10" s="9"/>
      <c r="BA10" s="9"/>
      <c r="BE10" s="9"/>
      <c r="BI10" s="9"/>
      <c r="BM10" s="9"/>
      <c r="BQ10" s="9"/>
      <c r="BU10" s="9"/>
      <c r="BY10" s="9"/>
      <c r="CC10" s="9"/>
      <c r="CG10" s="9"/>
      <c r="CK10" s="9"/>
      <c r="CO10" s="9"/>
      <c r="CS10" s="9"/>
    </row>
    <row r="11" spans="1:97" ht="109.5" customHeight="1" x14ac:dyDescent="0.25">
      <c r="A11" s="10"/>
      <c r="B11" s="10"/>
      <c r="C11" s="10"/>
      <c r="D11" s="10"/>
      <c r="E11" s="10"/>
      <c r="F11" s="50"/>
      <c r="G11" s="10"/>
      <c r="H11" s="10"/>
      <c r="I11" s="10"/>
      <c r="J11" s="10"/>
      <c r="K11" s="378" t="s">
        <v>2100</v>
      </c>
      <c r="L11" s="379">
        <v>420055</v>
      </c>
      <c r="M11" s="102"/>
      <c r="N11" s="44"/>
      <c r="O11" s="379">
        <v>264693</v>
      </c>
      <c r="P11" s="377">
        <v>289494</v>
      </c>
      <c r="Q11" s="10" t="s">
        <v>2284</v>
      </c>
      <c r="R11" s="16"/>
      <c r="U11" s="17"/>
      <c r="V11" s="8"/>
      <c r="W11" s="8"/>
      <c r="X11" s="8"/>
      <c r="Y11" s="8"/>
      <c r="Z11" s="8"/>
      <c r="AA11" s="8"/>
      <c r="AB11" s="8"/>
      <c r="AC11" s="8"/>
      <c r="AD11" s="8"/>
      <c r="AE11" s="8"/>
      <c r="AF11" s="8"/>
      <c r="AG11" s="8"/>
      <c r="AH11" s="8"/>
      <c r="AK11" s="9"/>
      <c r="AO11" s="9"/>
      <c r="AS11" s="9"/>
      <c r="AW11" s="9"/>
      <c r="BA11" s="9"/>
      <c r="BE11" s="9"/>
      <c r="BI11" s="9"/>
      <c r="BM11" s="9"/>
      <c r="BQ11" s="9"/>
      <c r="BU11" s="9"/>
      <c r="BY11" s="9"/>
      <c r="CC11" s="9"/>
      <c r="CG11" s="9"/>
      <c r="CK11" s="9"/>
      <c r="CO11" s="9"/>
      <c r="CS11" s="9"/>
    </row>
    <row r="12" spans="1:97" ht="109.5" customHeight="1" x14ac:dyDescent="0.25">
      <c r="A12" s="10"/>
      <c r="B12" s="10"/>
      <c r="C12" s="10"/>
      <c r="D12" s="10"/>
      <c r="E12" s="10"/>
      <c r="F12" s="50"/>
      <c r="G12" s="10"/>
      <c r="H12" s="10"/>
      <c r="I12" s="10"/>
      <c r="J12" s="10"/>
      <c r="K12" s="378" t="s">
        <v>2103</v>
      </c>
      <c r="L12" s="380">
        <v>2186094</v>
      </c>
      <c r="M12" s="102"/>
      <c r="N12" s="44"/>
      <c r="O12" s="380">
        <v>1371288</v>
      </c>
      <c r="P12" s="380">
        <v>1429940</v>
      </c>
      <c r="Q12" s="10" t="s">
        <v>2284</v>
      </c>
      <c r="R12" s="16"/>
      <c r="U12" s="17"/>
      <c r="V12" s="8"/>
      <c r="W12" s="8"/>
      <c r="X12" s="8"/>
      <c r="Y12" s="8"/>
      <c r="Z12" s="8"/>
      <c r="AA12" s="8"/>
      <c r="AB12" s="8"/>
      <c r="AC12" s="8"/>
      <c r="AD12" s="8"/>
      <c r="AE12" s="8"/>
      <c r="AF12" s="8"/>
      <c r="AG12" s="8"/>
      <c r="AH12" s="8"/>
      <c r="AK12" s="9"/>
      <c r="AO12" s="9"/>
      <c r="AS12" s="9"/>
      <c r="AW12" s="9"/>
      <c r="BA12" s="9"/>
      <c r="BE12" s="9"/>
      <c r="BI12" s="9"/>
      <c r="BM12" s="9"/>
      <c r="BQ12" s="9"/>
      <c r="BU12" s="9"/>
      <c r="BY12" s="9"/>
      <c r="CC12" s="9"/>
      <c r="CG12" s="9"/>
      <c r="CK12" s="9"/>
      <c r="CO12" s="9"/>
      <c r="CS12" s="9"/>
    </row>
    <row r="13" spans="1:97" ht="80.25" customHeight="1" x14ac:dyDescent="0.25">
      <c r="A13" s="10" t="s">
        <v>55</v>
      </c>
      <c r="B13" s="10" t="s">
        <v>354</v>
      </c>
      <c r="C13" s="10" t="s">
        <v>2285</v>
      </c>
      <c r="D13" s="10">
        <v>241330000</v>
      </c>
      <c r="E13" s="10" t="s">
        <v>2286</v>
      </c>
      <c r="F13" s="50" t="s">
        <v>2287</v>
      </c>
      <c r="G13" s="10" t="s">
        <v>2288</v>
      </c>
      <c r="H13" s="10" t="s">
        <v>2289</v>
      </c>
      <c r="I13" s="10"/>
      <c r="J13" s="39">
        <f>'[16]FORMATO FINANCIERO'!J29-'[16]FORMATO FINANCIERO'!H29</f>
        <v>-500000000</v>
      </c>
      <c r="K13" s="10" t="s">
        <v>2290</v>
      </c>
      <c r="L13" s="118"/>
      <c r="M13" s="44"/>
      <c r="N13" s="44"/>
      <c r="O13" s="44"/>
      <c r="P13" s="44"/>
      <c r="Q13" s="10"/>
      <c r="R13" s="16"/>
      <c r="U13" s="17"/>
      <c r="V13" s="8"/>
      <c r="W13" s="8"/>
      <c r="X13" s="8"/>
      <c r="Y13" s="8"/>
      <c r="Z13" s="8"/>
      <c r="AA13" s="8"/>
      <c r="AB13" s="8"/>
      <c r="AC13" s="8"/>
      <c r="AD13" s="8"/>
      <c r="AE13" s="8"/>
      <c r="AF13" s="8"/>
      <c r="AG13" s="8"/>
      <c r="AH13" s="8"/>
      <c r="AK13" s="9"/>
      <c r="AO13" s="9"/>
      <c r="AS13" s="9"/>
      <c r="AW13" s="9"/>
      <c r="BA13" s="9"/>
      <c r="BE13" s="9"/>
      <c r="BI13" s="9"/>
      <c r="BM13" s="9"/>
      <c r="BQ13" s="9"/>
      <c r="BU13" s="9"/>
      <c r="BY13" s="9"/>
      <c r="CC13" s="9"/>
      <c r="CG13" s="9"/>
      <c r="CK13" s="9"/>
      <c r="CO13" s="9"/>
      <c r="CS13" s="9"/>
    </row>
  </sheetData>
  <sheetProtection algorithmName="SHA-512" hashValue="449bWAzIHWcHshcSUccUm0+6FnVo6RcpaOhZuA9rH4h8khwYgmgZzvP1OJzJ7R64hPyVpuamED7leE5suE6O6A==" saltValue="OKLst7QOIywvInIL7I6yEQ==" spinCount="100000" sheet="1" objects="1" scenarios="1" insertRows="0"/>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90"/>
  <sheetViews>
    <sheetView showZeros="0" zoomScale="90" zoomScaleNormal="90" workbookViewId="0">
      <pane ySplit="8" topLeftCell="A9" activePane="bottomLeft" state="frozen"/>
      <selection pane="bottomLeft" activeCell="E9" sqref="E9"/>
    </sheetView>
  </sheetViews>
  <sheetFormatPr baseColWidth="10" defaultRowHeight="15" x14ac:dyDescent="0.25"/>
  <cols>
    <col min="1" max="2" width="12" style="1" customWidth="1"/>
    <col min="3" max="3" width="19.5703125" style="1" customWidth="1"/>
    <col min="4" max="4" width="13.140625" style="1" customWidth="1"/>
    <col min="5" max="5" width="15.85546875" style="1" customWidth="1"/>
    <col min="6" max="6" width="19.42578125" style="1" customWidth="1"/>
    <col min="7" max="7" width="20" style="1" customWidth="1"/>
    <col min="8" max="8" width="19.5703125" style="1" customWidth="1"/>
    <col min="9" max="9" width="14.7109375" style="1" customWidth="1"/>
    <col min="10" max="10" width="13.85546875" style="285" customWidth="1"/>
    <col min="11" max="11" width="14.140625" style="1" customWidth="1"/>
    <col min="12" max="12" width="12.7109375" style="1" customWidth="1"/>
    <col min="13" max="13" width="14.5703125" style="285" customWidth="1"/>
    <col min="14" max="14" width="19.140625" style="1" customWidth="1"/>
    <col min="15" max="15" width="13.85546875" style="1" customWidth="1"/>
    <col min="16" max="16" width="12" style="1" customWidth="1"/>
    <col min="17" max="18" width="15.5703125" style="285" customWidth="1"/>
    <col min="19" max="19" width="15.140625" style="1" customWidth="1"/>
    <col min="20" max="20" width="22" style="1" customWidth="1"/>
    <col min="21" max="21" width="11.7109375" style="1" customWidth="1"/>
    <col min="22" max="22" width="17.7109375" style="1" customWidth="1"/>
    <col min="23" max="23" width="13.28515625" style="1" customWidth="1"/>
    <col min="24" max="24" width="11.7109375" style="1" customWidth="1"/>
    <col min="25" max="25" width="10.7109375" style="1" customWidth="1"/>
    <col min="26" max="26" width="11.7109375" style="1" customWidth="1"/>
    <col min="27" max="27" width="11.28515625" style="1" customWidth="1"/>
    <col min="28" max="28" width="12.5703125" style="1" customWidth="1"/>
    <col min="29" max="29" width="11.28515625" style="1" customWidth="1"/>
    <col min="30" max="30" width="36.140625" style="1" customWidth="1"/>
    <col min="31" max="31" width="3.7109375" style="1" customWidth="1"/>
    <col min="32" max="32" width="3.42578125" style="1" customWidth="1"/>
    <col min="33" max="33" width="5.42578125" style="1" bestFit="1" customWidth="1"/>
    <col min="34" max="34" width="4.28515625" style="1" bestFit="1" customWidth="1"/>
    <col min="35" max="35" width="3.42578125" style="1" customWidth="1"/>
    <col min="36" max="36" width="3.140625" style="1" customWidth="1"/>
    <col min="37" max="37" width="4.140625" style="1" bestFit="1" customWidth="1"/>
    <col min="38" max="38" width="3" style="1" customWidth="1"/>
    <col min="39" max="39" width="4.42578125" style="1" customWidth="1"/>
    <col min="40" max="40" width="3.5703125" style="1" customWidth="1"/>
    <col min="41" max="41" width="3.7109375" style="1" customWidth="1"/>
    <col min="42" max="42" width="5.42578125" style="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2113</v>
      </c>
      <c r="D5" s="24"/>
      <c r="E5" s="24"/>
      <c r="F5" s="24"/>
      <c r="G5" s="24"/>
      <c r="H5" s="24"/>
      <c r="I5" s="292"/>
      <c r="J5" s="292"/>
      <c r="K5" s="292"/>
      <c r="L5" s="292"/>
      <c r="M5" s="292"/>
      <c r="N5" s="292"/>
      <c r="O5" s="292"/>
      <c r="P5" s="292"/>
      <c r="S5" s="285"/>
      <c r="T5" s="285"/>
      <c r="U5" s="285"/>
      <c r="V5" s="285"/>
      <c r="W5" s="285"/>
      <c r="X5" s="285"/>
      <c r="Y5" s="285"/>
      <c r="Z5" s="285"/>
      <c r="AA5" s="285"/>
      <c r="AB5" s="285"/>
      <c r="AC5" s="285"/>
      <c r="AD5" s="285"/>
      <c r="AE5" s="285"/>
      <c r="AF5" s="285"/>
      <c r="AG5" s="285"/>
      <c r="AH5" s="285"/>
      <c r="AI5" s="285"/>
      <c r="AJ5" s="285"/>
      <c r="AK5" s="285"/>
    </row>
    <row r="6" spans="1:42" x14ac:dyDescent="0.25">
      <c r="O6" s="155"/>
    </row>
    <row r="7" spans="1:42" s="294" customFormat="1" ht="24" customHeight="1" x14ac:dyDescent="0.2">
      <c r="A7" s="633" t="s">
        <v>6</v>
      </c>
      <c r="B7" s="633" t="s">
        <v>7</v>
      </c>
      <c r="C7" s="633" t="s">
        <v>8</v>
      </c>
      <c r="D7" s="633" t="s">
        <v>9</v>
      </c>
      <c r="E7" s="633" t="s">
        <v>11</v>
      </c>
      <c r="F7" s="633" t="s">
        <v>12</v>
      </c>
      <c r="G7" s="633" t="s">
        <v>13</v>
      </c>
      <c r="H7" s="633" t="s">
        <v>62</v>
      </c>
      <c r="I7" s="669" t="s">
        <v>63</v>
      </c>
      <c r="J7" s="665" t="s">
        <v>64</v>
      </c>
      <c r="K7" s="633" t="s">
        <v>65</v>
      </c>
      <c r="L7" s="669" t="s">
        <v>66</v>
      </c>
      <c r="M7" s="669" t="s">
        <v>67</v>
      </c>
      <c r="N7" s="633" t="s">
        <v>68</v>
      </c>
      <c r="O7" s="669" t="s">
        <v>69</v>
      </c>
      <c r="P7" s="669" t="s">
        <v>70</v>
      </c>
      <c r="Q7" s="665" t="s">
        <v>71</v>
      </c>
      <c r="R7" s="669" t="s">
        <v>72</v>
      </c>
      <c r="S7" s="633" t="s">
        <v>73</v>
      </c>
      <c r="T7" s="638" t="s">
        <v>74</v>
      </c>
      <c r="U7" s="639"/>
      <c r="V7" s="639"/>
      <c r="W7" s="639"/>
      <c r="X7" s="639"/>
      <c r="Y7" s="639"/>
      <c r="Z7" s="639"/>
      <c r="AA7" s="639"/>
      <c r="AB7" s="639"/>
      <c r="AC7" s="639"/>
      <c r="AD7" s="665" t="s">
        <v>22</v>
      </c>
      <c r="AE7" s="642" t="s">
        <v>75</v>
      </c>
      <c r="AF7" s="643"/>
      <c r="AG7" s="643"/>
      <c r="AH7" s="643"/>
      <c r="AI7" s="643"/>
      <c r="AJ7" s="643"/>
      <c r="AK7" s="643"/>
      <c r="AL7" s="643"/>
      <c r="AM7" s="643"/>
      <c r="AN7" s="643"/>
      <c r="AO7" s="643"/>
      <c r="AP7" s="644"/>
    </row>
    <row r="8" spans="1:42" ht="84.75" customHeight="1" x14ac:dyDescent="0.25">
      <c r="A8" s="634"/>
      <c r="B8" s="634"/>
      <c r="C8" s="634"/>
      <c r="D8" s="634"/>
      <c r="E8" s="634"/>
      <c r="F8" s="634"/>
      <c r="G8" s="634"/>
      <c r="H8" s="634"/>
      <c r="I8" s="679"/>
      <c r="J8" s="666"/>
      <c r="K8" s="634"/>
      <c r="L8" s="679"/>
      <c r="M8" s="679"/>
      <c r="N8" s="634"/>
      <c r="O8" s="679"/>
      <c r="P8" s="679"/>
      <c r="Q8" s="666"/>
      <c r="R8" s="679"/>
      <c r="S8" s="637"/>
      <c r="T8" s="295" t="s">
        <v>76</v>
      </c>
      <c r="U8" s="295" t="s">
        <v>77</v>
      </c>
      <c r="V8" s="295" t="s">
        <v>78</v>
      </c>
      <c r="W8" s="296" t="s">
        <v>79</v>
      </c>
      <c r="X8" s="296" t="s">
        <v>80</v>
      </c>
      <c r="Y8" s="296" t="s">
        <v>81</v>
      </c>
      <c r="Z8" s="31" t="s">
        <v>82</v>
      </c>
      <c r="AA8" s="297" t="s">
        <v>83</v>
      </c>
      <c r="AB8" s="296" t="s">
        <v>84</v>
      </c>
      <c r="AC8" s="31" t="s">
        <v>85</v>
      </c>
      <c r="AD8" s="666"/>
      <c r="AE8" s="298" t="s">
        <v>86</v>
      </c>
      <c r="AF8" s="298" t="s">
        <v>87</v>
      </c>
      <c r="AG8" s="298" t="s">
        <v>88</v>
      </c>
      <c r="AH8" s="298" t="s">
        <v>89</v>
      </c>
      <c r="AI8" s="298" t="s">
        <v>90</v>
      </c>
      <c r="AJ8" s="298" t="s">
        <v>91</v>
      </c>
      <c r="AK8" s="298" t="s">
        <v>92</v>
      </c>
      <c r="AL8" s="298" t="s">
        <v>93</v>
      </c>
      <c r="AM8" s="298" t="s">
        <v>94</v>
      </c>
      <c r="AN8" s="298" t="s">
        <v>95</v>
      </c>
      <c r="AO8" s="298" t="s">
        <v>96</v>
      </c>
      <c r="AP8" s="298" t="s">
        <v>97</v>
      </c>
    </row>
    <row r="9" spans="1:42" s="285" customFormat="1" ht="85.5" customHeight="1" x14ac:dyDescent="0.25">
      <c r="A9" s="366" t="s">
        <v>156</v>
      </c>
      <c r="B9" s="366" t="s">
        <v>157</v>
      </c>
      <c r="C9" s="366" t="s">
        <v>158</v>
      </c>
      <c r="D9" s="367">
        <v>223110000</v>
      </c>
      <c r="E9" s="368" t="s">
        <v>2012</v>
      </c>
      <c r="F9" s="366" t="s">
        <v>2013</v>
      </c>
      <c r="G9" s="366" t="s">
        <v>2014</v>
      </c>
      <c r="H9" s="338">
        <v>600000000</v>
      </c>
      <c r="I9" s="338">
        <f>540000000+203000000</f>
        <v>743000000</v>
      </c>
      <c r="J9" s="39">
        <v>743000000</v>
      </c>
      <c r="K9" s="338">
        <v>0</v>
      </c>
      <c r="L9" s="338"/>
      <c r="M9" s="338">
        <v>100000000</v>
      </c>
      <c r="N9" s="338">
        <f>H9+K9</f>
        <v>600000000</v>
      </c>
      <c r="O9" s="338">
        <f>I9+L9</f>
        <v>743000000</v>
      </c>
      <c r="P9" s="338">
        <f>J9+M9</f>
        <v>843000000</v>
      </c>
      <c r="Q9" s="338">
        <v>743000000</v>
      </c>
      <c r="R9" s="338">
        <v>100000000</v>
      </c>
      <c r="S9" s="338">
        <f>Q9+R9</f>
        <v>843000000</v>
      </c>
      <c r="T9" s="369">
        <v>0</v>
      </c>
      <c r="U9" s="37">
        <v>0</v>
      </c>
      <c r="V9" s="37">
        <v>0</v>
      </c>
      <c r="W9" s="336"/>
      <c r="X9" s="336"/>
      <c r="Y9" s="336"/>
      <c r="Z9" s="336">
        <v>743000000</v>
      </c>
      <c r="AA9" s="336">
        <v>0</v>
      </c>
      <c r="AB9" s="336"/>
      <c r="AC9" s="336"/>
      <c r="AD9" s="10"/>
      <c r="AE9" s="339">
        <v>0</v>
      </c>
      <c r="AF9" s="339">
        <v>0</v>
      </c>
      <c r="AG9" s="339">
        <v>0</v>
      </c>
      <c r="AH9" s="339">
        <v>0</v>
      </c>
      <c r="AI9" s="339">
        <v>0</v>
      </c>
      <c r="AJ9" s="339">
        <v>0</v>
      </c>
      <c r="AK9" s="339">
        <v>0</v>
      </c>
      <c r="AL9" s="339">
        <v>0</v>
      </c>
      <c r="AM9" s="339">
        <v>0</v>
      </c>
      <c r="AN9" s="339">
        <v>0</v>
      </c>
      <c r="AO9" s="339">
        <v>0</v>
      </c>
      <c r="AP9" s="339">
        <v>0</v>
      </c>
    </row>
    <row r="10" spans="1:42" s="285" customFormat="1" ht="213" customHeight="1" x14ac:dyDescent="0.25">
      <c r="A10" s="366">
        <v>0</v>
      </c>
      <c r="B10" s="366">
        <v>0</v>
      </c>
      <c r="C10" s="370"/>
      <c r="D10" s="366">
        <v>0</v>
      </c>
      <c r="E10" s="368">
        <v>0</v>
      </c>
      <c r="F10" s="366">
        <v>0</v>
      </c>
      <c r="G10" s="366">
        <v>0</v>
      </c>
      <c r="H10" s="338">
        <v>0</v>
      </c>
      <c r="I10" s="39"/>
      <c r="J10" s="219"/>
      <c r="K10" s="39"/>
      <c r="L10" s="39"/>
      <c r="M10" s="39"/>
      <c r="N10" s="338">
        <f t="shared" ref="N10:P73" si="0">H10+K10</f>
        <v>0</v>
      </c>
      <c r="O10" s="338">
        <f t="shared" si="0"/>
        <v>0</v>
      </c>
      <c r="P10" s="338">
        <f t="shared" si="0"/>
        <v>0</v>
      </c>
      <c r="Q10" s="39"/>
      <c r="R10" s="39"/>
      <c r="S10" s="338">
        <f t="shared" ref="S10:S73" si="1">Q10+R10</f>
        <v>0</v>
      </c>
      <c r="T10" s="369" t="s">
        <v>2114</v>
      </c>
      <c r="U10" s="37" t="s">
        <v>2115</v>
      </c>
      <c r="V10" s="37">
        <v>18</v>
      </c>
      <c r="W10" s="10">
        <v>14</v>
      </c>
      <c r="X10" s="10"/>
      <c r="Y10" s="10">
        <v>14</v>
      </c>
      <c r="Z10" s="10">
        <v>18</v>
      </c>
      <c r="AA10" s="336">
        <v>365</v>
      </c>
      <c r="AB10" s="10">
        <v>180</v>
      </c>
      <c r="AC10" s="10">
        <v>365</v>
      </c>
      <c r="AD10" s="10" t="s">
        <v>2116</v>
      </c>
      <c r="AE10" s="339" t="s">
        <v>102</v>
      </c>
      <c r="AF10" s="339" t="s">
        <v>102</v>
      </c>
      <c r="AG10" s="339" t="s">
        <v>102</v>
      </c>
      <c r="AH10" s="339" t="s">
        <v>102</v>
      </c>
      <c r="AI10" s="339" t="s">
        <v>102</v>
      </c>
      <c r="AJ10" s="339" t="s">
        <v>102</v>
      </c>
      <c r="AK10" s="339" t="s">
        <v>102</v>
      </c>
      <c r="AL10" s="339" t="s">
        <v>102</v>
      </c>
      <c r="AM10" s="339" t="s">
        <v>102</v>
      </c>
      <c r="AN10" s="339" t="s">
        <v>102</v>
      </c>
      <c r="AO10" s="339" t="s">
        <v>102</v>
      </c>
      <c r="AP10" s="339" t="s">
        <v>102</v>
      </c>
    </row>
    <row r="11" spans="1:42" s="285" customFormat="1" ht="105" customHeight="1" x14ac:dyDescent="0.25">
      <c r="A11" s="366">
        <v>0</v>
      </c>
      <c r="B11" s="366">
        <v>0</v>
      </c>
      <c r="C11" s="366">
        <v>0</v>
      </c>
      <c r="D11" s="366">
        <v>0</v>
      </c>
      <c r="E11" s="368">
        <v>0</v>
      </c>
      <c r="F11" s="366">
        <v>0</v>
      </c>
      <c r="G11" s="366">
        <v>0</v>
      </c>
      <c r="H11" s="338">
        <v>0</v>
      </c>
      <c r="I11" s="39"/>
      <c r="J11" s="219"/>
      <c r="K11" s="39"/>
      <c r="L11" s="39"/>
      <c r="M11" s="39"/>
      <c r="N11" s="338">
        <f t="shared" si="0"/>
        <v>0</v>
      </c>
      <c r="O11" s="338">
        <f t="shared" si="0"/>
        <v>0</v>
      </c>
      <c r="P11" s="338">
        <f t="shared" si="0"/>
        <v>0</v>
      </c>
      <c r="Q11" s="39"/>
      <c r="R11" s="39"/>
      <c r="S11" s="338">
        <f t="shared" si="1"/>
        <v>0</v>
      </c>
      <c r="T11" s="369" t="s">
        <v>2117</v>
      </c>
      <c r="U11" s="37" t="s">
        <v>2118</v>
      </c>
      <c r="V11" s="37">
        <v>23</v>
      </c>
      <c r="W11" s="10">
        <v>41</v>
      </c>
      <c r="X11" s="10"/>
      <c r="Y11" s="10">
        <v>41</v>
      </c>
      <c r="Z11" s="10">
        <v>62</v>
      </c>
      <c r="AA11" s="336">
        <v>60</v>
      </c>
      <c r="AB11" s="10">
        <v>60</v>
      </c>
      <c r="AC11" s="10">
        <v>60</v>
      </c>
      <c r="AD11" s="10" t="s">
        <v>2119</v>
      </c>
      <c r="AE11" s="339">
        <v>0</v>
      </c>
      <c r="AF11" s="339">
        <v>0</v>
      </c>
      <c r="AG11" s="339" t="s">
        <v>102</v>
      </c>
      <c r="AH11" s="339" t="s">
        <v>102</v>
      </c>
      <c r="AI11" s="339">
        <v>0</v>
      </c>
      <c r="AJ11" s="339">
        <v>0</v>
      </c>
      <c r="AK11" s="339">
        <v>0</v>
      </c>
      <c r="AL11" s="339">
        <v>0</v>
      </c>
      <c r="AM11" s="339">
        <v>0</v>
      </c>
      <c r="AN11" s="339">
        <v>0</v>
      </c>
      <c r="AO11" s="339">
        <v>0</v>
      </c>
      <c r="AP11" s="339">
        <v>0</v>
      </c>
    </row>
    <row r="12" spans="1:42" s="285" customFormat="1" ht="106.5" customHeight="1" x14ac:dyDescent="0.25">
      <c r="A12" s="366" t="s">
        <v>1615</v>
      </c>
      <c r="B12" s="366" t="s">
        <v>2017</v>
      </c>
      <c r="C12" s="366" t="s">
        <v>2018</v>
      </c>
      <c r="D12" s="366">
        <v>231110000</v>
      </c>
      <c r="E12" s="368" t="s">
        <v>2020</v>
      </c>
      <c r="F12" s="366" t="s">
        <v>2021</v>
      </c>
      <c r="G12" s="366" t="s">
        <v>2022</v>
      </c>
      <c r="H12" s="338">
        <v>5000000000</v>
      </c>
      <c r="I12" s="39">
        <v>0</v>
      </c>
      <c r="J12" s="39">
        <v>7107000000</v>
      </c>
      <c r="K12" s="39"/>
      <c r="L12" s="39"/>
      <c r="M12" s="39">
        <f>130900000+42000000</f>
        <v>172900000</v>
      </c>
      <c r="N12" s="338">
        <f t="shared" si="0"/>
        <v>5000000000</v>
      </c>
      <c r="O12" s="338">
        <f t="shared" si="0"/>
        <v>0</v>
      </c>
      <c r="P12" s="338">
        <f t="shared" si="0"/>
        <v>7279900000</v>
      </c>
      <c r="Q12" s="39">
        <v>3667202178</v>
      </c>
      <c r="R12" s="39">
        <f>130900000+42000000</f>
        <v>172900000</v>
      </c>
      <c r="S12" s="338">
        <f t="shared" si="1"/>
        <v>3840102178</v>
      </c>
      <c r="T12" s="369">
        <v>0</v>
      </c>
      <c r="U12" s="37">
        <v>0</v>
      </c>
      <c r="V12" s="37">
        <v>0</v>
      </c>
      <c r="W12" s="10"/>
      <c r="X12" s="10"/>
      <c r="Y12" s="10"/>
      <c r="Z12" s="10"/>
      <c r="AA12" s="336">
        <v>0</v>
      </c>
      <c r="AB12" s="10"/>
      <c r="AC12" s="10"/>
      <c r="AD12" s="10"/>
      <c r="AE12" s="339">
        <v>0</v>
      </c>
      <c r="AF12" s="339">
        <v>0</v>
      </c>
      <c r="AG12" s="339">
        <v>0</v>
      </c>
      <c r="AH12" s="339">
        <v>0</v>
      </c>
      <c r="AI12" s="339">
        <v>0</v>
      </c>
      <c r="AJ12" s="339">
        <v>0</v>
      </c>
      <c r="AK12" s="339">
        <v>0</v>
      </c>
      <c r="AL12" s="339">
        <v>0</v>
      </c>
      <c r="AM12" s="339">
        <v>0</v>
      </c>
      <c r="AN12" s="339">
        <v>0</v>
      </c>
      <c r="AO12" s="339">
        <v>0</v>
      </c>
      <c r="AP12" s="339">
        <v>0</v>
      </c>
    </row>
    <row r="13" spans="1:42" s="285" customFormat="1" ht="409.5" x14ac:dyDescent="0.25">
      <c r="A13" s="366">
        <v>0</v>
      </c>
      <c r="B13" s="366">
        <v>0</v>
      </c>
      <c r="C13" s="366">
        <v>0</v>
      </c>
      <c r="D13" s="366">
        <v>0</v>
      </c>
      <c r="E13" s="368">
        <v>0</v>
      </c>
      <c r="F13" s="366">
        <v>0</v>
      </c>
      <c r="G13" s="366">
        <v>0</v>
      </c>
      <c r="H13" s="338">
        <v>0</v>
      </c>
      <c r="I13" s="39"/>
      <c r="J13" s="219"/>
      <c r="K13" s="39"/>
      <c r="L13" s="39"/>
      <c r="M13" s="39"/>
      <c r="N13" s="338">
        <f t="shared" si="0"/>
        <v>0</v>
      </c>
      <c r="O13" s="338">
        <f t="shared" si="0"/>
        <v>0</v>
      </c>
      <c r="P13" s="338">
        <f t="shared" si="0"/>
        <v>0</v>
      </c>
      <c r="Q13" s="39"/>
      <c r="R13" s="39"/>
      <c r="S13" s="338">
        <f t="shared" si="1"/>
        <v>0</v>
      </c>
      <c r="T13" s="369" t="s">
        <v>2120</v>
      </c>
      <c r="U13" s="37" t="s">
        <v>2121</v>
      </c>
      <c r="V13" s="37">
        <v>5</v>
      </c>
      <c r="W13" s="10">
        <v>2</v>
      </c>
      <c r="X13" s="10"/>
      <c r="Y13" s="10">
        <v>2</v>
      </c>
      <c r="Z13" s="10">
        <v>6</v>
      </c>
      <c r="AA13" s="336">
        <v>365</v>
      </c>
      <c r="AB13" s="10"/>
      <c r="AC13" s="10">
        <v>365</v>
      </c>
      <c r="AD13" s="10" t="s">
        <v>2122</v>
      </c>
      <c r="AE13" s="339" t="s">
        <v>102</v>
      </c>
      <c r="AF13" s="339" t="s">
        <v>102</v>
      </c>
      <c r="AG13" s="339" t="s">
        <v>102</v>
      </c>
      <c r="AH13" s="339" t="s">
        <v>102</v>
      </c>
      <c r="AI13" s="339" t="s">
        <v>102</v>
      </c>
      <c r="AJ13" s="339" t="s">
        <v>102</v>
      </c>
      <c r="AK13" s="339" t="s">
        <v>102</v>
      </c>
      <c r="AL13" s="339" t="s">
        <v>102</v>
      </c>
      <c r="AM13" s="339" t="s">
        <v>102</v>
      </c>
      <c r="AN13" s="339" t="s">
        <v>102</v>
      </c>
      <c r="AO13" s="339" t="s">
        <v>102</v>
      </c>
      <c r="AP13" s="339" t="s">
        <v>102</v>
      </c>
    </row>
    <row r="14" spans="1:42" s="285" customFormat="1" ht="101.25" customHeight="1" x14ac:dyDescent="0.25">
      <c r="A14" s="366" t="s">
        <v>1615</v>
      </c>
      <c r="B14" s="366" t="s">
        <v>2017</v>
      </c>
      <c r="C14" s="366" t="s">
        <v>2018</v>
      </c>
      <c r="D14" s="366">
        <v>231110000</v>
      </c>
      <c r="E14" s="368" t="s">
        <v>2025</v>
      </c>
      <c r="F14" s="366" t="s">
        <v>2026</v>
      </c>
      <c r="G14" s="366" t="s">
        <v>2123</v>
      </c>
      <c r="H14" s="338">
        <v>200000000</v>
      </c>
      <c r="I14" s="39">
        <v>0</v>
      </c>
      <c r="J14" s="39">
        <v>354000000</v>
      </c>
      <c r="K14" s="39"/>
      <c r="L14" s="39"/>
      <c r="M14" s="39"/>
      <c r="N14" s="338">
        <f t="shared" si="0"/>
        <v>200000000</v>
      </c>
      <c r="O14" s="338">
        <f t="shared" si="0"/>
        <v>0</v>
      </c>
      <c r="P14" s="338">
        <f t="shared" si="0"/>
        <v>354000000</v>
      </c>
      <c r="Q14" s="39">
        <v>354000000</v>
      </c>
      <c r="R14" s="39"/>
      <c r="S14" s="338">
        <f t="shared" si="1"/>
        <v>354000000</v>
      </c>
      <c r="T14" s="369">
        <v>0</v>
      </c>
      <c r="U14" s="37">
        <v>0</v>
      </c>
      <c r="V14" s="37">
        <v>0</v>
      </c>
      <c r="W14" s="10"/>
      <c r="X14" s="10"/>
      <c r="Y14" s="10"/>
      <c r="Z14" s="10"/>
      <c r="AA14" s="336">
        <v>0</v>
      </c>
      <c r="AB14" s="10"/>
      <c r="AC14" s="10"/>
      <c r="AD14" s="10"/>
      <c r="AE14" s="339">
        <v>0</v>
      </c>
      <c r="AF14" s="339">
        <v>0</v>
      </c>
      <c r="AG14" s="339">
        <v>0</v>
      </c>
      <c r="AH14" s="339">
        <v>0</v>
      </c>
      <c r="AI14" s="339">
        <v>0</v>
      </c>
      <c r="AJ14" s="339">
        <v>0</v>
      </c>
      <c r="AK14" s="339">
        <v>0</v>
      </c>
      <c r="AL14" s="339">
        <v>0</v>
      </c>
      <c r="AM14" s="339">
        <v>0</v>
      </c>
      <c r="AN14" s="339">
        <v>0</v>
      </c>
      <c r="AO14" s="339">
        <v>0</v>
      </c>
      <c r="AP14" s="339">
        <v>0</v>
      </c>
    </row>
    <row r="15" spans="1:42" s="285" customFormat="1" ht="210" x14ac:dyDescent="0.25">
      <c r="A15" s="366">
        <v>0</v>
      </c>
      <c r="B15" s="366">
        <v>0</v>
      </c>
      <c r="C15" s="366">
        <v>0</v>
      </c>
      <c r="D15" s="366">
        <v>0</v>
      </c>
      <c r="E15" s="368">
        <v>0</v>
      </c>
      <c r="F15" s="366">
        <v>0</v>
      </c>
      <c r="G15" s="366">
        <v>0</v>
      </c>
      <c r="H15" s="338">
        <v>0</v>
      </c>
      <c r="I15" s="39"/>
      <c r="J15" s="219"/>
      <c r="K15" s="39"/>
      <c r="L15" s="39"/>
      <c r="M15" s="39"/>
      <c r="N15" s="338">
        <f t="shared" si="0"/>
        <v>0</v>
      </c>
      <c r="O15" s="338">
        <f t="shared" si="0"/>
        <v>0</v>
      </c>
      <c r="P15" s="338">
        <f t="shared" si="0"/>
        <v>0</v>
      </c>
      <c r="Q15" s="39"/>
      <c r="R15" s="39"/>
      <c r="S15" s="338">
        <f t="shared" si="1"/>
        <v>0</v>
      </c>
      <c r="T15" s="369" t="s">
        <v>2124</v>
      </c>
      <c r="U15" s="37" t="s">
        <v>2125</v>
      </c>
      <c r="V15" s="37">
        <v>2</v>
      </c>
      <c r="W15" s="10">
        <v>1</v>
      </c>
      <c r="X15" s="10"/>
      <c r="Y15" s="10">
        <v>1</v>
      </c>
      <c r="Z15" s="10">
        <v>1</v>
      </c>
      <c r="AA15" s="336">
        <v>180</v>
      </c>
      <c r="AB15" s="10">
        <v>180</v>
      </c>
      <c r="AC15" s="10">
        <v>180</v>
      </c>
      <c r="AD15" s="10" t="s">
        <v>2126</v>
      </c>
      <c r="AE15" s="339" t="s">
        <v>218</v>
      </c>
      <c r="AF15" s="339" t="s">
        <v>218</v>
      </c>
      <c r="AG15" s="339" t="s">
        <v>218</v>
      </c>
      <c r="AH15" s="339" t="s">
        <v>102</v>
      </c>
      <c r="AI15" s="339" t="s">
        <v>102</v>
      </c>
      <c r="AJ15" s="339" t="s">
        <v>102</v>
      </c>
      <c r="AK15" s="339" t="s">
        <v>102</v>
      </c>
      <c r="AL15" s="339" t="s">
        <v>102</v>
      </c>
      <c r="AM15" s="339" t="s">
        <v>102</v>
      </c>
      <c r="AN15" s="339" t="s">
        <v>102</v>
      </c>
      <c r="AO15" s="339" t="s">
        <v>102</v>
      </c>
      <c r="AP15" s="339"/>
    </row>
    <row r="16" spans="1:42" s="285" customFormat="1" ht="60.75" customHeight="1" x14ac:dyDescent="0.25">
      <c r="A16" s="366" t="s">
        <v>1615</v>
      </c>
      <c r="B16" s="366" t="s">
        <v>2017</v>
      </c>
      <c r="C16" s="366" t="s">
        <v>2028</v>
      </c>
      <c r="D16" s="366">
        <v>231210000</v>
      </c>
      <c r="E16" s="368" t="s">
        <v>2030</v>
      </c>
      <c r="F16" s="366" t="s">
        <v>2031</v>
      </c>
      <c r="G16" s="366" t="s">
        <v>2032</v>
      </c>
      <c r="H16" s="338">
        <v>150000000</v>
      </c>
      <c r="I16" s="39">
        <v>0</v>
      </c>
      <c r="J16" s="39">
        <v>150000000</v>
      </c>
      <c r="K16" s="39"/>
      <c r="L16" s="39"/>
      <c r="M16" s="39"/>
      <c r="N16" s="338">
        <f t="shared" si="0"/>
        <v>150000000</v>
      </c>
      <c r="O16" s="338">
        <f t="shared" si="0"/>
        <v>0</v>
      </c>
      <c r="P16" s="338">
        <f t="shared" si="0"/>
        <v>150000000</v>
      </c>
      <c r="Q16" s="39">
        <v>150000000</v>
      </c>
      <c r="R16" s="39"/>
      <c r="S16" s="338">
        <f t="shared" si="1"/>
        <v>150000000</v>
      </c>
      <c r="T16" s="369">
        <v>0</v>
      </c>
      <c r="U16" s="37">
        <v>0</v>
      </c>
      <c r="V16" s="37">
        <v>0</v>
      </c>
      <c r="W16" s="10"/>
      <c r="X16" s="10"/>
      <c r="Y16" s="10"/>
      <c r="Z16" s="10"/>
      <c r="AA16" s="336">
        <v>0</v>
      </c>
      <c r="AB16" s="10"/>
      <c r="AC16" s="10"/>
      <c r="AD16" s="10"/>
      <c r="AE16" s="339">
        <v>0</v>
      </c>
      <c r="AF16" s="339">
        <v>0</v>
      </c>
      <c r="AG16" s="339">
        <v>0</v>
      </c>
      <c r="AH16" s="339">
        <v>0</v>
      </c>
      <c r="AI16" s="339">
        <v>0</v>
      </c>
      <c r="AJ16" s="339">
        <v>0</v>
      </c>
      <c r="AK16" s="339">
        <v>0</v>
      </c>
      <c r="AL16" s="339">
        <v>0</v>
      </c>
      <c r="AM16" s="339">
        <v>0</v>
      </c>
      <c r="AN16" s="339">
        <v>0</v>
      </c>
      <c r="AO16" s="339">
        <v>0</v>
      </c>
      <c r="AP16" s="339">
        <v>0</v>
      </c>
    </row>
    <row r="17" spans="1:42" s="285" customFormat="1" ht="145.5" customHeight="1" x14ac:dyDescent="0.25">
      <c r="A17" s="366">
        <v>0</v>
      </c>
      <c r="B17" s="366">
        <v>0</v>
      </c>
      <c r="C17" s="366">
        <v>0</v>
      </c>
      <c r="D17" s="366">
        <v>0</v>
      </c>
      <c r="E17" s="368">
        <v>0</v>
      </c>
      <c r="F17" s="368">
        <v>0</v>
      </c>
      <c r="G17" s="368">
        <v>0</v>
      </c>
      <c r="H17" s="338">
        <v>0</v>
      </c>
      <c r="I17" s="39"/>
      <c r="J17" s="219"/>
      <c r="K17" s="39"/>
      <c r="L17" s="39"/>
      <c r="M17" s="39"/>
      <c r="N17" s="338">
        <f t="shared" si="0"/>
        <v>0</v>
      </c>
      <c r="O17" s="338">
        <f t="shared" si="0"/>
        <v>0</v>
      </c>
      <c r="P17" s="338">
        <f t="shared" si="0"/>
        <v>0</v>
      </c>
      <c r="Q17" s="39"/>
      <c r="R17" s="39"/>
      <c r="S17" s="338">
        <f t="shared" si="1"/>
        <v>0</v>
      </c>
      <c r="T17" s="369" t="s">
        <v>2127</v>
      </c>
      <c r="U17" s="37" t="s">
        <v>2125</v>
      </c>
      <c r="V17" s="37">
        <v>1</v>
      </c>
      <c r="W17" s="10">
        <v>1</v>
      </c>
      <c r="X17" s="10"/>
      <c r="Y17" s="10">
        <v>1</v>
      </c>
      <c r="Z17" s="10">
        <v>1</v>
      </c>
      <c r="AA17" s="336">
        <v>180</v>
      </c>
      <c r="AB17" s="10">
        <v>150</v>
      </c>
      <c r="AC17" s="10">
        <v>180</v>
      </c>
      <c r="AD17" s="10" t="s">
        <v>2128</v>
      </c>
      <c r="AE17" s="339">
        <v>0</v>
      </c>
      <c r="AF17" s="339">
        <v>0</v>
      </c>
      <c r="AG17" s="339" t="s">
        <v>102</v>
      </c>
      <c r="AH17" s="339" t="s">
        <v>102</v>
      </c>
      <c r="AI17" s="339" t="s">
        <v>102</v>
      </c>
      <c r="AJ17" s="339" t="s">
        <v>102</v>
      </c>
      <c r="AK17" s="339" t="s">
        <v>102</v>
      </c>
      <c r="AL17" s="339" t="s">
        <v>102</v>
      </c>
      <c r="AM17" s="339">
        <v>0</v>
      </c>
      <c r="AN17" s="339">
        <v>0</v>
      </c>
      <c r="AO17" s="339">
        <v>0</v>
      </c>
      <c r="AP17" s="339">
        <v>0</v>
      </c>
    </row>
    <row r="18" spans="1:42" s="285" customFormat="1" ht="103.5" customHeight="1" x14ac:dyDescent="0.25">
      <c r="A18" s="366" t="s">
        <v>1615</v>
      </c>
      <c r="B18" s="366" t="s">
        <v>2017</v>
      </c>
      <c r="C18" s="366" t="s">
        <v>2028</v>
      </c>
      <c r="D18" s="366">
        <v>231210000</v>
      </c>
      <c r="E18" s="368" t="s">
        <v>2035</v>
      </c>
      <c r="F18" s="366" t="s">
        <v>2036</v>
      </c>
      <c r="G18" s="366" t="s">
        <v>2037</v>
      </c>
      <c r="H18" s="338">
        <v>50000000</v>
      </c>
      <c r="I18" s="39">
        <v>0</v>
      </c>
      <c r="J18" s="39">
        <v>50000000</v>
      </c>
      <c r="K18" s="39"/>
      <c r="L18" s="39"/>
      <c r="M18" s="39"/>
      <c r="N18" s="338">
        <f t="shared" si="0"/>
        <v>50000000</v>
      </c>
      <c r="O18" s="338">
        <f t="shared" si="0"/>
        <v>0</v>
      </c>
      <c r="P18" s="338">
        <f t="shared" si="0"/>
        <v>50000000</v>
      </c>
      <c r="Q18" s="39">
        <v>50000000</v>
      </c>
      <c r="R18" s="39"/>
      <c r="S18" s="338">
        <f t="shared" si="1"/>
        <v>50000000</v>
      </c>
      <c r="T18" s="369">
        <v>0</v>
      </c>
      <c r="U18" s="37">
        <v>0</v>
      </c>
      <c r="V18" s="37">
        <v>0</v>
      </c>
      <c r="W18" s="10"/>
      <c r="X18" s="10"/>
      <c r="Y18" s="10"/>
      <c r="Z18" s="10"/>
      <c r="AA18" s="336">
        <v>0</v>
      </c>
      <c r="AB18" s="10"/>
      <c r="AC18" s="10"/>
      <c r="AD18" s="10"/>
      <c r="AE18" s="339">
        <v>0</v>
      </c>
      <c r="AF18" s="339">
        <v>0</v>
      </c>
      <c r="AG18" s="339">
        <v>0</v>
      </c>
      <c r="AH18" s="339">
        <v>0</v>
      </c>
      <c r="AI18" s="339">
        <v>0</v>
      </c>
      <c r="AJ18" s="339">
        <v>0</v>
      </c>
      <c r="AK18" s="339">
        <v>0</v>
      </c>
      <c r="AL18" s="339">
        <v>0</v>
      </c>
      <c r="AM18" s="339">
        <v>0</v>
      </c>
      <c r="AN18" s="339">
        <v>0</v>
      </c>
      <c r="AO18" s="339">
        <v>0</v>
      </c>
      <c r="AP18" s="339">
        <v>0</v>
      </c>
    </row>
    <row r="19" spans="1:42" s="285" customFormat="1" ht="167.25" customHeight="1" x14ac:dyDescent="0.25">
      <c r="A19" s="366">
        <v>0</v>
      </c>
      <c r="B19" s="366">
        <v>0</v>
      </c>
      <c r="C19" s="366">
        <v>0</v>
      </c>
      <c r="D19" s="366">
        <v>0</v>
      </c>
      <c r="E19" s="368">
        <v>0</v>
      </c>
      <c r="F19" s="366">
        <v>0</v>
      </c>
      <c r="G19" s="366">
        <v>0</v>
      </c>
      <c r="H19" s="338">
        <v>0</v>
      </c>
      <c r="I19" s="39"/>
      <c r="J19" s="219"/>
      <c r="K19" s="39"/>
      <c r="L19" s="39"/>
      <c r="M19" s="39"/>
      <c r="N19" s="338">
        <f t="shared" si="0"/>
        <v>0</v>
      </c>
      <c r="O19" s="338">
        <f t="shared" si="0"/>
        <v>0</v>
      </c>
      <c r="P19" s="338">
        <f t="shared" si="0"/>
        <v>0</v>
      </c>
      <c r="Q19" s="39"/>
      <c r="R19" s="39"/>
      <c r="S19" s="338">
        <f t="shared" si="1"/>
        <v>0</v>
      </c>
      <c r="T19" s="369" t="s">
        <v>2129</v>
      </c>
      <c r="U19" s="37" t="s">
        <v>941</v>
      </c>
      <c r="V19" s="37">
        <v>12</v>
      </c>
      <c r="W19" s="10">
        <v>17</v>
      </c>
      <c r="X19" s="10"/>
      <c r="Y19" s="10">
        <v>17</v>
      </c>
      <c r="Z19" s="10">
        <v>17</v>
      </c>
      <c r="AA19" s="336">
        <v>270</v>
      </c>
      <c r="AB19" s="10">
        <v>180</v>
      </c>
      <c r="AC19" s="10">
        <v>270</v>
      </c>
      <c r="AD19" s="10" t="s">
        <v>2130</v>
      </c>
      <c r="AE19" s="339">
        <v>0</v>
      </c>
      <c r="AF19" s="339">
        <v>0</v>
      </c>
      <c r="AG19" s="339" t="s">
        <v>102</v>
      </c>
      <c r="AH19" s="339" t="s">
        <v>102</v>
      </c>
      <c r="AI19" s="339" t="s">
        <v>102</v>
      </c>
      <c r="AJ19" s="339" t="s">
        <v>102</v>
      </c>
      <c r="AK19" s="339" t="s">
        <v>102</v>
      </c>
      <c r="AL19" s="339" t="s">
        <v>102</v>
      </c>
      <c r="AM19" s="339" t="s">
        <v>102</v>
      </c>
      <c r="AN19" s="339" t="s">
        <v>102</v>
      </c>
      <c r="AO19" s="339" t="s">
        <v>102</v>
      </c>
      <c r="AP19" s="339">
        <v>0</v>
      </c>
    </row>
    <row r="20" spans="1:42" s="285" customFormat="1" ht="115.5" customHeight="1" x14ac:dyDescent="0.25">
      <c r="A20" s="366" t="s">
        <v>1615</v>
      </c>
      <c r="B20" s="366" t="s">
        <v>2017</v>
      </c>
      <c r="C20" s="366" t="s">
        <v>2028</v>
      </c>
      <c r="D20" s="366">
        <v>231210000</v>
      </c>
      <c r="E20" s="368" t="s">
        <v>2038</v>
      </c>
      <c r="F20" s="366" t="s">
        <v>2039</v>
      </c>
      <c r="G20" s="366" t="s">
        <v>2040</v>
      </c>
      <c r="H20" s="338">
        <v>216000000</v>
      </c>
      <c r="I20" s="39">
        <v>356000000</v>
      </c>
      <c r="J20" s="39">
        <v>206000000</v>
      </c>
      <c r="K20" s="39"/>
      <c r="L20" s="39"/>
      <c r="M20" s="39"/>
      <c r="N20" s="338">
        <f t="shared" si="0"/>
        <v>216000000</v>
      </c>
      <c r="O20" s="338">
        <f t="shared" si="0"/>
        <v>356000000</v>
      </c>
      <c r="P20" s="338">
        <f t="shared" si="0"/>
        <v>206000000</v>
      </c>
      <c r="Q20" s="39">
        <v>206000000</v>
      </c>
      <c r="R20" s="39"/>
      <c r="S20" s="338">
        <f t="shared" si="1"/>
        <v>206000000</v>
      </c>
      <c r="T20" s="369">
        <v>0</v>
      </c>
      <c r="U20" s="37">
        <v>0</v>
      </c>
      <c r="V20" s="37">
        <v>0</v>
      </c>
      <c r="W20" s="10"/>
      <c r="X20" s="10"/>
      <c r="Y20" s="10"/>
      <c r="Z20" s="10"/>
      <c r="AA20" s="336">
        <v>0</v>
      </c>
      <c r="AB20" s="10"/>
      <c r="AC20" s="10"/>
      <c r="AD20" s="10"/>
      <c r="AE20" s="339">
        <v>0</v>
      </c>
      <c r="AF20" s="339">
        <v>0</v>
      </c>
      <c r="AG20" s="339">
        <v>0</v>
      </c>
      <c r="AH20" s="339">
        <v>0</v>
      </c>
      <c r="AI20" s="339">
        <v>0</v>
      </c>
      <c r="AJ20" s="339">
        <v>0</v>
      </c>
      <c r="AK20" s="339">
        <v>0</v>
      </c>
      <c r="AL20" s="339">
        <v>0</v>
      </c>
      <c r="AM20" s="339">
        <v>0</v>
      </c>
      <c r="AN20" s="339">
        <v>0</v>
      </c>
      <c r="AO20" s="339">
        <v>0</v>
      </c>
      <c r="AP20" s="339">
        <v>0</v>
      </c>
    </row>
    <row r="21" spans="1:42" s="285" customFormat="1" ht="183" customHeight="1" x14ac:dyDescent="0.25">
      <c r="A21" s="366">
        <v>0</v>
      </c>
      <c r="B21" s="366">
        <v>0</v>
      </c>
      <c r="C21" s="366">
        <v>0</v>
      </c>
      <c r="D21" s="366">
        <v>0</v>
      </c>
      <c r="E21" s="368">
        <v>0</v>
      </c>
      <c r="F21" s="366">
        <v>0</v>
      </c>
      <c r="G21" s="366">
        <v>0</v>
      </c>
      <c r="H21" s="338">
        <v>0</v>
      </c>
      <c r="I21" s="39"/>
      <c r="J21" s="219"/>
      <c r="K21" s="39"/>
      <c r="L21" s="39"/>
      <c r="M21" s="39"/>
      <c r="N21" s="338">
        <f t="shared" si="0"/>
        <v>0</v>
      </c>
      <c r="O21" s="338">
        <f t="shared" si="0"/>
        <v>0</v>
      </c>
      <c r="P21" s="338">
        <f t="shared" si="0"/>
        <v>0</v>
      </c>
      <c r="Q21" s="39"/>
      <c r="R21" s="39"/>
      <c r="S21" s="338">
        <f t="shared" si="1"/>
        <v>0</v>
      </c>
      <c r="T21" s="369" t="s">
        <v>2131</v>
      </c>
      <c r="U21" s="37" t="s">
        <v>941</v>
      </c>
      <c r="V21" s="37">
        <v>25</v>
      </c>
      <c r="W21" s="10">
        <v>20</v>
      </c>
      <c r="X21" s="10"/>
      <c r="Y21" s="10">
        <v>20</v>
      </c>
      <c r="Z21" s="10">
        <v>22</v>
      </c>
      <c r="AA21" s="336">
        <v>270</v>
      </c>
      <c r="AB21" s="10">
        <v>180</v>
      </c>
      <c r="AC21" s="10">
        <v>270</v>
      </c>
      <c r="AD21" s="10" t="s">
        <v>2132</v>
      </c>
      <c r="AE21" s="339">
        <v>0</v>
      </c>
      <c r="AF21" s="339">
        <v>0</v>
      </c>
      <c r="AG21" s="339" t="s">
        <v>102</v>
      </c>
      <c r="AH21" s="339" t="s">
        <v>102</v>
      </c>
      <c r="AI21" s="339" t="s">
        <v>102</v>
      </c>
      <c r="AJ21" s="339" t="s">
        <v>102</v>
      </c>
      <c r="AK21" s="339" t="s">
        <v>102</v>
      </c>
      <c r="AL21" s="339" t="s">
        <v>102</v>
      </c>
      <c r="AM21" s="339" t="s">
        <v>102</v>
      </c>
      <c r="AN21" s="339" t="s">
        <v>102</v>
      </c>
      <c r="AO21" s="339" t="s">
        <v>102</v>
      </c>
      <c r="AP21" s="339">
        <v>0</v>
      </c>
    </row>
    <row r="22" spans="1:42" s="285" customFormat="1" ht="85.5" customHeight="1" x14ac:dyDescent="0.25">
      <c r="A22" s="366">
        <v>0</v>
      </c>
      <c r="B22" s="366">
        <v>0</v>
      </c>
      <c r="C22" s="366">
        <v>0</v>
      </c>
      <c r="D22" s="366">
        <v>0</v>
      </c>
      <c r="E22" s="366">
        <v>0</v>
      </c>
      <c r="F22" s="366">
        <v>0</v>
      </c>
      <c r="G22" s="366">
        <v>0</v>
      </c>
      <c r="H22" s="338">
        <v>0</v>
      </c>
      <c r="I22" s="39"/>
      <c r="J22" s="219"/>
      <c r="K22" s="39"/>
      <c r="L22" s="39"/>
      <c r="M22" s="39"/>
      <c r="N22" s="338">
        <f t="shared" si="0"/>
        <v>0</v>
      </c>
      <c r="O22" s="338">
        <f t="shared" si="0"/>
        <v>0</v>
      </c>
      <c r="P22" s="338">
        <f t="shared" si="0"/>
        <v>0</v>
      </c>
      <c r="Q22" s="39"/>
      <c r="R22" s="39"/>
      <c r="S22" s="338">
        <f t="shared" si="1"/>
        <v>0</v>
      </c>
      <c r="T22" s="369" t="s">
        <v>2133</v>
      </c>
      <c r="U22" s="37" t="s">
        <v>2134</v>
      </c>
      <c r="V22" s="37">
        <v>1</v>
      </c>
      <c r="W22" s="10">
        <v>1</v>
      </c>
      <c r="X22" s="10"/>
      <c r="Y22" s="10">
        <v>1</v>
      </c>
      <c r="Z22" s="10">
        <v>1</v>
      </c>
      <c r="AA22" s="336">
        <v>180</v>
      </c>
      <c r="AB22" s="10">
        <v>180</v>
      </c>
      <c r="AC22" s="10">
        <v>180</v>
      </c>
      <c r="AD22" s="10" t="s">
        <v>2135</v>
      </c>
      <c r="AE22" s="339">
        <v>0</v>
      </c>
      <c r="AF22" s="339">
        <v>0</v>
      </c>
      <c r="AG22" s="339" t="s">
        <v>102</v>
      </c>
      <c r="AH22" s="339" t="s">
        <v>102</v>
      </c>
      <c r="AI22" s="339" t="s">
        <v>102</v>
      </c>
      <c r="AJ22" s="339" t="s">
        <v>102</v>
      </c>
      <c r="AK22" s="339" t="s">
        <v>102</v>
      </c>
      <c r="AL22" s="339" t="s">
        <v>102</v>
      </c>
      <c r="AM22" s="339">
        <v>0</v>
      </c>
      <c r="AN22" s="339">
        <v>0</v>
      </c>
      <c r="AO22" s="339">
        <v>0</v>
      </c>
      <c r="AP22" s="339">
        <v>0</v>
      </c>
    </row>
    <row r="23" spans="1:42" s="285" customFormat="1" ht="96.75" customHeight="1" x14ac:dyDescent="0.25">
      <c r="A23" s="366" t="s">
        <v>1615</v>
      </c>
      <c r="B23" s="366" t="s">
        <v>2017</v>
      </c>
      <c r="C23" s="366" t="s">
        <v>2028</v>
      </c>
      <c r="D23" s="366">
        <v>231230000</v>
      </c>
      <c r="E23" s="368" t="s">
        <v>2042</v>
      </c>
      <c r="F23" s="366" t="s">
        <v>2043</v>
      </c>
      <c r="G23" s="366" t="s">
        <v>2044</v>
      </c>
      <c r="H23" s="338">
        <v>914000000</v>
      </c>
      <c r="I23" s="39">
        <v>0</v>
      </c>
      <c r="J23" s="39">
        <v>914000000</v>
      </c>
      <c r="K23" s="39"/>
      <c r="L23" s="39"/>
      <c r="M23" s="39"/>
      <c r="N23" s="338">
        <f t="shared" si="0"/>
        <v>914000000</v>
      </c>
      <c r="O23" s="338">
        <f t="shared" si="0"/>
        <v>0</v>
      </c>
      <c r="P23" s="338"/>
      <c r="Q23" s="39">
        <v>914000000</v>
      </c>
      <c r="R23" s="39"/>
      <c r="S23" s="338">
        <f t="shared" si="1"/>
        <v>914000000</v>
      </c>
      <c r="T23" s="369">
        <v>0</v>
      </c>
      <c r="U23" s="37">
        <v>0</v>
      </c>
      <c r="V23" s="37">
        <v>0</v>
      </c>
      <c r="W23" s="10"/>
      <c r="X23" s="10"/>
      <c r="Y23" s="10"/>
      <c r="Z23" s="10"/>
      <c r="AA23" s="336">
        <v>0</v>
      </c>
      <c r="AB23" s="10"/>
      <c r="AC23" s="10"/>
      <c r="AD23" s="10"/>
      <c r="AE23" s="339">
        <v>0</v>
      </c>
      <c r="AF23" s="339">
        <v>0</v>
      </c>
      <c r="AG23" s="339">
        <v>0</v>
      </c>
      <c r="AH23" s="339">
        <v>0</v>
      </c>
      <c r="AI23" s="339">
        <v>0</v>
      </c>
      <c r="AJ23" s="339">
        <v>0</v>
      </c>
      <c r="AK23" s="339">
        <v>0</v>
      </c>
      <c r="AL23" s="339">
        <v>0</v>
      </c>
      <c r="AM23" s="339">
        <v>0</v>
      </c>
      <c r="AN23" s="339">
        <v>0</v>
      </c>
      <c r="AO23" s="339">
        <v>0</v>
      </c>
      <c r="AP23" s="339">
        <v>0</v>
      </c>
    </row>
    <row r="24" spans="1:42" s="285" customFormat="1" ht="45" x14ac:dyDescent="0.25">
      <c r="A24" s="366">
        <v>0</v>
      </c>
      <c r="B24" s="366">
        <v>0</v>
      </c>
      <c r="C24" s="366">
        <v>0</v>
      </c>
      <c r="D24" s="366">
        <v>0</v>
      </c>
      <c r="E24" s="368">
        <v>0</v>
      </c>
      <c r="F24" s="366">
        <v>0</v>
      </c>
      <c r="G24" s="366">
        <v>0</v>
      </c>
      <c r="H24" s="338">
        <v>0</v>
      </c>
      <c r="I24" s="39"/>
      <c r="J24" s="219"/>
      <c r="K24" s="39"/>
      <c r="L24" s="39"/>
      <c r="M24" s="39"/>
      <c r="N24" s="338">
        <f t="shared" si="0"/>
        <v>0</v>
      </c>
      <c r="O24" s="338">
        <f t="shared" si="0"/>
        <v>0</v>
      </c>
      <c r="P24" s="338">
        <f t="shared" si="0"/>
        <v>0</v>
      </c>
      <c r="Q24" s="39"/>
      <c r="R24" s="39"/>
      <c r="S24" s="338">
        <f t="shared" si="1"/>
        <v>0</v>
      </c>
      <c r="T24" s="369" t="s">
        <v>2136</v>
      </c>
      <c r="U24" s="37" t="s">
        <v>2137</v>
      </c>
      <c r="V24" s="37">
        <v>340</v>
      </c>
      <c r="W24" s="10">
        <v>179</v>
      </c>
      <c r="X24" s="10"/>
      <c r="Y24" s="10">
        <v>179</v>
      </c>
      <c r="Z24" s="10">
        <f>363-179</f>
        <v>184</v>
      </c>
      <c r="AA24" s="336">
        <v>365</v>
      </c>
      <c r="AB24" s="10"/>
      <c r="AC24" s="10">
        <v>365</v>
      </c>
      <c r="AD24" s="10" t="s">
        <v>2138</v>
      </c>
      <c r="AE24" s="339" t="s">
        <v>102</v>
      </c>
      <c r="AF24" s="339" t="s">
        <v>102</v>
      </c>
      <c r="AG24" s="339" t="s">
        <v>102</v>
      </c>
      <c r="AH24" s="339" t="s">
        <v>102</v>
      </c>
      <c r="AI24" s="339" t="s">
        <v>102</v>
      </c>
      <c r="AJ24" s="339" t="s">
        <v>102</v>
      </c>
      <c r="AK24" s="339" t="s">
        <v>102</v>
      </c>
      <c r="AL24" s="339" t="s">
        <v>102</v>
      </c>
      <c r="AM24" s="339" t="s">
        <v>102</v>
      </c>
      <c r="AN24" s="339" t="s">
        <v>102</v>
      </c>
      <c r="AO24" s="339" t="s">
        <v>102</v>
      </c>
      <c r="AP24" s="339" t="s">
        <v>102</v>
      </c>
    </row>
    <row r="25" spans="1:42" s="285" customFormat="1" ht="106.5" customHeight="1" x14ac:dyDescent="0.25">
      <c r="A25" s="366">
        <v>0</v>
      </c>
      <c r="B25" s="366">
        <v>0</v>
      </c>
      <c r="C25" s="366">
        <v>0</v>
      </c>
      <c r="D25" s="366">
        <v>0</v>
      </c>
      <c r="E25" s="368">
        <v>0</v>
      </c>
      <c r="F25" s="366">
        <v>0</v>
      </c>
      <c r="G25" s="366">
        <v>0</v>
      </c>
      <c r="H25" s="338">
        <v>0</v>
      </c>
      <c r="I25" s="39"/>
      <c r="J25" s="219"/>
      <c r="K25" s="39"/>
      <c r="L25" s="39"/>
      <c r="M25" s="39"/>
      <c r="N25" s="338">
        <f t="shared" si="0"/>
        <v>0</v>
      </c>
      <c r="O25" s="338">
        <f t="shared" si="0"/>
        <v>0</v>
      </c>
      <c r="P25" s="338">
        <f t="shared" si="0"/>
        <v>0</v>
      </c>
      <c r="Q25" s="39"/>
      <c r="R25" s="39"/>
      <c r="S25" s="338">
        <f t="shared" si="1"/>
        <v>0</v>
      </c>
      <c r="T25" s="369" t="s">
        <v>2139</v>
      </c>
      <c r="U25" s="37" t="s">
        <v>2137</v>
      </c>
      <c r="V25" s="37">
        <v>340</v>
      </c>
      <c r="W25" s="10">
        <v>108</v>
      </c>
      <c r="X25" s="10"/>
      <c r="Y25" s="10">
        <v>108</v>
      </c>
      <c r="Z25" s="10">
        <v>234</v>
      </c>
      <c r="AA25" s="336">
        <v>365</v>
      </c>
      <c r="AB25" s="10">
        <v>180</v>
      </c>
      <c r="AC25" s="10">
        <v>365</v>
      </c>
      <c r="AD25" s="10" t="s">
        <v>2140</v>
      </c>
      <c r="AE25" s="339" t="s">
        <v>102</v>
      </c>
      <c r="AF25" s="339" t="s">
        <v>102</v>
      </c>
      <c r="AG25" s="339" t="s">
        <v>102</v>
      </c>
      <c r="AH25" s="339" t="s">
        <v>102</v>
      </c>
      <c r="AI25" s="339" t="s">
        <v>102</v>
      </c>
      <c r="AJ25" s="339" t="s">
        <v>102</v>
      </c>
      <c r="AK25" s="339" t="s">
        <v>102</v>
      </c>
      <c r="AL25" s="339" t="s">
        <v>102</v>
      </c>
      <c r="AM25" s="339" t="s">
        <v>102</v>
      </c>
      <c r="AN25" s="339" t="s">
        <v>102</v>
      </c>
      <c r="AO25" s="339" t="s">
        <v>102</v>
      </c>
      <c r="AP25" s="339" t="s">
        <v>102</v>
      </c>
    </row>
    <row r="26" spans="1:42" s="285" customFormat="1" ht="63.75" customHeight="1" x14ac:dyDescent="0.25">
      <c r="A26" s="366">
        <v>0</v>
      </c>
      <c r="B26" s="366">
        <v>0</v>
      </c>
      <c r="C26" s="366">
        <v>0</v>
      </c>
      <c r="D26" s="366">
        <v>0</v>
      </c>
      <c r="E26" s="368">
        <v>0</v>
      </c>
      <c r="F26" s="366">
        <v>0</v>
      </c>
      <c r="G26" s="366">
        <v>0</v>
      </c>
      <c r="H26" s="338">
        <v>0</v>
      </c>
      <c r="I26" s="39"/>
      <c r="J26" s="219"/>
      <c r="K26" s="39"/>
      <c r="L26" s="39"/>
      <c r="M26" s="39"/>
      <c r="N26" s="338">
        <f t="shared" si="0"/>
        <v>0</v>
      </c>
      <c r="O26" s="338">
        <f t="shared" si="0"/>
        <v>0</v>
      </c>
      <c r="P26" s="338">
        <f t="shared" si="0"/>
        <v>0</v>
      </c>
      <c r="Q26" s="39"/>
      <c r="R26" s="39"/>
      <c r="S26" s="338">
        <f t="shared" si="1"/>
        <v>0</v>
      </c>
      <c r="T26" s="369" t="s">
        <v>2141</v>
      </c>
      <c r="U26" s="37" t="s">
        <v>2137</v>
      </c>
      <c r="V26" s="37">
        <v>45</v>
      </c>
      <c r="W26" s="10">
        <v>22</v>
      </c>
      <c r="X26" s="10"/>
      <c r="Y26" s="10">
        <v>22</v>
      </c>
      <c r="Z26" s="10">
        <v>41</v>
      </c>
      <c r="AA26" s="336">
        <v>365</v>
      </c>
      <c r="AB26" s="10">
        <v>180</v>
      </c>
      <c r="AC26" s="10">
        <v>365</v>
      </c>
      <c r="AD26" s="10" t="s">
        <v>2142</v>
      </c>
      <c r="AE26" s="339" t="s">
        <v>102</v>
      </c>
      <c r="AF26" s="339" t="s">
        <v>102</v>
      </c>
      <c r="AG26" s="339" t="s">
        <v>102</v>
      </c>
      <c r="AH26" s="339" t="s">
        <v>102</v>
      </c>
      <c r="AI26" s="339" t="s">
        <v>102</v>
      </c>
      <c r="AJ26" s="339" t="s">
        <v>102</v>
      </c>
      <c r="AK26" s="339" t="s">
        <v>102</v>
      </c>
      <c r="AL26" s="339" t="s">
        <v>102</v>
      </c>
      <c r="AM26" s="339" t="s">
        <v>102</v>
      </c>
      <c r="AN26" s="339" t="s">
        <v>102</v>
      </c>
      <c r="AO26" s="339" t="s">
        <v>102</v>
      </c>
      <c r="AP26" s="339" t="s">
        <v>102</v>
      </c>
    </row>
    <row r="27" spans="1:42" s="285" customFormat="1" ht="87.75" customHeight="1" x14ac:dyDescent="0.25">
      <c r="A27" s="366">
        <v>0</v>
      </c>
      <c r="B27" s="366">
        <v>0</v>
      </c>
      <c r="C27" s="366">
        <v>0</v>
      </c>
      <c r="D27" s="366">
        <v>0</v>
      </c>
      <c r="E27" s="368">
        <v>0</v>
      </c>
      <c r="F27" s="366">
        <v>0</v>
      </c>
      <c r="G27" s="366">
        <v>0</v>
      </c>
      <c r="H27" s="338">
        <v>0</v>
      </c>
      <c r="I27" s="39"/>
      <c r="J27" s="219"/>
      <c r="K27" s="39"/>
      <c r="L27" s="39"/>
      <c r="M27" s="39"/>
      <c r="N27" s="338">
        <f t="shared" si="0"/>
        <v>0</v>
      </c>
      <c r="O27" s="338">
        <f t="shared" si="0"/>
        <v>0</v>
      </c>
      <c r="P27" s="338">
        <f t="shared" si="0"/>
        <v>0</v>
      </c>
      <c r="Q27" s="39"/>
      <c r="R27" s="39"/>
      <c r="S27" s="338">
        <f t="shared" si="1"/>
        <v>0</v>
      </c>
      <c r="T27" s="369" t="s">
        <v>2143</v>
      </c>
      <c r="U27" s="37" t="s">
        <v>2144</v>
      </c>
      <c r="V27" s="37">
        <v>125</v>
      </c>
      <c r="W27" s="10">
        <v>125</v>
      </c>
      <c r="X27" s="10"/>
      <c r="Y27" s="10">
        <v>125</v>
      </c>
      <c r="Z27" s="10">
        <v>125</v>
      </c>
      <c r="AA27" s="336">
        <v>365</v>
      </c>
      <c r="AB27" s="10">
        <v>180</v>
      </c>
      <c r="AC27" s="10">
        <v>365</v>
      </c>
      <c r="AD27" s="10" t="s">
        <v>2145</v>
      </c>
      <c r="AE27" s="339" t="s">
        <v>102</v>
      </c>
      <c r="AF27" s="339" t="s">
        <v>102</v>
      </c>
      <c r="AG27" s="339" t="s">
        <v>102</v>
      </c>
      <c r="AH27" s="339" t="s">
        <v>102</v>
      </c>
      <c r="AI27" s="339" t="s">
        <v>102</v>
      </c>
      <c r="AJ27" s="339" t="s">
        <v>102</v>
      </c>
      <c r="AK27" s="339" t="s">
        <v>102</v>
      </c>
      <c r="AL27" s="339" t="s">
        <v>102</v>
      </c>
      <c r="AM27" s="339" t="s">
        <v>102</v>
      </c>
      <c r="AN27" s="339" t="s">
        <v>102</v>
      </c>
      <c r="AO27" s="339" t="s">
        <v>102</v>
      </c>
      <c r="AP27" s="339" t="s">
        <v>102</v>
      </c>
    </row>
    <row r="28" spans="1:42" s="285" customFormat="1" ht="77.25" customHeight="1" x14ac:dyDescent="0.25">
      <c r="A28" s="366">
        <v>0</v>
      </c>
      <c r="B28" s="366">
        <v>0</v>
      </c>
      <c r="C28" s="366">
        <v>0</v>
      </c>
      <c r="D28" s="366">
        <v>0</v>
      </c>
      <c r="E28" s="368">
        <v>0</v>
      </c>
      <c r="F28" s="366">
        <v>0</v>
      </c>
      <c r="G28" s="366">
        <v>0</v>
      </c>
      <c r="H28" s="338">
        <v>0</v>
      </c>
      <c r="I28" s="39"/>
      <c r="J28" s="219"/>
      <c r="K28" s="39"/>
      <c r="L28" s="39"/>
      <c r="M28" s="39"/>
      <c r="N28" s="338">
        <f t="shared" si="0"/>
        <v>0</v>
      </c>
      <c r="O28" s="338">
        <f t="shared" si="0"/>
        <v>0</v>
      </c>
      <c r="P28" s="338">
        <f t="shared" si="0"/>
        <v>0</v>
      </c>
      <c r="Q28" s="39"/>
      <c r="R28" s="39"/>
      <c r="S28" s="338">
        <f t="shared" si="1"/>
        <v>0</v>
      </c>
      <c r="T28" s="369" t="s">
        <v>2146</v>
      </c>
      <c r="U28" s="37" t="s">
        <v>2137</v>
      </c>
      <c r="V28" s="37">
        <v>30</v>
      </c>
      <c r="W28" s="10">
        <v>16</v>
      </c>
      <c r="X28" s="10"/>
      <c r="Y28" s="10">
        <v>16</v>
      </c>
      <c r="Z28" s="10">
        <v>34</v>
      </c>
      <c r="AA28" s="336">
        <v>365</v>
      </c>
      <c r="AB28" s="10">
        <v>180</v>
      </c>
      <c r="AC28" s="10">
        <v>365</v>
      </c>
      <c r="AD28" s="10" t="s">
        <v>2147</v>
      </c>
      <c r="AE28" s="339" t="s">
        <v>102</v>
      </c>
      <c r="AF28" s="339" t="s">
        <v>102</v>
      </c>
      <c r="AG28" s="339" t="s">
        <v>102</v>
      </c>
      <c r="AH28" s="339" t="s">
        <v>102</v>
      </c>
      <c r="AI28" s="339" t="s">
        <v>102</v>
      </c>
      <c r="AJ28" s="339" t="s">
        <v>102</v>
      </c>
      <c r="AK28" s="339" t="s">
        <v>102</v>
      </c>
      <c r="AL28" s="339" t="s">
        <v>102</v>
      </c>
      <c r="AM28" s="339" t="s">
        <v>102</v>
      </c>
      <c r="AN28" s="339" t="s">
        <v>102</v>
      </c>
      <c r="AO28" s="339" t="s">
        <v>102</v>
      </c>
      <c r="AP28" s="339" t="s">
        <v>102</v>
      </c>
    </row>
    <row r="29" spans="1:42" s="285" customFormat="1" ht="123.75" customHeight="1" x14ac:dyDescent="0.25">
      <c r="A29" s="366">
        <v>0</v>
      </c>
      <c r="B29" s="366">
        <v>0</v>
      </c>
      <c r="C29" s="366">
        <v>0</v>
      </c>
      <c r="D29" s="366">
        <v>0</v>
      </c>
      <c r="E29" s="368">
        <v>0</v>
      </c>
      <c r="F29" s="366">
        <v>0</v>
      </c>
      <c r="G29" s="366">
        <v>0</v>
      </c>
      <c r="H29" s="338">
        <v>0</v>
      </c>
      <c r="I29" s="39"/>
      <c r="J29" s="219"/>
      <c r="K29" s="39"/>
      <c r="L29" s="39"/>
      <c r="M29" s="39"/>
      <c r="N29" s="338">
        <f t="shared" si="0"/>
        <v>0</v>
      </c>
      <c r="O29" s="338">
        <f t="shared" si="0"/>
        <v>0</v>
      </c>
      <c r="P29" s="338">
        <f t="shared" si="0"/>
        <v>0</v>
      </c>
      <c r="Q29" s="39"/>
      <c r="R29" s="39"/>
      <c r="S29" s="338">
        <f t="shared" si="1"/>
        <v>0</v>
      </c>
      <c r="T29" s="369" t="s">
        <v>2148</v>
      </c>
      <c r="U29" s="37" t="s">
        <v>2149</v>
      </c>
      <c r="V29" s="37">
        <v>1000</v>
      </c>
      <c r="W29" s="10">
        <v>782</v>
      </c>
      <c r="X29" s="10"/>
      <c r="Y29" s="10">
        <v>782</v>
      </c>
      <c r="Z29" s="10">
        <v>1554</v>
      </c>
      <c r="AA29" s="336">
        <v>365</v>
      </c>
      <c r="AB29" s="10">
        <v>180</v>
      </c>
      <c r="AC29" s="10">
        <v>365</v>
      </c>
      <c r="AD29" s="10" t="s">
        <v>2150</v>
      </c>
      <c r="AE29" s="339" t="s">
        <v>102</v>
      </c>
      <c r="AF29" s="339" t="s">
        <v>102</v>
      </c>
      <c r="AG29" s="339" t="s">
        <v>102</v>
      </c>
      <c r="AH29" s="339" t="s">
        <v>102</v>
      </c>
      <c r="AI29" s="339" t="s">
        <v>102</v>
      </c>
      <c r="AJ29" s="339" t="s">
        <v>102</v>
      </c>
      <c r="AK29" s="339" t="s">
        <v>102</v>
      </c>
      <c r="AL29" s="339" t="s">
        <v>102</v>
      </c>
      <c r="AM29" s="339" t="s">
        <v>102</v>
      </c>
      <c r="AN29" s="339" t="s">
        <v>102</v>
      </c>
      <c r="AO29" s="339" t="s">
        <v>102</v>
      </c>
      <c r="AP29" s="339" t="s">
        <v>102</v>
      </c>
    </row>
    <row r="30" spans="1:42" s="285" customFormat="1" ht="70.5" customHeight="1" x14ac:dyDescent="0.25">
      <c r="A30" s="366">
        <v>0</v>
      </c>
      <c r="B30" s="366">
        <v>0</v>
      </c>
      <c r="C30" s="366">
        <v>0</v>
      </c>
      <c r="D30" s="366">
        <v>0</v>
      </c>
      <c r="E30" s="368">
        <v>0</v>
      </c>
      <c r="F30" s="366">
        <v>0</v>
      </c>
      <c r="G30" s="366">
        <v>0</v>
      </c>
      <c r="H30" s="338">
        <v>0</v>
      </c>
      <c r="I30" s="39"/>
      <c r="J30" s="219"/>
      <c r="K30" s="39"/>
      <c r="L30" s="39"/>
      <c r="M30" s="39"/>
      <c r="N30" s="338">
        <f t="shared" si="0"/>
        <v>0</v>
      </c>
      <c r="O30" s="338">
        <f t="shared" si="0"/>
        <v>0</v>
      </c>
      <c r="P30" s="338">
        <f t="shared" si="0"/>
        <v>0</v>
      </c>
      <c r="Q30" s="39"/>
      <c r="R30" s="39"/>
      <c r="S30" s="338">
        <f t="shared" si="1"/>
        <v>0</v>
      </c>
      <c r="T30" s="369" t="s">
        <v>2151</v>
      </c>
      <c r="U30" s="37" t="s">
        <v>2137</v>
      </c>
      <c r="V30" s="37">
        <v>5</v>
      </c>
      <c r="W30" s="10">
        <v>13</v>
      </c>
      <c r="X30" s="10"/>
      <c r="Y30" s="10">
        <v>13</v>
      </c>
      <c r="Z30" s="10">
        <v>17</v>
      </c>
      <c r="AA30" s="336">
        <v>365</v>
      </c>
      <c r="AB30" s="10">
        <v>180</v>
      </c>
      <c r="AC30" s="10">
        <v>365</v>
      </c>
      <c r="AD30" s="10" t="s">
        <v>2152</v>
      </c>
      <c r="AE30" s="339" t="s">
        <v>102</v>
      </c>
      <c r="AF30" s="339" t="s">
        <v>102</v>
      </c>
      <c r="AG30" s="339" t="s">
        <v>102</v>
      </c>
      <c r="AH30" s="339" t="s">
        <v>102</v>
      </c>
      <c r="AI30" s="339" t="s">
        <v>102</v>
      </c>
      <c r="AJ30" s="339" t="s">
        <v>102</v>
      </c>
      <c r="AK30" s="339" t="s">
        <v>102</v>
      </c>
      <c r="AL30" s="339" t="s">
        <v>102</v>
      </c>
      <c r="AM30" s="339" t="s">
        <v>102</v>
      </c>
      <c r="AN30" s="339" t="s">
        <v>102</v>
      </c>
      <c r="AO30" s="339" t="s">
        <v>102</v>
      </c>
      <c r="AP30" s="339" t="s">
        <v>102</v>
      </c>
    </row>
    <row r="31" spans="1:42" s="285" customFormat="1" ht="75" x14ac:dyDescent="0.25">
      <c r="A31" s="366">
        <v>0</v>
      </c>
      <c r="B31" s="366">
        <v>0</v>
      </c>
      <c r="C31" s="366">
        <v>0</v>
      </c>
      <c r="D31" s="366">
        <v>0</v>
      </c>
      <c r="E31" s="368">
        <v>0</v>
      </c>
      <c r="F31" s="366">
        <v>0</v>
      </c>
      <c r="G31" s="366">
        <v>0</v>
      </c>
      <c r="H31" s="338">
        <v>0</v>
      </c>
      <c r="I31" s="39"/>
      <c r="J31" s="219"/>
      <c r="K31" s="39"/>
      <c r="L31" s="39"/>
      <c r="M31" s="39"/>
      <c r="N31" s="338">
        <f t="shared" si="0"/>
        <v>0</v>
      </c>
      <c r="O31" s="338">
        <f t="shared" si="0"/>
        <v>0</v>
      </c>
      <c r="P31" s="338">
        <f t="shared" si="0"/>
        <v>0</v>
      </c>
      <c r="Q31" s="39"/>
      <c r="R31" s="39"/>
      <c r="S31" s="338">
        <f t="shared" si="1"/>
        <v>0</v>
      </c>
      <c r="T31" s="369" t="s">
        <v>2153</v>
      </c>
      <c r="U31" s="37" t="s">
        <v>2137</v>
      </c>
      <c r="V31" s="37">
        <v>20</v>
      </c>
      <c r="W31" s="10">
        <v>89</v>
      </c>
      <c r="X31" s="10"/>
      <c r="Y31" s="10">
        <v>89</v>
      </c>
      <c r="Z31" s="10">
        <f>247-89</f>
        <v>158</v>
      </c>
      <c r="AA31" s="336">
        <v>365</v>
      </c>
      <c r="AB31" s="10">
        <v>180</v>
      </c>
      <c r="AC31" s="10">
        <v>185</v>
      </c>
      <c r="AD31" s="10" t="s">
        <v>2154</v>
      </c>
      <c r="AE31" s="339" t="s">
        <v>102</v>
      </c>
      <c r="AF31" s="339" t="s">
        <v>102</v>
      </c>
      <c r="AG31" s="339" t="s">
        <v>102</v>
      </c>
      <c r="AH31" s="339" t="s">
        <v>102</v>
      </c>
      <c r="AI31" s="339" t="s">
        <v>102</v>
      </c>
      <c r="AJ31" s="339" t="s">
        <v>102</v>
      </c>
      <c r="AK31" s="339" t="s">
        <v>102</v>
      </c>
      <c r="AL31" s="339" t="s">
        <v>102</v>
      </c>
      <c r="AM31" s="339" t="s">
        <v>102</v>
      </c>
      <c r="AN31" s="339" t="s">
        <v>102</v>
      </c>
      <c r="AO31" s="339" t="s">
        <v>102</v>
      </c>
      <c r="AP31" s="339" t="s">
        <v>102</v>
      </c>
    </row>
    <row r="32" spans="1:42" s="285" customFormat="1" ht="63.75" customHeight="1" x14ac:dyDescent="0.25">
      <c r="A32" s="366">
        <v>0</v>
      </c>
      <c r="B32" s="366">
        <v>0</v>
      </c>
      <c r="C32" s="366">
        <v>0</v>
      </c>
      <c r="D32" s="366">
        <v>0</v>
      </c>
      <c r="E32" s="368">
        <v>0</v>
      </c>
      <c r="F32" s="366">
        <v>0</v>
      </c>
      <c r="G32" s="366">
        <v>0</v>
      </c>
      <c r="H32" s="338">
        <v>0</v>
      </c>
      <c r="I32" s="39"/>
      <c r="J32" s="219"/>
      <c r="K32" s="39"/>
      <c r="L32" s="39"/>
      <c r="M32" s="39"/>
      <c r="N32" s="338">
        <f t="shared" si="0"/>
        <v>0</v>
      </c>
      <c r="O32" s="338">
        <f t="shared" si="0"/>
        <v>0</v>
      </c>
      <c r="P32" s="338">
        <f t="shared" si="0"/>
        <v>0</v>
      </c>
      <c r="Q32" s="39"/>
      <c r="R32" s="39"/>
      <c r="S32" s="338">
        <f t="shared" si="1"/>
        <v>0</v>
      </c>
      <c r="T32" s="369" t="s">
        <v>2155</v>
      </c>
      <c r="U32" s="37" t="s">
        <v>2137</v>
      </c>
      <c r="V32" s="37">
        <v>3</v>
      </c>
      <c r="W32" s="10"/>
      <c r="X32" s="10"/>
      <c r="Y32" s="10">
        <v>0</v>
      </c>
      <c r="Z32" s="10">
        <v>2</v>
      </c>
      <c r="AA32" s="336">
        <v>365</v>
      </c>
      <c r="AB32" s="10"/>
      <c r="AC32" s="10">
        <v>180</v>
      </c>
      <c r="AD32" s="10" t="s">
        <v>2156</v>
      </c>
      <c r="AE32" s="339" t="s">
        <v>102</v>
      </c>
      <c r="AF32" s="339" t="s">
        <v>102</v>
      </c>
      <c r="AG32" s="339" t="s">
        <v>102</v>
      </c>
      <c r="AH32" s="339" t="s">
        <v>102</v>
      </c>
      <c r="AI32" s="339" t="s">
        <v>102</v>
      </c>
      <c r="AJ32" s="339" t="s">
        <v>102</v>
      </c>
      <c r="AK32" s="339" t="s">
        <v>102</v>
      </c>
      <c r="AL32" s="339" t="s">
        <v>102</v>
      </c>
      <c r="AM32" s="339" t="s">
        <v>102</v>
      </c>
      <c r="AN32" s="339" t="s">
        <v>102</v>
      </c>
      <c r="AO32" s="339" t="s">
        <v>102</v>
      </c>
      <c r="AP32" s="339" t="s">
        <v>102</v>
      </c>
    </row>
    <row r="33" spans="1:42" s="285" customFormat="1" ht="47.25" customHeight="1" x14ac:dyDescent="0.25">
      <c r="A33" s="366">
        <v>0</v>
      </c>
      <c r="B33" s="366">
        <v>0</v>
      </c>
      <c r="C33" s="366">
        <v>0</v>
      </c>
      <c r="D33" s="366">
        <v>0</v>
      </c>
      <c r="E33" s="368">
        <v>0</v>
      </c>
      <c r="F33" s="366">
        <v>0</v>
      </c>
      <c r="G33" s="366">
        <v>0</v>
      </c>
      <c r="H33" s="338">
        <v>0</v>
      </c>
      <c r="I33" s="39"/>
      <c r="J33" s="219"/>
      <c r="K33" s="39"/>
      <c r="L33" s="39"/>
      <c r="M33" s="39"/>
      <c r="N33" s="338">
        <f t="shared" si="0"/>
        <v>0</v>
      </c>
      <c r="O33" s="338">
        <f t="shared" si="0"/>
        <v>0</v>
      </c>
      <c r="P33" s="338">
        <f t="shared" si="0"/>
        <v>0</v>
      </c>
      <c r="Q33" s="39"/>
      <c r="R33" s="39"/>
      <c r="S33" s="338">
        <f t="shared" si="1"/>
        <v>0</v>
      </c>
      <c r="T33" s="369" t="s">
        <v>2157</v>
      </c>
      <c r="U33" s="37" t="s">
        <v>2137</v>
      </c>
      <c r="V33" s="37">
        <v>30</v>
      </c>
      <c r="W33" s="10">
        <v>44</v>
      </c>
      <c r="X33" s="10"/>
      <c r="Y33" s="10">
        <v>44</v>
      </c>
      <c r="Z33" s="10">
        <v>71</v>
      </c>
      <c r="AA33" s="336">
        <v>365</v>
      </c>
      <c r="AB33" s="10">
        <v>180</v>
      </c>
      <c r="AC33" s="10">
        <v>365</v>
      </c>
      <c r="AD33" s="10" t="s">
        <v>2158</v>
      </c>
      <c r="AE33" s="339" t="s">
        <v>102</v>
      </c>
      <c r="AF33" s="339" t="s">
        <v>102</v>
      </c>
      <c r="AG33" s="339" t="s">
        <v>102</v>
      </c>
      <c r="AH33" s="339" t="s">
        <v>102</v>
      </c>
      <c r="AI33" s="339" t="s">
        <v>102</v>
      </c>
      <c r="AJ33" s="339" t="s">
        <v>102</v>
      </c>
      <c r="AK33" s="339" t="s">
        <v>102</v>
      </c>
      <c r="AL33" s="339" t="s">
        <v>102</v>
      </c>
      <c r="AM33" s="339" t="s">
        <v>102</v>
      </c>
      <c r="AN33" s="339" t="s">
        <v>102</v>
      </c>
      <c r="AO33" s="339" t="s">
        <v>102</v>
      </c>
      <c r="AP33" s="339" t="s">
        <v>102</v>
      </c>
    </row>
    <row r="34" spans="1:42" s="285" customFormat="1" ht="75.75" customHeight="1" x14ac:dyDescent="0.25">
      <c r="A34" s="366">
        <v>0</v>
      </c>
      <c r="B34" s="366">
        <v>0</v>
      </c>
      <c r="C34" s="366">
        <v>0</v>
      </c>
      <c r="D34" s="366">
        <v>0</v>
      </c>
      <c r="E34" s="368">
        <v>0</v>
      </c>
      <c r="F34" s="366">
        <v>0</v>
      </c>
      <c r="G34" s="366">
        <v>0</v>
      </c>
      <c r="H34" s="338">
        <v>0</v>
      </c>
      <c r="I34" s="39"/>
      <c r="J34" s="219"/>
      <c r="K34" s="39"/>
      <c r="L34" s="39"/>
      <c r="M34" s="39"/>
      <c r="N34" s="338">
        <f t="shared" si="0"/>
        <v>0</v>
      </c>
      <c r="O34" s="338">
        <f t="shared" si="0"/>
        <v>0</v>
      </c>
      <c r="P34" s="338">
        <f t="shared" si="0"/>
        <v>0</v>
      </c>
      <c r="Q34" s="39"/>
      <c r="R34" s="39"/>
      <c r="S34" s="338">
        <f t="shared" si="1"/>
        <v>0</v>
      </c>
      <c r="T34" s="369" t="s">
        <v>2159</v>
      </c>
      <c r="U34" s="37" t="s">
        <v>2115</v>
      </c>
      <c r="V34" s="37">
        <v>20</v>
      </c>
      <c r="W34" s="10">
        <v>12</v>
      </c>
      <c r="X34" s="10"/>
      <c r="Y34" s="10">
        <v>12</v>
      </c>
      <c r="Z34" s="10">
        <v>31</v>
      </c>
      <c r="AA34" s="336">
        <v>330</v>
      </c>
      <c r="AB34" s="10">
        <v>180</v>
      </c>
      <c r="AC34" s="10">
        <v>330</v>
      </c>
      <c r="AD34" s="10" t="s">
        <v>2160</v>
      </c>
      <c r="AE34" s="339">
        <v>0</v>
      </c>
      <c r="AF34" s="339" t="s">
        <v>102</v>
      </c>
      <c r="AG34" s="339" t="s">
        <v>102</v>
      </c>
      <c r="AH34" s="339" t="s">
        <v>102</v>
      </c>
      <c r="AI34" s="339" t="s">
        <v>102</v>
      </c>
      <c r="AJ34" s="339" t="s">
        <v>102</v>
      </c>
      <c r="AK34" s="339" t="s">
        <v>102</v>
      </c>
      <c r="AL34" s="339" t="s">
        <v>102</v>
      </c>
      <c r="AM34" s="339" t="s">
        <v>102</v>
      </c>
      <c r="AN34" s="339" t="s">
        <v>102</v>
      </c>
      <c r="AO34" s="339" t="s">
        <v>102</v>
      </c>
      <c r="AP34" s="339" t="s">
        <v>102</v>
      </c>
    </row>
    <row r="35" spans="1:42" s="285" customFormat="1" ht="60.75" customHeight="1" x14ac:dyDescent="0.25">
      <c r="A35" s="366">
        <v>0</v>
      </c>
      <c r="B35" s="366">
        <v>0</v>
      </c>
      <c r="C35" s="366">
        <v>0</v>
      </c>
      <c r="D35" s="366">
        <v>0</v>
      </c>
      <c r="E35" s="368">
        <v>0</v>
      </c>
      <c r="F35" s="366">
        <v>0</v>
      </c>
      <c r="G35" s="366">
        <v>0</v>
      </c>
      <c r="H35" s="338">
        <v>0</v>
      </c>
      <c r="I35" s="39"/>
      <c r="J35" s="219"/>
      <c r="K35" s="39"/>
      <c r="L35" s="39"/>
      <c r="M35" s="39"/>
      <c r="N35" s="338">
        <f t="shared" si="0"/>
        <v>0</v>
      </c>
      <c r="O35" s="338">
        <f t="shared" si="0"/>
        <v>0</v>
      </c>
      <c r="P35" s="338">
        <f t="shared" si="0"/>
        <v>0</v>
      </c>
      <c r="Q35" s="39"/>
      <c r="R35" s="39"/>
      <c r="S35" s="338">
        <f t="shared" si="1"/>
        <v>0</v>
      </c>
      <c r="T35" s="369" t="s">
        <v>2161</v>
      </c>
      <c r="U35" s="37" t="s">
        <v>2162</v>
      </c>
      <c r="V35" s="37">
        <v>1</v>
      </c>
      <c r="W35" s="10">
        <v>1</v>
      </c>
      <c r="X35" s="10"/>
      <c r="Y35" s="10">
        <v>0</v>
      </c>
      <c r="Z35" s="10"/>
      <c r="AA35" s="336">
        <v>360</v>
      </c>
      <c r="AB35" s="10">
        <v>180</v>
      </c>
      <c r="AC35" s="10">
        <v>0</v>
      </c>
      <c r="AD35" s="10" t="s">
        <v>2163</v>
      </c>
      <c r="AE35" s="339" t="s">
        <v>102</v>
      </c>
      <c r="AF35" s="339" t="s">
        <v>102</v>
      </c>
      <c r="AG35" s="339" t="s">
        <v>102</v>
      </c>
      <c r="AH35" s="339" t="s">
        <v>102</v>
      </c>
      <c r="AI35" s="339" t="s">
        <v>102</v>
      </c>
      <c r="AJ35" s="339" t="s">
        <v>102</v>
      </c>
      <c r="AK35" s="339" t="s">
        <v>102</v>
      </c>
      <c r="AL35" s="339" t="s">
        <v>102</v>
      </c>
      <c r="AM35" s="339" t="s">
        <v>102</v>
      </c>
      <c r="AN35" s="339" t="s">
        <v>102</v>
      </c>
      <c r="AO35" s="339" t="s">
        <v>102</v>
      </c>
      <c r="AP35" s="339" t="s">
        <v>102</v>
      </c>
    </row>
    <row r="36" spans="1:42" s="285" customFormat="1" ht="73.5" customHeight="1" x14ac:dyDescent="0.25">
      <c r="A36" s="366">
        <v>0</v>
      </c>
      <c r="B36" s="366">
        <v>0</v>
      </c>
      <c r="C36" s="366">
        <v>0</v>
      </c>
      <c r="D36" s="366">
        <v>0</v>
      </c>
      <c r="E36" s="368">
        <v>0</v>
      </c>
      <c r="F36" s="366">
        <v>0</v>
      </c>
      <c r="G36" s="366">
        <v>0</v>
      </c>
      <c r="H36" s="338">
        <v>0</v>
      </c>
      <c r="I36" s="39"/>
      <c r="J36" s="219"/>
      <c r="K36" s="39"/>
      <c r="L36" s="39"/>
      <c r="M36" s="39"/>
      <c r="N36" s="338">
        <f t="shared" si="0"/>
        <v>0</v>
      </c>
      <c r="O36" s="338">
        <f t="shared" si="0"/>
        <v>0</v>
      </c>
      <c r="P36" s="338">
        <f t="shared" si="0"/>
        <v>0</v>
      </c>
      <c r="Q36" s="39"/>
      <c r="R36" s="39"/>
      <c r="S36" s="338">
        <f t="shared" si="1"/>
        <v>0</v>
      </c>
      <c r="T36" s="37" t="s">
        <v>2164</v>
      </c>
      <c r="U36" s="37" t="s">
        <v>2165</v>
      </c>
      <c r="V36" s="37">
        <v>6</v>
      </c>
      <c r="W36" s="10">
        <v>6</v>
      </c>
      <c r="X36" s="10"/>
      <c r="Y36" s="10">
        <v>0</v>
      </c>
      <c r="Z36" s="10">
        <v>6</v>
      </c>
      <c r="AA36" s="336">
        <v>300</v>
      </c>
      <c r="AB36" s="10">
        <v>0</v>
      </c>
      <c r="AC36" s="10">
        <v>300</v>
      </c>
      <c r="AD36" s="10" t="s">
        <v>2166</v>
      </c>
      <c r="AE36" s="339">
        <v>0</v>
      </c>
      <c r="AF36" s="339">
        <v>0</v>
      </c>
      <c r="AG36" s="339" t="s">
        <v>102</v>
      </c>
      <c r="AH36" s="339" t="s">
        <v>102</v>
      </c>
      <c r="AI36" s="339" t="s">
        <v>102</v>
      </c>
      <c r="AJ36" s="339" t="s">
        <v>102</v>
      </c>
      <c r="AK36" s="339" t="s">
        <v>102</v>
      </c>
      <c r="AL36" s="339" t="s">
        <v>102</v>
      </c>
      <c r="AM36" s="339" t="s">
        <v>102</v>
      </c>
      <c r="AN36" s="339" t="s">
        <v>102</v>
      </c>
      <c r="AO36" s="339" t="s">
        <v>102</v>
      </c>
      <c r="AP36" s="339" t="s">
        <v>102</v>
      </c>
    </row>
    <row r="37" spans="1:42" s="285" customFormat="1" ht="58.5" customHeight="1" x14ac:dyDescent="0.25">
      <c r="A37" s="366" t="s">
        <v>1615</v>
      </c>
      <c r="B37" s="366" t="s">
        <v>2047</v>
      </c>
      <c r="C37" s="366" t="s">
        <v>2048</v>
      </c>
      <c r="D37" s="366">
        <v>232110007</v>
      </c>
      <c r="E37" s="368" t="s">
        <v>2050</v>
      </c>
      <c r="F37" s="366" t="s">
        <v>2051</v>
      </c>
      <c r="G37" s="366" t="s">
        <v>2052</v>
      </c>
      <c r="H37" s="338">
        <v>2400000000</v>
      </c>
      <c r="I37" s="39">
        <v>2238000000</v>
      </c>
      <c r="J37" s="39">
        <v>2561786000</v>
      </c>
      <c r="K37" s="39">
        <v>126000000</v>
      </c>
      <c r="L37" s="39">
        <v>126000000</v>
      </c>
      <c r="M37" s="39">
        <f>75297925+50794742+41512567</f>
        <v>167605234</v>
      </c>
      <c r="N37" s="338">
        <f t="shared" si="0"/>
        <v>2526000000</v>
      </c>
      <c r="O37" s="338">
        <f t="shared" si="0"/>
        <v>2364000000</v>
      </c>
      <c r="P37" s="338">
        <f t="shared" si="0"/>
        <v>2729391234</v>
      </c>
      <c r="Q37" s="39">
        <v>2560286000</v>
      </c>
      <c r="R37" s="39">
        <f>75297925+50794742+41512567</f>
        <v>167605234</v>
      </c>
      <c r="S37" s="338">
        <f t="shared" si="1"/>
        <v>2727891234</v>
      </c>
      <c r="T37" s="37">
        <v>0</v>
      </c>
      <c r="U37" s="37">
        <v>0</v>
      </c>
      <c r="V37" s="37">
        <v>0</v>
      </c>
      <c r="W37" s="10"/>
      <c r="X37" s="10"/>
      <c r="Y37" s="10"/>
      <c r="Z37" s="10"/>
      <c r="AA37" s="336">
        <v>0</v>
      </c>
      <c r="AB37" s="10"/>
      <c r="AC37" s="10"/>
      <c r="AD37" s="10"/>
      <c r="AE37" s="339">
        <v>0</v>
      </c>
      <c r="AF37" s="339">
        <v>0</v>
      </c>
      <c r="AG37" s="339">
        <v>0</v>
      </c>
      <c r="AH37" s="339">
        <v>0</v>
      </c>
      <c r="AI37" s="339">
        <v>0</v>
      </c>
      <c r="AJ37" s="339">
        <v>0</v>
      </c>
      <c r="AK37" s="339">
        <v>0</v>
      </c>
      <c r="AL37" s="339">
        <v>0</v>
      </c>
      <c r="AM37" s="339">
        <v>0</v>
      </c>
      <c r="AN37" s="339">
        <v>0</v>
      </c>
      <c r="AO37" s="339">
        <v>0</v>
      </c>
      <c r="AP37" s="339">
        <v>0</v>
      </c>
    </row>
    <row r="38" spans="1:42" s="285" customFormat="1" ht="60" x14ac:dyDescent="0.25">
      <c r="A38" s="366">
        <v>0</v>
      </c>
      <c r="B38" s="366">
        <v>0</v>
      </c>
      <c r="C38" s="366">
        <v>0</v>
      </c>
      <c r="D38" s="366">
        <v>0</v>
      </c>
      <c r="E38" s="368">
        <v>0</v>
      </c>
      <c r="F38" s="366">
        <v>0</v>
      </c>
      <c r="G38" s="366">
        <v>0</v>
      </c>
      <c r="H38" s="338">
        <v>0</v>
      </c>
      <c r="I38" s="39"/>
      <c r="J38" s="219"/>
      <c r="K38" s="39"/>
      <c r="L38" s="39"/>
      <c r="M38" s="39"/>
      <c r="N38" s="338">
        <f t="shared" si="0"/>
        <v>0</v>
      </c>
      <c r="O38" s="338">
        <f t="shared" si="0"/>
        <v>0</v>
      </c>
      <c r="P38" s="338">
        <f t="shared" si="0"/>
        <v>0</v>
      </c>
      <c r="Q38" s="39"/>
      <c r="R38" s="39"/>
      <c r="S38" s="338">
        <f t="shared" si="1"/>
        <v>0</v>
      </c>
      <c r="T38" s="37" t="s">
        <v>2167</v>
      </c>
      <c r="U38" s="37" t="s">
        <v>2168</v>
      </c>
      <c r="V38" s="37">
        <v>1</v>
      </c>
      <c r="W38" s="10">
        <v>1</v>
      </c>
      <c r="X38" s="10"/>
      <c r="Y38" s="10">
        <v>1</v>
      </c>
      <c r="Z38" s="10">
        <v>1</v>
      </c>
      <c r="AA38" s="336">
        <v>180</v>
      </c>
      <c r="AB38" s="10">
        <v>60</v>
      </c>
      <c r="AC38" s="10">
        <v>180</v>
      </c>
      <c r="AD38" s="10" t="s">
        <v>2169</v>
      </c>
      <c r="AE38" s="339">
        <v>0</v>
      </c>
      <c r="AF38" s="339">
        <v>0</v>
      </c>
      <c r="AG38" s="339">
        <v>0</v>
      </c>
      <c r="AH38" s="339" t="s">
        <v>102</v>
      </c>
      <c r="AI38" s="339" t="s">
        <v>102</v>
      </c>
      <c r="AJ38" s="339">
        <v>0</v>
      </c>
      <c r="AK38" s="339">
        <v>0</v>
      </c>
      <c r="AL38" s="339" t="s">
        <v>102</v>
      </c>
      <c r="AM38" s="339" t="s">
        <v>102</v>
      </c>
      <c r="AN38" s="339" t="s">
        <v>102</v>
      </c>
      <c r="AO38" s="339" t="s">
        <v>102</v>
      </c>
      <c r="AP38" s="339">
        <v>0</v>
      </c>
    </row>
    <row r="39" spans="1:42" s="285" customFormat="1" ht="105" x14ac:dyDescent="0.25">
      <c r="A39" s="366">
        <v>0</v>
      </c>
      <c r="B39" s="366">
        <v>0</v>
      </c>
      <c r="C39" s="366">
        <v>0</v>
      </c>
      <c r="D39" s="366">
        <v>0</v>
      </c>
      <c r="E39" s="368">
        <v>0</v>
      </c>
      <c r="F39" s="366">
        <v>0</v>
      </c>
      <c r="G39" s="366">
        <v>0</v>
      </c>
      <c r="H39" s="338">
        <v>0</v>
      </c>
      <c r="I39" s="39"/>
      <c r="J39" s="219"/>
      <c r="K39" s="39"/>
      <c r="L39" s="39"/>
      <c r="M39" s="39"/>
      <c r="N39" s="338">
        <f t="shared" si="0"/>
        <v>0</v>
      </c>
      <c r="O39" s="338">
        <f t="shared" si="0"/>
        <v>0</v>
      </c>
      <c r="P39" s="338">
        <f t="shared" si="0"/>
        <v>0</v>
      </c>
      <c r="Q39" s="39"/>
      <c r="R39" s="39"/>
      <c r="S39" s="338">
        <f t="shared" si="1"/>
        <v>0</v>
      </c>
      <c r="T39" s="37" t="s">
        <v>2170</v>
      </c>
      <c r="U39" s="37" t="s">
        <v>2171</v>
      </c>
      <c r="V39" s="37">
        <v>1</v>
      </c>
      <c r="W39" s="10"/>
      <c r="X39" s="10"/>
      <c r="Y39" s="10">
        <v>0</v>
      </c>
      <c r="Z39" s="10">
        <v>1</v>
      </c>
      <c r="AA39" s="336">
        <v>180</v>
      </c>
      <c r="AB39" s="10">
        <v>0</v>
      </c>
      <c r="AC39" s="10">
        <v>128</v>
      </c>
      <c r="AD39" s="10" t="s">
        <v>2172</v>
      </c>
      <c r="AE39" s="339"/>
      <c r="AF39" s="339">
        <v>0</v>
      </c>
      <c r="AG39" s="339">
        <v>0</v>
      </c>
      <c r="AH39" s="339">
        <v>0</v>
      </c>
      <c r="AI39" s="339">
        <v>0</v>
      </c>
      <c r="AJ39" s="339">
        <v>0</v>
      </c>
      <c r="AK39" s="339"/>
      <c r="AL39" s="339" t="s">
        <v>102</v>
      </c>
      <c r="AM39" s="339" t="s">
        <v>102</v>
      </c>
      <c r="AN39" s="339" t="s">
        <v>102</v>
      </c>
      <c r="AO39" s="339" t="s">
        <v>102</v>
      </c>
      <c r="AP39" s="339"/>
    </row>
    <row r="40" spans="1:42" s="285" customFormat="1" ht="222.75" customHeight="1" x14ac:dyDescent="0.25">
      <c r="A40" s="366">
        <v>0</v>
      </c>
      <c r="B40" s="366">
        <v>0</v>
      </c>
      <c r="C40" s="366">
        <v>0</v>
      </c>
      <c r="D40" s="366">
        <v>0</v>
      </c>
      <c r="E40" s="368">
        <v>0</v>
      </c>
      <c r="F40" s="366">
        <v>0</v>
      </c>
      <c r="G40" s="366">
        <v>0</v>
      </c>
      <c r="H40" s="338">
        <v>0</v>
      </c>
      <c r="I40" s="39"/>
      <c r="J40" s="219"/>
      <c r="K40" s="39"/>
      <c r="L40" s="39"/>
      <c r="M40" s="39"/>
      <c r="N40" s="338">
        <f t="shared" si="0"/>
        <v>0</v>
      </c>
      <c r="O40" s="338">
        <f t="shared" si="0"/>
        <v>0</v>
      </c>
      <c r="P40" s="338">
        <f t="shared" si="0"/>
        <v>0</v>
      </c>
      <c r="Q40" s="39"/>
      <c r="R40" s="39"/>
      <c r="S40" s="338">
        <f t="shared" si="1"/>
        <v>0</v>
      </c>
      <c r="T40" s="37" t="s">
        <v>2173</v>
      </c>
      <c r="U40" s="37" t="s">
        <v>114</v>
      </c>
      <c r="V40" s="37">
        <v>2</v>
      </c>
      <c r="W40" s="10">
        <v>1</v>
      </c>
      <c r="X40" s="10"/>
      <c r="Y40" s="10">
        <v>1</v>
      </c>
      <c r="Z40" s="10">
        <v>1</v>
      </c>
      <c r="AA40" s="336">
        <v>180</v>
      </c>
      <c r="AB40" s="10">
        <v>180</v>
      </c>
      <c r="AC40" s="10">
        <v>180</v>
      </c>
      <c r="AD40" s="10" t="s">
        <v>2174</v>
      </c>
      <c r="AE40" s="339" t="s">
        <v>102</v>
      </c>
      <c r="AF40" s="339" t="s">
        <v>102</v>
      </c>
      <c r="AG40" s="339" t="s">
        <v>102</v>
      </c>
      <c r="AH40" s="339" t="s">
        <v>102</v>
      </c>
      <c r="AI40" s="339" t="s">
        <v>102</v>
      </c>
      <c r="AJ40" s="339" t="s">
        <v>102</v>
      </c>
      <c r="AK40" s="339">
        <v>0</v>
      </c>
      <c r="AL40" s="339">
        <v>0</v>
      </c>
      <c r="AM40" s="339">
        <v>0</v>
      </c>
      <c r="AN40" s="339">
        <v>0</v>
      </c>
      <c r="AO40" s="339">
        <v>0</v>
      </c>
      <c r="AP40" s="339">
        <v>0</v>
      </c>
    </row>
    <row r="41" spans="1:42" s="285" customFormat="1" ht="165" x14ac:dyDescent="0.25">
      <c r="A41" s="366">
        <v>0</v>
      </c>
      <c r="B41" s="366">
        <v>0</v>
      </c>
      <c r="C41" s="366">
        <v>0</v>
      </c>
      <c r="D41" s="366">
        <v>0</v>
      </c>
      <c r="E41" s="368">
        <v>0</v>
      </c>
      <c r="F41" s="366">
        <v>0</v>
      </c>
      <c r="G41" s="366">
        <v>0</v>
      </c>
      <c r="H41" s="338">
        <v>0</v>
      </c>
      <c r="I41" s="39"/>
      <c r="J41" s="219"/>
      <c r="K41" s="39"/>
      <c r="L41" s="39"/>
      <c r="M41" s="39"/>
      <c r="N41" s="338">
        <f t="shared" si="0"/>
        <v>0</v>
      </c>
      <c r="O41" s="338">
        <f t="shared" si="0"/>
        <v>0</v>
      </c>
      <c r="P41" s="338">
        <f t="shared" si="0"/>
        <v>0</v>
      </c>
      <c r="Q41" s="39"/>
      <c r="R41" s="39"/>
      <c r="S41" s="338">
        <f t="shared" si="1"/>
        <v>0</v>
      </c>
      <c r="T41" s="37" t="s">
        <v>2175</v>
      </c>
      <c r="U41" s="37" t="s">
        <v>2176</v>
      </c>
      <c r="V41" s="37">
        <v>1</v>
      </c>
      <c r="W41" s="10">
        <v>1</v>
      </c>
      <c r="X41" s="10"/>
      <c r="Y41" s="10">
        <v>1</v>
      </c>
      <c r="Z41" s="10">
        <v>1</v>
      </c>
      <c r="AA41" s="336">
        <v>300</v>
      </c>
      <c r="AB41" s="10">
        <v>120</v>
      </c>
      <c r="AC41" s="10">
        <v>300</v>
      </c>
      <c r="AD41" s="371" t="s">
        <v>2177</v>
      </c>
      <c r="AE41" s="339">
        <v>0</v>
      </c>
      <c r="AF41" s="339" t="s">
        <v>102</v>
      </c>
      <c r="AG41" s="339" t="s">
        <v>102</v>
      </c>
      <c r="AH41" s="339" t="s">
        <v>102</v>
      </c>
      <c r="AI41" s="339" t="s">
        <v>102</v>
      </c>
      <c r="AJ41" s="339" t="s">
        <v>102</v>
      </c>
      <c r="AK41" s="339" t="s">
        <v>102</v>
      </c>
      <c r="AL41" s="339" t="s">
        <v>102</v>
      </c>
      <c r="AM41" s="339" t="s">
        <v>102</v>
      </c>
      <c r="AN41" s="339" t="s">
        <v>102</v>
      </c>
      <c r="AO41" s="339" t="s">
        <v>102</v>
      </c>
      <c r="AP41" s="339">
        <v>0</v>
      </c>
    </row>
    <row r="42" spans="1:42" s="285" customFormat="1" ht="24" x14ac:dyDescent="0.25">
      <c r="A42" s="366">
        <v>0</v>
      </c>
      <c r="B42" s="366">
        <v>0</v>
      </c>
      <c r="C42" s="366">
        <v>0</v>
      </c>
      <c r="D42" s="366">
        <v>0</v>
      </c>
      <c r="E42" s="368">
        <v>0</v>
      </c>
      <c r="F42" s="366">
        <v>0</v>
      </c>
      <c r="G42" s="366">
        <v>0</v>
      </c>
      <c r="H42" s="338">
        <v>0</v>
      </c>
      <c r="I42" s="39"/>
      <c r="J42" s="219"/>
      <c r="K42" s="39"/>
      <c r="L42" s="39"/>
      <c r="M42" s="39"/>
      <c r="N42" s="338">
        <f t="shared" si="0"/>
        <v>0</v>
      </c>
      <c r="O42" s="338">
        <f t="shared" si="0"/>
        <v>0</v>
      </c>
      <c r="P42" s="338">
        <f t="shared" si="0"/>
        <v>0</v>
      </c>
      <c r="Q42" s="39"/>
      <c r="R42" s="39"/>
      <c r="S42" s="338">
        <f t="shared" si="1"/>
        <v>0</v>
      </c>
      <c r="T42" s="37" t="s">
        <v>2178</v>
      </c>
      <c r="U42" s="37" t="s">
        <v>2179</v>
      </c>
      <c r="V42" s="37">
        <v>20</v>
      </c>
      <c r="W42" s="10">
        <v>9</v>
      </c>
      <c r="X42" s="10"/>
      <c r="Y42" s="10">
        <v>9</v>
      </c>
      <c r="Z42" s="10">
        <v>9</v>
      </c>
      <c r="AA42" s="336">
        <v>365</v>
      </c>
      <c r="AB42" s="10">
        <v>180</v>
      </c>
      <c r="AC42" s="10">
        <v>365</v>
      </c>
      <c r="AD42" s="10"/>
      <c r="AE42" s="339" t="s">
        <v>102</v>
      </c>
      <c r="AF42" s="339" t="s">
        <v>102</v>
      </c>
      <c r="AG42" s="339" t="s">
        <v>102</v>
      </c>
      <c r="AH42" s="339" t="s">
        <v>102</v>
      </c>
      <c r="AI42" s="339" t="s">
        <v>102</v>
      </c>
      <c r="AJ42" s="339" t="s">
        <v>102</v>
      </c>
      <c r="AK42" s="339" t="s">
        <v>102</v>
      </c>
      <c r="AL42" s="339" t="s">
        <v>102</v>
      </c>
      <c r="AM42" s="339" t="s">
        <v>102</v>
      </c>
      <c r="AN42" s="339" t="s">
        <v>102</v>
      </c>
      <c r="AO42" s="339" t="s">
        <v>102</v>
      </c>
      <c r="AP42" s="339" t="s">
        <v>102</v>
      </c>
    </row>
    <row r="43" spans="1:42" s="285" customFormat="1" ht="60" x14ac:dyDescent="0.25">
      <c r="A43" s="366">
        <v>0</v>
      </c>
      <c r="B43" s="366">
        <v>0</v>
      </c>
      <c r="C43" s="366">
        <v>0</v>
      </c>
      <c r="D43" s="366">
        <v>0</v>
      </c>
      <c r="E43" s="368">
        <v>0</v>
      </c>
      <c r="F43" s="366">
        <v>0</v>
      </c>
      <c r="G43" s="366">
        <v>0</v>
      </c>
      <c r="H43" s="338">
        <v>0</v>
      </c>
      <c r="I43" s="39"/>
      <c r="J43" s="219"/>
      <c r="K43" s="39"/>
      <c r="L43" s="39"/>
      <c r="M43" s="39"/>
      <c r="N43" s="338">
        <f t="shared" si="0"/>
        <v>0</v>
      </c>
      <c r="O43" s="338">
        <f t="shared" si="0"/>
        <v>0</v>
      </c>
      <c r="P43" s="338">
        <f t="shared" si="0"/>
        <v>0</v>
      </c>
      <c r="Q43" s="39"/>
      <c r="R43" s="39"/>
      <c r="S43" s="338">
        <f t="shared" si="1"/>
        <v>0</v>
      </c>
      <c r="T43" s="37" t="s">
        <v>2180</v>
      </c>
      <c r="U43" s="37" t="s">
        <v>2134</v>
      </c>
      <c r="V43" s="37">
        <v>1</v>
      </c>
      <c r="W43" s="10">
        <v>1</v>
      </c>
      <c r="X43" s="10"/>
      <c r="Y43" s="10">
        <v>1</v>
      </c>
      <c r="Z43" s="10">
        <v>1</v>
      </c>
      <c r="AA43" s="336">
        <v>365</v>
      </c>
      <c r="AB43" s="10">
        <v>180</v>
      </c>
      <c r="AC43" s="10">
        <v>365</v>
      </c>
      <c r="AD43" s="10" t="s">
        <v>2181</v>
      </c>
      <c r="AE43" s="339" t="s">
        <v>102</v>
      </c>
      <c r="AF43" s="339" t="s">
        <v>102</v>
      </c>
      <c r="AG43" s="339" t="s">
        <v>102</v>
      </c>
      <c r="AH43" s="339" t="s">
        <v>102</v>
      </c>
      <c r="AI43" s="339" t="s">
        <v>102</v>
      </c>
      <c r="AJ43" s="339" t="s">
        <v>102</v>
      </c>
      <c r="AK43" s="339" t="s">
        <v>102</v>
      </c>
      <c r="AL43" s="339" t="s">
        <v>102</v>
      </c>
      <c r="AM43" s="339" t="s">
        <v>102</v>
      </c>
      <c r="AN43" s="339" t="s">
        <v>102</v>
      </c>
      <c r="AO43" s="339" t="s">
        <v>102</v>
      </c>
      <c r="AP43" s="339" t="s">
        <v>102</v>
      </c>
    </row>
    <row r="44" spans="1:42" s="285" customFormat="1" ht="273.75" customHeight="1" x14ac:dyDescent="0.25">
      <c r="A44" s="366">
        <v>0</v>
      </c>
      <c r="B44" s="366">
        <v>0</v>
      </c>
      <c r="C44" s="366">
        <v>0</v>
      </c>
      <c r="D44" s="366">
        <v>0</v>
      </c>
      <c r="E44" s="368">
        <v>0</v>
      </c>
      <c r="F44" s="366">
        <v>0</v>
      </c>
      <c r="G44" s="366">
        <v>0</v>
      </c>
      <c r="H44" s="338">
        <v>0</v>
      </c>
      <c r="I44" s="39"/>
      <c r="J44" s="219"/>
      <c r="K44" s="39"/>
      <c r="L44" s="39"/>
      <c r="M44" s="39"/>
      <c r="N44" s="338">
        <f t="shared" si="0"/>
        <v>0</v>
      </c>
      <c r="O44" s="338">
        <f t="shared" si="0"/>
        <v>0</v>
      </c>
      <c r="P44" s="338">
        <f t="shared" si="0"/>
        <v>0</v>
      </c>
      <c r="Q44" s="39"/>
      <c r="R44" s="39"/>
      <c r="S44" s="338">
        <f t="shared" si="1"/>
        <v>0</v>
      </c>
      <c r="T44" s="37" t="s">
        <v>2182</v>
      </c>
      <c r="U44" s="37" t="s">
        <v>941</v>
      </c>
      <c r="V44" s="37">
        <v>30</v>
      </c>
      <c r="W44" s="10">
        <v>37</v>
      </c>
      <c r="X44" s="10"/>
      <c r="Y44" s="10">
        <v>37</v>
      </c>
      <c r="Z44" s="10">
        <v>38</v>
      </c>
      <c r="AA44" s="336">
        <v>365</v>
      </c>
      <c r="AB44" s="10">
        <v>180</v>
      </c>
      <c r="AC44" s="10">
        <v>365</v>
      </c>
      <c r="AD44" s="10" t="s">
        <v>2183</v>
      </c>
      <c r="AE44" s="339" t="s">
        <v>102</v>
      </c>
      <c r="AF44" s="339" t="s">
        <v>102</v>
      </c>
      <c r="AG44" s="339" t="s">
        <v>102</v>
      </c>
      <c r="AH44" s="339" t="s">
        <v>102</v>
      </c>
      <c r="AI44" s="339" t="s">
        <v>102</v>
      </c>
      <c r="AJ44" s="339" t="s">
        <v>102</v>
      </c>
      <c r="AK44" s="339" t="s">
        <v>102</v>
      </c>
      <c r="AL44" s="339" t="s">
        <v>102</v>
      </c>
      <c r="AM44" s="339" t="s">
        <v>102</v>
      </c>
      <c r="AN44" s="339" t="s">
        <v>102</v>
      </c>
      <c r="AO44" s="339" t="s">
        <v>102</v>
      </c>
      <c r="AP44" s="339" t="s">
        <v>102</v>
      </c>
    </row>
    <row r="45" spans="1:42" s="285" customFormat="1" ht="75" x14ac:dyDescent="0.25">
      <c r="A45" s="366">
        <v>0</v>
      </c>
      <c r="B45" s="366">
        <v>0</v>
      </c>
      <c r="C45" s="366">
        <v>0</v>
      </c>
      <c r="D45" s="366">
        <v>0</v>
      </c>
      <c r="E45" s="368">
        <v>0</v>
      </c>
      <c r="F45" s="366">
        <v>0</v>
      </c>
      <c r="G45" s="366">
        <v>0</v>
      </c>
      <c r="H45" s="338">
        <v>0</v>
      </c>
      <c r="I45" s="39"/>
      <c r="J45" s="219"/>
      <c r="K45" s="39"/>
      <c r="L45" s="39"/>
      <c r="M45" s="39"/>
      <c r="N45" s="338">
        <f t="shared" si="0"/>
        <v>0</v>
      </c>
      <c r="O45" s="338">
        <f t="shared" si="0"/>
        <v>0</v>
      </c>
      <c r="P45" s="338">
        <f t="shared" si="0"/>
        <v>0</v>
      </c>
      <c r="Q45" s="39"/>
      <c r="R45" s="39"/>
      <c r="S45" s="338">
        <f t="shared" si="1"/>
        <v>0</v>
      </c>
      <c r="T45" s="37" t="s">
        <v>2184</v>
      </c>
      <c r="U45" s="37" t="s">
        <v>114</v>
      </c>
      <c r="V45" s="37">
        <v>1</v>
      </c>
      <c r="W45" s="10">
        <v>1</v>
      </c>
      <c r="X45" s="10"/>
      <c r="Y45" s="10">
        <v>1</v>
      </c>
      <c r="Z45" s="10">
        <v>1</v>
      </c>
      <c r="AA45" s="336">
        <v>300</v>
      </c>
      <c r="AB45" s="10">
        <v>120</v>
      </c>
      <c r="AC45" s="10">
        <v>300</v>
      </c>
      <c r="AD45" s="10" t="s">
        <v>2185</v>
      </c>
      <c r="AE45" s="339">
        <v>0</v>
      </c>
      <c r="AF45" s="339">
        <v>0</v>
      </c>
      <c r="AG45" s="339" t="s">
        <v>102</v>
      </c>
      <c r="AH45" s="339" t="s">
        <v>102</v>
      </c>
      <c r="AI45" s="339" t="s">
        <v>102</v>
      </c>
      <c r="AJ45" s="339" t="s">
        <v>102</v>
      </c>
      <c r="AK45" s="339" t="s">
        <v>102</v>
      </c>
      <c r="AL45" s="339" t="s">
        <v>102</v>
      </c>
      <c r="AM45" s="339" t="s">
        <v>102</v>
      </c>
      <c r="AN45" s="339" t="s">
        <v>102</v>
      </c>
      <c r="AO45" s="339" t="s">
        <v>102</v>
      </c>
      <c r="AP45" s="339" t="s">
        <v>102</v>
      </c>
    </row>
    <row r="46" spans="1:42" s="285" customFormat="1" ht="128.25" customHeight="1" x14ac:dyDescent="0.25">
      <c r="A46" s="366" t="s">
        <v>1615</v>
      </c>
      <c r="B46" s="366" t="s">
        <v>2047</v>
      </c>
      <c r="C46" s="366" t="s">
        <v>2048</v>
      </c>
      <c r="D46" s="366">
        <v>232130000</v>
      </c>
      <c r="E46" s="368" t="s">
        <v>2055</v>
      </c>
      <c r="F46" s="366" t="s">
        <v>2056</v>
      </c>
      <c r="G46" s="366" t="s">
        <v>2057</v>
      </c>
      <c r="H46" s="338">
        <v>200000000</v>
      </c>
      <c r="I46" s="39">
        <v>40000000</v>
      </c>
      <c r="J46" s="39">
        <v>40000000</v>
      </c>
      <c r="K46" s="39"/>
      <c r="L46" s="39"/>
      <c r="M46" s="39"/>
      <c r="N46" s="338">
        <f t="shared" si="0"/>
        <v>200000000</v>
      </c>
      <c r="O46" s="338">
        <f t="shared" si="0"/>
        <v>40000000</v>
      </c>
      <c r="P46" s="338">
        <f t="shared" si="0"/>
        <v>40000000</v>
      </c>
      <c r="Q46" s="39">
        <v>40000000</v>
      </c>
      <c r="R46" s="39"/>
      <c r="S46" s="338">
        <f t="shared" si="1"/>
        <v>40000000</v>
      </c>
      <c r="T46" s="37">
        <v>0</v>
      </c>
      <c r="U46" s="37">
        <v>0</v>
      </c>
      <c r="V46" s="37">
        <v>0</v>
      </c>
      <c r="W46" s="10"/>
      <c r="X46" s="10"/>
      <c r="Y46" s="10"/>
      <c r="Z46" s="10"/>
      <c r="AA46" s="336">
        <v>0</v>
      </c>
      <c r="AB46" s="10"/>
      <c r="AC46" s="10"/>
      <c r="AD46" s="10"/>
      <c r="AE46" s="339">
        <v>0</v>
      </c>
      <c r="AF46" s="339">
        <v>0</v>
      </c>
      <c r="AG46" s="339">
        <v>0</v>
      </c>
      <c r="AH46" s="339">
        <v>0</v>
      </c>
      <c r="AI46" s="339">
        <v>0</v>
      </c>
      <c r="AJ46" s="339">
        <v>0</v>
      </c>
      <c r="AK46" s="339">
        <v>0</v>
      </c>
      <c r="AL46" s="339">
        <v>0</v>
      </c>
      <c r="AM46" s="339">
        <v>0</v>
      </c>
      <c r="AN46" s="339">
        <v>0</v>
      </c>
      <c r="AO46" s="339">
        <v>0</v>
      </c>
      <c r="AP46" s="339">
        <v>0</v>
      </c>
    </row>
    <row r="47" spans="1:42" s="285" customFormat="1" ht="75" x14ac:dyDescent="0.25">
      <c r="A47" s="366">
        <v>0</v>
      </c>
      <c r="B47" s="366">
        <v>0</v>
      </c>
      <c r="C47" s="366">
        <v>0</v>
      </c>
      <c r="D47" s="366">
        <v>0</v>
      </c>
      <c r="E47" s="368">
        <v>0</v>
      </c>
      <c r="F47" s="366">
        <v>0</v>
      </c>
      <c r="G47" s="366">
        <v>0</v>
      </c>
      <c r="H47" s="338">
        <v>0</v>
      </c>
      <c r="I47" s="39"/>
      <c r="J47" s="219"/>
      <c r="K47" s="39"/>
      <c r="L47" s="39"/>
      <c r="M47" s="39"/>
      <c r="N47" s="338">
        <f t="shared" si="0"/>
        <v>0</v>
      </c>
      <c r="O47" s="338">
        <f t="shared" si="0"/>
        <v>0</v>
      </c>
      <c r="P47" s="338">
        <f t="shared" si="0"/>
        <v>0</v>
      </c>
      <c r="Q47" s="39"/>
      <c r="R47" s="39"/>
      <c r="S47" s="338">
        <f t="shared" si="1"/>
        <v>0</v>
      </c>
      <c r="T47" s="37" t="s">
        <v>2186</v>
      </c>
      <c r="U47" s="37" t="s">
        <v>2162</v>
      </c>
      <c r="V47" s="37">
        <v>1</v>
      </c>
      <c r="W47" s="10"/>
      <c r="X47" s="10"/>
      <c r="Y47" s="10">
        <v>0</v>
      </c>
      <c r="Z47" s="10">
        <v>1</v>
      </c>
      <c r="AA47" s="336">
        <v>30</v>
      </c>
      <c r="AB47" s="10"/>
      <c r="AC47" s="10">
        <v>30</v>
      </c>
      <c r="AD47" s="10" t="s">
        <v>2187</v>
      </c>
      <c r="AE47" s="339">
        <v>0</v>
      </c>
      <c r="AF47" s="339">
        <v>0</v>
      </c>
      <c r="AG47" s="339">
        <v>0</v>
      </c>
      <c r="AH47" s="339">
        <v>0</v>
      </c>
      <c r="AI47" s="339" t="s">
        <v>102</v>
      </c>
      <c r="AJ47" s="339">
        <v>0</v>
      </c>
      <c r="AK47" s="339">
        <v>0</v>
      </c>
      <c r="AL47" s="339">
        <v>0</v>
      </c>
      <c r="AM47" s="339">
        <v>0</v>
      </c>
      <c r="AN47" s="339">
        <v>0</v>
      </c>
      <c r="AO47" s="339">
        <v>0</v>
      </c>
      <c r="AP47" s="339">
        <v>0</v>
      </c>
    </row>
    <row r="48" spans="1:42" s="285" customFormat="1" ht="195" x14ac:dyDescent="0.25">
      <c r="A48" s="366">
        <v>0</v>
      </c>
      <c r="B48" s="366">
        <v>0</v>
      </c>
      <c r="C48" s="366">
        <v>0</v>
      </c>
      <c r="D48" s="366">
        <v>0</v>
      </c>
      <c r="E48" s="368">
        <v>0</v>
      </c>
      <c r="F48" s="366">
        <v>0</v>
      </c>
      <c r="G48" s="366">
        <v>0</v>
      </c>
      <c r="H48" s="338">
        <v>0</v>
      </c>
      <c r="I48" s="39"/>
      <c r="J48" s="219"/>
      <c r="K48" s="39"/>
      <c r="L48" s="39"/>
      <c r="M48" s="39"/>
      <c r="N48" s="338">
        <f t="shared" si="0"/>
        <v>0</v>
      </c>
      <c r="O48" s="338">
        <f t="shared" si="0"/>
        <v>0</v>
      </c>
      <c r="P48" s="338">
        <f t="shared" si="0"/>
        <v>0</v>
      </c>
      <c r="Q48" s="39"/>
      <c r="R48" s="39"/>
      <c r="S48" s="338">
        <f t="shared" si="1"/>
        <v>0</v>
      </c>
      <c r="T48" s="37" t="s">
        <v>2188</v>
      </c>
      <c r="U48" s="37" t="s">
        <v>99</v>
      </c>
      <c r="V48" s="37">
        <v>40</v>
      </c>
      <c r="W48" s="10">
        <v>0</v>
      </c>
      <c r="X48" s="10"/>
      <c r="Y48" s="10">
        <v>0</v>
      </c>
      <c r="Z48" s="10">
        <v>40</v>
      </c>
      <c r="AA48" s="336">
        <v>180</v>
      </c>
      <c r="AB48" s="10"/>
      <c r="AC48" s="10">
        <v>180</v>
      </c>
      <c r="AD48" s="10" t="s">
        <v>2189</v>
      </c>
      <c r="AE48" s="339">
        <v>0</v>
      </c>
      <c r="AF48" s="339">
        <v>0</v>
      </c>
      <c r="AG48" s="339">
        <v>0</v>
      </c>
      <c r="AH48" s="339">
        <v>0</v>
      </c>
      <c r="AI48" s="339"/>
      <c r="AJ48" s="339" t="s">
        <v>102</v>
      </c>
      <c r="AK48" s="339" t="s">
        <v>102</v>
      </c>
      <c r="AL48" s="339" t="s">
        <v>102</v>
      </c>
      <c r="AM48" s="339" t="s">
        <v>102</v>
      </c>
      <c r="AN48" s="339" t="s">
        <v>102</v>
      </c>
      <c r="AO48" s="339" t="s">
        <v>102</v>
      </c>
      <c r="AP48" s="339">
        <v>0</v>
      </c>
    </row>
    <row r="49" spans="1:42" s="285" customFormat="1" ht="123.75" customHeight="1" x14ac:dyDescent="0.25">
      <c r="A49" s="366">
        <v>0</v>
      </c>
      <c r="B49" s="366">
        <v>0</v>
      </c>
      <c r="C49" s="366">
        <v>0</v>
      </c>
      <c r="D49" s="366">
        <v>0</v>
      </c>
      <c r="E49" s="366">
        <v>0</v>
      </c>
      <c r="F49" s="366">
        <v>0</v>
      </c>
      <c r="G49" s="366">
        <v>0</v>
      </c>
      <c r="H49" s="338">
        <v>0</v>
      </c>
      <c r="I49" s="39"/>
      <c r="J49" s="219"/>
      <c r="K49" s="39"/>
      <c r="L49" s="39"/>
      <c r="M49" s="39"/>
      <c r="N49" s="338">
        <f t="shared" si="0"/>
        <v>0</v>
      </c>
      <c r="O49" s="338">
        <f t="shared" si="0"/>
        <v>0</v>
      </c>
      <c r="P49" s="338">
        <f t="shared" si="0"/>
        <v>0</v>
      </c>
      <c r="Q49" s="39"/>
      <c r="R49" s="39"/>
      <c r="S49" s="338">
        <f t="shared" si="1"/>
        <v>0</v>
      </c>
      <c r="T49" s="37" t="s">
        <v>2190</v>
      </c>
      <c r="U49" s="37" t="s">
        <v>2191</v>
      </c>
      <c r="V49" s="37">
        <v>2</v>
      </c>
      <c r="W49" s="10">
        <v>2</v>
      </c>
      <c r="X49" s="10"/>
      <c r="Y49" s="10">
        <v>2</v>
      </c>
      <c r="Z49" s="10">
        <v>2</v>
      </c>
      <c r="AA49" s="336">
        <v>330</v>
      </c>
      <c r="AB49" s="10">
        <v>180</v>
      </c>
      <c r="AC49" s="10">
        <v>330</v>
      </c>
      <c r="AD49" s="10" t="s">
        <v>2192</v>
      </c>
      <c r="AE49" s="339" t="s">
        <v>102</v>
      </c>
      <c r="AF49" s="339" t="s">
        <v>102</v>
      </c>
      <c r="AG49" s="339" t="s">
        <v>102</v>
      </c>
      <c r="AH49" s="339" t="s">
        <v>102</v>
      </c>
      <c r="AI49" s="339" t="s">
        <v>102</v>
      </c>
      <c r="AJ49" s="339" t="s">
        <v>102</v>
      </c>
      <c r="AK49" s="339" t="s">
        <v>102</v>
      </c>
      <c r="AL49" s="339" t="s">
        <v>102</v>
      </c>
      <c r="AM49" s="339" t="s">
        <v>102</v>
      </c>
      <c r="AN49" s="339" t="s">
        <v>102</v>
      </c>
      <c r="AO49" s="339" t="s">
        <v>102</v>
      </c>
      <c r="AP49" s="339"/>
    </row>
    <row r="50" spans="1:42" s="285" customFormat="1" ht="101.25" customHeight="1" x14ac:dyDescent="0.25">
      <c r="A50" s="366" t="s">
        <v>1615</v>
      </c>
      <c r="B50" s="366" t="s">
        <v>2059</v>
      </c>
      <c r="C50" s="366" t="s">
        <v>2060</v>
      </c>
      <c r="D50" s="366">
        <v>233120007</v>
      </c>
      <c r="E50" s="368" t="s">
        <v>2062</v>
      </c>
      <c r="F50" s="366" t="s">
        <v>2063</v>
      </c>
      <c r="G50" s="366" t="s">
        <v>2064</v>
      </c>
      <c r="H50" s="338">
        <v>600000000</v>
      </c>
      <c r="I50" s="39">
        <v>0</v>
      </c>
      <c r="J50" s="39">
        <v>630000000</v>
      </c>
      <c r="K50" s="39"/>
      <c r="L50" s="39"/>
      <c r="M50" s="39">
        <f>1698039762+80620000</f>
        <v>1778659762</v>
      </c>
      <c r="N50" s="338">
        <f t="shared" si="0"/>
        <v>600000000</v>
      </c>
      <c r="O50" s="338">
        <f t="shared" si="0"/>
        <v>0</v>
      </c>
      <c r="P50" s="338">
        <f t="shared" si="0"/>
        <v>2408659762</v>
      </c>
      <c r="Q50" s="39">
        <v>630000000</v>
      </c>
      <c r="R50" s="39">
        <f>1698039762</f>
        <v>1698039762</v>
      </c>
      <c r="S50" s="338">
        <f t="shared" si="1"/>
        <v>2328039762</v>
      </c>
      <c r="T50" s="37">
        <v>0</v>
      </c>
      <c r="U50" s="37">
        <v>0</v>
      </c>
      <c r="V50" s="37">
        <v>0</v>
      </c>
      <c r="W50" s="10"/>
      <c r="X50" s="10"/>
      <c r="Y50" s="10"/>
      <c r="Z50" s="10"/>
      <c r="AA50" s="336">
        <v>0</v>
      </c>
      <c r="AB50" s="10"/>
      <c r="AC50" s="10"/>
      <c r="AD50" s="10"/>
      <c r="AE50" s="339">
        <v>0</v>
      </c>
      <c r="AF50" s="339">
        <v>0</v>
      </c>
      <c r="AG50" s="339">
        <v>0</v>
      </c>
      <c r="AH50" s="339">
        <v>0</v>
      </c>
      <c r="AI50" s="339">
        <v>0</v>
      </c>
      <c r="AJ50" s="339">
        <v>0</v>
      </c>
      <c r="AK50" s="339">
        <v>0</v>
      </c>
      <c r="AL50" s="339">
        <v>0</v>
      </c>
      <c r="AM50" s="339">
        <v>0</v>
      </c>
      <c r="AN50" s="339">
        <v>0</v>
      </c>
      <c r="AO50" s="339">
        <v>0</v>
      </c>
      <c r="AP50" s="339">
        <v>0</v>
      </c>
    </row>
    <row r="51" spans="1:42" s="285" customFormat="1" ht="75" x14ac:dyDescent="0.25">
      <c r="A51" s="366">
        <v>0</v>
      </c>
      <c r="B51" s="366">
        <v>0</v>
      </c>
      <c r="C51" s="366">
        <v>0</v>
      </c>
      <c r="D51" s="366">
        <v>0</v>
      </c>
      <c r="E51" s="368">
        <v>0</v>
      </c>
      <c r="F51" s="366">
        <v>0</v>
      </c>
      <c r="G51" s="366">
        <v>0</v>
      </c>
      <c r="H51" s="338">
        <v>0</v>
      </c>
      <c r="I51" s="39"/>
      <c r="J51" s="219"/>
      <c r="K51" s="39"/>
      <c r="L51" s="39"/>
      <c r="M51" s="39"/>
      <c r="N51" s="338">
        <f t="shared" si="0"/>
        <v>0</v>
      </c>
      <c r="O51" s="338">
        <f t="shared" si="0"/>
        <v>0</v>
      </c>
      <c r="P51" s="338">
        <f t="shared" si="0"/>
        <v>0</v>
      </c>
      <c r="Q51" s="39"/>
      <c r="R51" s="39"/>
      <c r="S51" s="338">
        <f t="shared" si="1"/>
        <v>0</v>
      </c>
      <c r="T51" s="37" t="s">
        <v>2193</v>
      </c>
      <c r="U51" s="37" t="s">
        <v>2194</v>
      </c>
      <c r="V51" s="37">
        <v>1</v>
      </c>
      <c r="W51" s="10">
        <v>1</v>
      </c>
      <c r="X51" s="10"/>
      <c r="Y51" s="10">
        <v>1</v>
      </c>
      <c r="Z51" s="10">
        <v>1</v>
      </c>
      <c r="AA51" s="336">
        <v>365</v>
      </c>
      <c r="AB51" s="10">
        <v>180</v>
      </c>
      <c r="AC51" s="10">
        <v>365</v>
      </c>
      <c r="AD51" s="10" t="s">
        <v>2195</v>
      </c>
      <c r="AE51" s="339" t="s">
        <v>102</v>
      </c>
      <c r="AF51" s="339" t="s">
        <v>102</v>
      </c>
      <c r="AG51" s="339" t="s">
        <v>102</v>
      </c>
      <c r="AH51" s="339" t="s">
        <v>102</v>
      </c>
      <c r="AI51" s="339" t="s">
        <v>102</v>
      </c>
      <c r="AJ51" s="339" t="s">
        <v>102</v>
      </c>
      <c r="AK51" s="339" t="s">
        <v>102</v>
      </c>
      <c r="AL51" s="339" t="s">
        <v>102</v>
      </c>
      <c r="AM51" s="339" t="s">
        <v>102</v>
      </c>
      <c r="AN51" s="339" t="s">
        <v>102</v>
      </c>
      <c r="AO51" s="339" t="s">
        <v>102</v>
      </c>
      <c r="AP51" s="339" t="s">
        <v>102</v>
      </c>
    </row>
    <row r="52" spans="1:42" s="285" customFormat="1" ht="183" customHeight="1" x14ac:dyDescent="0.25">
      <c r="A52" s="366">
        <v>0</v>
      </c>
      <c r="B52" s="366">
        <v>0</v>
      </c>
      <c r="C52" s="366">
        <v>0</v>
      </c>
      <c r="D52" s="366">
        <v>0</v>
      </c>
      <c r="E52" s="368">
        <v>0</v>
      </c>
      <c r="F52" s="366">
        <v>0</v>
      </c>
      <c r="G52" s="366">
        <v>0</v>
      </c>
      <c r="H52" s="338">
        <v>0</v>
      </c>
      <c r="I52" s="39"/>
      <c r="J52" s="219"/>
      <c r="K52" s="39"/>
      <c r="L52" s="39"/>
      <c r="M52" s="39"/>
      <c r="N52" s="338">
        <f t="shared" si="0"/>
        <v>0</v>
      </c>
      <c r="O52" s="338">
        <f t="shared" si="0"/>
        <v>0</v>
      </c>
      <c r="P52" s="338">
        <f t="shared" si="0"/>
        <v>0</v>
      </c>
      <c r="Q52" s="39"/>
      <c r="R52" s="39"/>
      <c r="S52" s="338">
        <f t="shared" si="1"/>
        <v>0</v>
      </c>
      <c r="T52" s="37" t="s">
        <v>2196</v>
      </c>
      <c r="U52" s="37" t="s">
        <v>2197</v>
      </c>
      <c r="V52" s="37">
        <v>0</v>
      </c>
      <c r="W52" s="10">
        <v>14</v>
      </c>
      <c r="X52" s="10"/>
      <c r="Y52" s="10">
        <v>14</v>
      </c>
      <c r="Z52" s="10">
        <v>22</v>
      </c>
      <c r="AA52" s="336">
        <v>365</v>
      </c>
      <c r="AB52" s="10">
        <v>180</v>
      </c>
      <c r="AC52" s="10">
        <v>365</v>
      </c>
      <c r="AD52" s="10" t="s">
        <v>2198</v>
      </c>
      <c r="AE52" s="339" t="s">
        <v>102</v>
      </c>
      <c r="AF52" s="339" t="s">
        <v>102</v>
      </c>
      <c r="AG52" s="339" t="s">
        <v>102</v>
      </c>
      <c r="AH52" s="339" t="s">
        <v>102</v>
      </c>
      <c r="AI52" s="339" t="s">
        <v>102</v>
      </c>
      <c r="AJ52" s="339" t="s">
        <v>102</v>
      </c>
      <c r="AK52" s="339" t="s">
        <v>102</v>
      </c>
      <c r="AL52" s="339" t="s">
        <v>102</v>
      </c>
      <c r="AM52" s="339" t="s">
        <v>102</v>
      </c>
      <c r="AN52" s="339" t="s">
        <v>102</v>
      </c>
      <c r="AO52" s="339" t="s">
        <v>102</v>
      </c>
      <c r="AP52" s="339" t="s">
        <v>102</v>
      </c>
    </row>
    <row r="53" spans="1:42" s="285" customFormat="1" ht="60" x14ac:dyDescent="0.25">
      <c r="A53" s="366">
        <v>0</v>
      </c>
      <c r="B53" s="366">
        <v>0</v>
      </c>
      <c r="C53" s="366">
        <v>0</v>
      </c>
      <c r="D53" s="366">
        <v>0</v>
      </c>
      <c r="E53" s="368">
        <v>0</v>
      </c>
      <c r="F53" s="366">
        <v>0</v>
      </c>
      <c r="G53" s="366">
        <v>0</v>
      </c>
      <c r="H53" s="338">
        <v>0</v>
      </c>
      <c r="I53" s="39"/>
      <c r="J53" s="219"/>
      <c r="K53" s="39"/>
      <c r="L53" s="39"/>
      <c r="M53" s="39"/>
      <c r="N53" s="338">
        <f t="shared" si="0"/>
        <v>0</v>
      </c>
      <c r="O53" s="338">
        <f t="shared" si="0"/>
        <v>0</v>
      </c>
      <c r="P53" s="338">
        <f t="shared" si="0"/>
        <v>0</v>
      </c>
      <c r="Q53" s="39"/>
      <c r="R53" s="39"/>
      <c r="S53" s="338">
        <f t="shared" si="1"/>
        <v>0</v>
      </c>
      <c r="T53" s="37" t="s">
        <v>2199</v>
      </c>
      <c r="U53" s="37" t="s">
        <v>2200</v>
      </c>
      <c r="V53" s="37">
        <v>30</v>
      </c>
      <c r="W53" s="10">
        <v>30</v>
      </c>
      <c r="X53" s="10"/>
      <c r="Y53" s="10">
        <v>30</v>
      </c>
      <c r="Z53" s="10">
        <v>30</v>
      </c>
      <c r="AA53" s="336">
        <v>330</v>
      </c>
      <c r="AB53" s="10">
        <v>180</v>
      </c>
      <c r="AC53" s="10">
        <v>330</v>
      </c>
      <c r="AD53" s="10" t="s">
        <v>2201</v>
      </c>
      <c r="AE53" s="339">
        <v>0</v>
      </c>
      <c r="AF53" s="339" t="s">
        <v>102</v>
      </c>
      <c r="AG53" s="339" t="s">
        <v>102</v>
      </c>
      <c r="AH53" s="339" t="s">
        <v>102</v>
      </c>
      <c r="AI53" s="339" t="s">
        <v>102</v>
      </c>
      <c r="AJ53" s="339" t="s">
        <v>102</v>
      </c>
      <c r="AK53" s="339" t="s">
        <v>102</v>
      </c>
      <c r="AL53" s="339" t="s">
        <v>102</v>
      </c>
      <c r="AM53" s="339" t="s">
        <v>102</v>
      </c>
      <c r="AN53" s="339" t="s">
        <v>102</v>
      </c>
      <c r="AO53" s="339" t="s">
        <v>102</v>
      </c>
      <c r="AP53" s="339" t="s">
        <v>102</v>
      </c>
    </row>
    <row r="54" spans="1:42" s="285" customFormat="1" ht="165" x14ac:dyDescent="0.25">
      <c r="A54" s="366">
        <v>0</v>
      </c>
      <c r="B54" s="366">
        <v>0</v>
      </c>
      <c r="C54" s="366">
        <v>0</v>
      </c>
      <c r="D54" s="366">
        <v>0</v>
      </c>
      <c r="E54" s="368">
        <v>0</v>
      </c>
      <c r="F54" s="366">
        <v>0</v>
      </c>
      <c r="G54" s="366">
        <v>0</v>
      </c>
      <c r="H54" s="338">
        <v>0</v>
      </c>
      <c r="I54" s="39"/>
      <c r="J54" s="219"/>
      <c r="K54" s="39"/>
      <c r="L54" s="39"/>
      <c r="M54" s="39"/>
      <c r="N54" s="338">
        <f t="shared" si="0"/>
        <v>0</v>
      </c>
      <c r="O54" s="338">
        <f t="shared" si="0"/>
        <v>0</v>
      </c>
      <c r="P54" s="338">
        <f t="shared" si="0"/>
        <v>0</v>
      </c>
      <c r="Q54" s="39"/>
      <c r="R54" s="39"/>
      <c r="S54" s="338">
        <f t="shared" si="1"/>
        <v>0</v>
      </c>
      <c r="T54" s="37" t="s">
        <v>2202</v>
      </c>
      <c r="U54" s="37" t="s">
        <v>2203</v>
      </c>
      <c r="V54" s="37">
        <v>1</v>
      </c>
      <c r="W54" s="10"/>
      <c r="X54" s="10"/>
      <c r="Y54" s="10">
        <v>0</v>
      </c>
      <c r="Z54" s="10">
        <v>3</v>
      </c>
      <c r="AA54" s="336">
        <v>180</v>
      </c>
      <c r="AB54" s="10">
        <v>0</v>
      </c>
      <c r="AC54" s="10">
        <v>180</v>
      </c>
      <c r="AD54" s="10" t="s">
        <v>2204</v>
      </c>
      <c r="AE54" s="339">
        <v>0</v>
      </c>
      <c r="AF54" s="339">
        <v>0</v>
      </c>
      <c r="AG54" s="339" t="s">
        <v>102</v>
      </c>
      <c r="AH54" s="339" t="s">
        <v>102</v>
      </c>
      <c r="AI54" s="339" t="s">
        <v>102</v>
      </c>
      <c r="AJ54" s="339" t="s">
        <v>102</v>
      </c>
      <c r="AK54" s="339" t="s">
        <v>102</v>
      </c>
      <c r="AL54" s="339" t="s">
        <v>102</v>
      </c>
      <c r="AM54" s="339">
        <v>0</v>
      </c>
      <c r="AN54" s="339">
        <v>0</v>
      </c>
      <c r="AO54" s="339">
        <v>0</v>
      </c>
      <c r="AP54" s="339">
        <v>0</v>
      </c>
    </row>
    <row r="55" spans="1:42" s="285" customFormat="1" ht="210" customHeight="1" x14ac:dyDescent="0.25">
      <c r="A55" s="366" t="s">
        <v>1615</v>
      </c>
      <c r="B55" s="366" t="s">
        <v>1616</v>
      </c>
      <c r="C55" s="366" t="s">
        <v>2067</v>
      </c>
      <c r="D55" s="366">
        <v>234110000</v>
      </c>
      <c r="E55" s="366" t="s">
        <v>2069</v>
      </c>
      <c r="F55" s="366" t="s">
        <v>2070</v>
      </c>
      <c r="G55" s="366" t="s">
        <v>2071</v>
      </c>
      <c r="H55" s="338">
        <v>250000000</v>
      </c>
      <c r="I55" s="39">
        <v>200000000</v>
      </c>
      <c r="J55" s="39">
        <v>200000000</v>
      </c>
      <c r="K55" s="39"/>
      <c r="L55" s="39"/>
      <c r="M55" s="39">
        <f>21500000+64500000</f>
        <v>86000000</v>
      </c>
      <c r="N55" s="338">
        <f t="shared" si="0"/>
        <v>250000000</v>
      </c>
      <c r="O55" s="338">
        <f t="shared" si="0"/>
        <v>200000000</v>
      </c>
      <c r="P55" s="338">
        <f t="shared" si="0"/>
        <v>286000000</v>
      </c>
      <c r="Q55" s="39">
        <v>200000000</v>
      </c>
      <c r="R55" s="39">
        <v>21500000</v>
      </c>
      <c r="S55" s="338">
        <f t="shared" si="1"/>
        <v>221500000</v>
      </c>
      <c r="T55" s="37">
        <v>0</v>
      </c>
      <c r="U55" s="37">
        <v>0</v>
      </c>
      <c r="V55" s="37">
        <v>0</v>
      </c>
      <c r="W55" s="10"/>
      <c r="X55" s="10"/>
      <c r="Y55" s="10"/>
      <c r="Z55" s="10"/>
      <c r="AA55" s="336">
        <v>0</v>
      </c>
      <c r="AB55" s="10"/>
      <c r="AC55" s="10"/>
      <c r="AD55" s="10"/>
      <c r="AE55" s="339">
        <v>0</v>
      </c>
      <c r="AF55" s="339">
        <v>0</v>
      </c>
      <c r="AG55" s="339">
        <v>0</v>
      </c>
      <c r="AH55" s="339">
        <v>0</v>
      </c>
      <c r="AI55" s="339">
        <v>0</v>
      </c>
      <c r="AJ55" s="339">
        <v>0</v>
      </c>
      <c r="AK55" s="339">
        <v>0</v>
      </c>
      <c r="AL55" s="339">
        <v>0</v>
      </c>
      <c r="AM55" s="339">
        <v>0</v>
      </c>
      <c r="AN55" s="339">
        <v>0</v>
      </c>
      <c r="AO55" s="339">
        <v>0</v>
      </c>
      <c r="AP55" s="339">
        <v>0</v>
      </c>
    </row>
    <row r="56" spans="1:42" s="285" customFormat="1" ht="165" x14ac:dyDescent="0.25">
      <c r="A56" s="366">
        <v>0</v>
      </c>
      <c r="B56" s="366">
        <v>0</v>
      </c>
      <c r="C56" s="366">
        <v>0</v>
      </c>
      <c r="D56" s="366">
        <v>0</v>
      </c>
      <c r="E56" s="368">
        <v>0</v>
      </c>
      <c r="F56" s="366">
        <v>0</v>
      </c>
      <c r="G56" s="366">
        <v>0</v>
      </c>
      <c r="H56" s="338">
        <v>0</v>
      </c>
      <c r="I56" s="39"/>
      <c r="J56" s="219"/>
      <c r="K56" s="39"/>
      <c r="L56" s="39"/>
      <c r="M56" s="39"/>
      <c r="N56" s="338">
        <f t="shared" si="0"/>
        <v>0</v>
      </c>
      <c r="O56" s="338">
        <f t="shared" si="0"/>
        <v>0</v>
      </c>
      <c r="P56" s="338">
        <f t="shared" si="0"/>
        <v>0</v>
      </c>
      <c r="Q56" s="39"/>
      <c r="R56" s="39"/>
      <c r="S56" s="338">
        <f t="shared" si="1"/>
        <v>0</v>
      </c>
      <c r="T56" s="37" t="s">
        <v>2205</v>
      </c>
      <c r="U56" s="37" t="s">
        <v>2206</v>
      </c>
      <c r="V56" s="37">
        <v>25</v>
      </c>
      <c r="W56" s="10">
        <v>10</v>
      </c>
      <c r="X56" s="10"/>
      <c r="Y56" s="10">
        <v>10</v>
      </c>
      <c r="Z56" s="10">
        <v>25</v>
      </c>
      <c r="AA56" s="336">
        <v>300</v>
      </c>
      <c r="AB56" s="10">
        <v>100</v>
      </c>
      <c r="AC56" s="10">
        <v>300</v>
      </c>
      <c r="AD56" s="10" t="s">
        <v>2207</v>
      </c>
      <c r="AE56" s="339">
        <v>0</v>
      </c>
      <c r="AF56" s="339" t="s">
        <v>102</v>
      </c>
      <c r="AG56" s="339" t="s">
        <v>102</v>
      </c>
      <c r="AH56" s="339" t="s">
        <v>102</v>
      </c>
      <c r="AI56" s="339" t="s">
        <v>102</v>
      </c>
      <c r="AJ56" s="339" t="s">
        <v>102</v>
      </c>
      <c r="AK56" s="339" t="s">
        <v>102</v>
      </c>
      <c r="AL56" s="339" t="s">
        <v>102</v>
      </c>
      <c r="AM56" s="339" t="s">
        <v>102</v>
      </c>
      <c r="AN56" s="339" t="s">
        <v>102</v>
      </c>
      <c r="AO56" s="339" t="s">
        <v>102</v>
      </c>
      <c r="AP56" s="339">
        <v>0</v>
      </c>
    </row>
    <row r="57" spans="1:42" s="285" customFormat="1" ht="75" x14ac:dyDescent="0.25">
      <c r="A57" s="366">
        <v>0</v>
      </c>
      <c r="B57" s="366">
        <v>0</v>
      </c>
      <c r="C57" s="366">
        <v>0</v>
      </c>
      <c r="D57" s="366">
        <v>0</v>
      </c>
      <c r="E57" s="368">
        <v>0</v>
      </c>
      <c r="F57" s="366">
        <v>0</v>
      </c>
      <c r="G57" s="366">
        <v>0</v>
      </c>
      <c r="H57" s="338">
        <v>0</v>
      </c>
      <c r="I57" s="39"/>
      <c r="J57" s="219"/>
      <c r="K57" s="39"/>
      <c r="L57" s="39"/>
      <c r="M57" s="39"/>
      <c r="N57" s="338">
        <f t="shared" si="0"/>
        <v>0</v>
      </c>
      <c r="O57" s="338">
        <f t="shared" si="0"/>
        <v>0</v>
      </c>
      <c r="P57" s="338">
        <f t="shared" si="0"/>
        <v>0</v>
      </c>
      <c r="Q57" s="39"/>
      <c r="R57" s="39"/>
      <c r="S57" s="338">
        <f t="shared" si="1"/>
        <v>0</v>
      </c>
      <c r="T57" s="37" t="s">
        <v>2208</v>
      </c>
      <c r="U57" s="37" t="s">
        <v>941</v>
      </c>
      <c r="V57" s="37">
        <v>5</v>
      </c>
      <c r="W57" s="10"/>
      <c r="X57" s="10"/>
      <c r="Y57" s="10"/>
      <c r="Z57" s="10">
        <v>5</v>
      </c>
      <c r="AA57" s="336">
        <v>150</v>
      </c>
      <c r="AB57" s="10"/>
      <c r="AC57" s="10">
        <v>150</v>
      </c>
      <c r="AD57" s="10" t="s">
        <v>2209</v>
      </c>
      <c r="AE57" s="339">
        <v>0</v>
      </c>
      <c r="AF57" s="339">
        <v>0</v>
      </c>
      <c r="AG57" s="339">
        <v>0</v>
      </c>
      <c r="AH57" s="339">
        <v>0</v>
      </c>
      <c r="AI57" s="339">
        <v>0</v>
      </c>
      <c r="AJ57" s="339">
        <v>0</v>
      </c>
      <c r="AK57" s="339" t="s">
        <v>102</v>
      </c>
      <c r="AL57" s="339" t="s">
        <v>102</v>
      </c>
      <c r="AM57" s="339" t="s">
        <v>102</v>
      </c>
      <c r="AN57" s="339" t="s">
        <v>102</v>
      </c>
      <c r="AO57" s="339" t="s">
        <v>102</v>
      </c>
      <c r="AP57" s="339">
        <v>0</v>
      </c>
    </row>
    <row r="58" spans="1:42" s="285" customFormat="1" ht="180" x14ac:dyDescent="0.25">
      <c r="A58" s="366">
        <v>0</v>
      </c>
      <c r="B58" s="366">
        <v>0</v>
      </c>
      <c r="C58" s="366">
        <v>0</v>
      </c>
      <c r="D58" s="366">
        <v>0</v>
      </c>
      <c r="E58" s="368">
        <v>0</v>
      </c>
      <c r="F58" s="366">
        <v>0</v>
      </c>
      <c r="G58" s="366">
        <v>0</v>
      </c>
      <c r="H58" s="338">
        <v>0</v>
      </c>
      <c r="I58" s="39"/>
      <c r="J58" s="219"/>
      <c r="K58" s="39"/>
      <c r="L58" s="39"/>
      <c r="M58" s="39"/>
      <c r="N58" s="338">
        <f t="shared" si="0"/>
        <v>0</v>
      </c>
      <c r="O58" s="338">
        <f t="shared" si="0"/>
        <v>0</v>
      </c>
      <c r="P58" s="338">
        <f t="shared" si="0"/>
        <v>0</v>
      </c>
      <c r="Q58" s="39"/>
      <c r="R58" s="39"/>
      <c r="S58" s="338">
        <f t="shared" si="1"/>
        <v>0</v>
      </c>
      <c r="T58" s="37" t="s">
        <v>2210</v>
      </c>
      <c r="U58" s="37" t="s">
        <v>2206</v>
      </c>
      <c r="V58" s="37">
        <v>25</v>
      </c>
      <c r="W58" s="10">
        <v>10</v>
      </c>
      <c r="X58" s="10"/>
      <c r="Y58" s="10">
        <v>10</v>
      </c>
      <c r="Z58" s="10">
        <v>25</v>
      </c>
      <c r="AA58" s="336">
        <v>300</v>
      </c>
      <c r="AB58" s="10">
        <v>100</v>
      </c>
      <c r="AC58" s="10">
        <v>300</v>
      </c>
      <c r="AD58" s="10" t="s">
        <v>2211</v>
      </c>
      <c r="AE58" s="339">
        <v>0</v>
      </c>
      <c r="AF58" s="339"/>
      <c r="AG58" s="339" t="s">
        <v>102</v>
      </c>
      <c r="AH58" s="339" t="s">
        <v>102</v>
      </c>
      <c r="AI58" s="339" t="s">
        <v>102</v>
      </c>
      <c r="AJ58" s="339" t="s">
        <v>102</v>
      </c>
      <c r="AK58" s="339" t="s">
        <v>102</v>
      </c>
      <c r="AL58" s="339" t="s">
        <v>102</v>
      </c>
      <c r="AM58" s="339" t="s">
        <v>102</v>
      </c>
      <c r="AN58" s="339" t="s">
        <v>102</v>
      </c>
      <c r="AO58" s="339" t="s">
        <v>102</v>
      </c>
      <c r="AP58" s="339" t="s">
        <v>102</v>
      </c>
    </row>
    <row r="59" spans="1:42" s="285" customFormat="1" ht="72" x14ac:dyDescent="0.25">
      <c r="A59" s="366" t="s">
        <v>1615</v>
      </c>
      <c r="B59" s="366" t="s">
        <v>1616</v>
      </c>
      <c r="C59" s="366" t="s">
        <v>1617</v>
      </c>
      <c r="D59" s="366">
        <v>234210005</v>
      </c>
      <c r="E59" s="368" t="s">
        <v>2075</v>
      </c>
      <c r="F59" s="366" t="s">
        <v>2076</v>
      </c>
      <c r="G59" s="366" t="s">
        <v>2077</v>
      </c>
      <c r="H59" s="338">
        <v>400000000</v>
      </c>
      <c r="I59" s="39">
        <v>0</v>
      </c>
      <c r="J59" s="39">
        <v>400000000</v>
      </c>
      <c r="K59" s="39"/>
      <c r="L59" s="39"/>
      <c r="M59" s="39">
        <f>30000000+97000000</f>
        <v>127000000</v>
      </c>
      <c r="N59" s="338">
        <f t="shared" si="0"/>
        <v>400000000</v>
      </c>
      <c r="O59" s="338">
        <f t="shared" si="0"/>
        <v>0</v>
      </c>
      <c r="P59" s="338">
        <f t="shared" si="0"/>
        <v>527000000</v>
      </c>
      <c r="Q59" s="39">
        <v>400000000</v>
      </c>
      <c r="R59" s="39">
        <f>30000000+97000000</f>
        <v>127000000</v>
      </c>
      <c r="S59" s="338">
        <f t="shared" si="1"/>
        <v>527000000</v>
      </c>
      <c r="T59" s="37">
        <v>0</v>
      </c>
      <c r="U59" s="37">
        <v>0</v>
      </c>
      <c r="V59" s="37">
        <v>0</v>
      </c>
      <c r="W59" s="10"/>
      <c r="X59" s="10"/>
      <c r="Y59" s="10"/>
      <c r="Z59" s="10"/>
      <c r="AA59" s="336">
        <v>0</v>
      </c>
      <c r="AB59" s="10"/>
      <c r="AC59" s="10"/>
      <c r="AD59" s="10"/>
      <c r="AE59" s="339">
        <v>0</v>
      </c>
      <c r="AF59" s="339">
        <v>0</v>
      </c>
      <c r="AG59" s="339">
        <v>0</v>
      </c>
      <c r="AH59" s="339">
        <v>0</v>
      </c>
      <c r="AI59" s="339">
        <v>0</v>
      </c>
      <c r="AJ59" s="339">
        <v>0</v>
      </c>
      <c r="AK59" s="339">
        <v>0</v>
      </c>
      <c r="AL59" s="339">
        <v>0</v>
      </c>
      <c r="AM59" s="339">
        <v>0</v>
      </c>
      <c r="AN59" s="339">
        <v>0</v>
      </c>
      <c r="AO59" s="339">
        <v>0</v>
      </c>
      <c r="AP59" s="339">
        <v>0</v>
      </c>
    </row>
    <row r="60" spans="1:42" s="285" customFormat="1" ht="75" x14ac:dyDescent="0.25">
      <c r="A60" s="366">
        <v>0</v>
      </c>
      <c r="B60" s="366">
        <v>0</v>
      </c>
      <c r="C60" s="366">
        <v>0</v>
      </c>
      <c r="D60" s="366">
        <v>0</v>
      </c>
      <c r="E60" s="368">
        <v>0</v>
      </c>
      <c r="F60" s="366">
        <v>0</v>
      </c>
      <c r="G60" s="366">
        <v>0</v>
      </c>
      <c r="H60" s="338">
        <v>0</v>
      </c>
      <c r="I60" s="39"/>
      <c r="J60" s="219"/>
      <c r="K60" s="39"/>
      <c r="L60" s="39"/>
      <c r="M60" s="39"/>
      <c r="N60" s="338">
        <f t="shared" si="0"/>
        <v>0</v>
      </c>
      <c r="O60" s="338">
        <f t="shared" si="0"/>
        <v>0</v>
      </c>
      <c r="P60" s="338">
        <f t="shared" si="0"/>
        <v>0</v>
      </c>
      <c r="Q60" s="39"/>
      <c r="R60" s="39"/>
      <c r="S60" s="338">
        <f t="shared" si="1"/>
        <v>0</v>
      </c>
      <c r="T60" s="37" t="s">
        <v>2212</v>
      </c>
      <c r="U60" s="37" t="s">
        <v>2213</v>
      </c>
      <c r="V60" s="37">
        <v>310</v>
      </c>
      <c r="W60" s="10">
        <v>78</v>
      </c>
      <c r="X60" s="10"/>
      <c r="Y60" s="10">
        <v>78</v>
      </c>
      <c r="Z60" s="10">
        <v>78</v>
      </c>
      <c r="AA60" s="336">
        <v>330</v>
      </c>
      <c r="AB60" s="10">
        <v>120</v>
      </c>
      <c r="AC60" s="10">
        <v>330</v>
      </c>
      <c r="AD60" s="10" t="s">
        <v>2214</v>
      </c>
      <c r="AE60" s="339">
        <v>0</v>
      </c>
      <c r="AF60" s="339" t="s">
        <v>102</v>
      </c>
      <c r="AG60" s="339" t="s">
        <v>102</v>
      </c>
      <c r="AH60" s="339" t="s">
        <v>102</v>
      </c>
      <c r="AI60" s="339" t="s">
        <v>102</v>
      </c>
      <c r="AJ60" s="339" t="s">
        <v>102</v>
      </c>
      <c r="AK60" s="339" t="s">
        <v>102</v>
      </c>
      <c r="AL60" s="339" t="s">
        <v>102</v>
      </c>
      <c r="AM60" s="339" t="s">
        <v>102</v>
      </c>
      <c r="AN60" s="339" t="s">
        <v>102</v>
      </c>
      <c r="AO60" s="339" t="s">
        <v>102</v>
      </c>
      <c r="AP60" s="339" t="s">
        <v>102</v>
      </c>
    </row>
    <row r="61" spans="1:42" s="285" customFormat="1" ht="225" x14ac:dyDescent="0.25">
      <c r="A61" s="366">
        <v>0</v>
      </c>
      <c r="B61" s="366">
        <v>0</v>
      </c>
      <c r="C61" s="366">
        <v>0</v>
      </c>
      <c r="D61" s="366">
        <v>0</v>
      </c>
      <c r="E61" s="368">
        <v>0</v>
      </c>
      <c r="F61" s="366">
        <v>0</v>
      </c>
      <c r="G61" s="366">
        <v>0</v>
      </c>
      <c r="H61" s="338">
        <v>0</v>
      </c>
      <c r="I61" s="39"/>
      <c r="J61" s="219"/>
      <c r="K61" s="39"/>
      <c r="L61" s="39"/>
      <c r="M61" s="39"/>
      <c r="N61" s="338">
        <f t="shared" si="0"/>
        <v>0</v>
      </c>
      <c r="O61" s="338">
        <f t="shared" si="0"/>
        <v>0</v>
      </c>
      <c r="P61" s="338">
        <f t="shared" si="0"/>
        <v>0</v>
      </c>
      <c r="Q61" s="39"/>
      <c r="R61" s="39"/>
      <c r="S61" s="338">
        <f t="shared" si="1"/>
        <v>0</v>
      </c>
      <c r="T61" s="37" t="s">
        <v>2215</v>
      </c>
      <c r="U61" s="37" t="s">
        <v>2216</v>
      </c>
      <c r="V61" s="37">
        <v>20</v>
      </c>
      <c r="W61" s="10">
        <v>8</v>
      </c>
      <c r="X61" s="10"/>
      <c r="Y61" s="10">
        <v>8</v>
      </c>
      <c r="Z61" s="10">
        <v>36</v>
      </c>
      <c r="AA61" s="336">
        <v>300</v>
      </c>
      <c r="AB61" s="10">
        <v>120</v>
      </c>
      <c r="AC61" s="10">
        <v>300</v>
      </c>
      <c r="AD61" s="10" t="s">
        <v>2217</v>
      </c>
      <c r="AE61" s="339">
        <v>0</v>
      </c>
      <c r="AF61" s="339" t="s">
        <v>102</v>
      </c>
      <c r="AG61" s="339" t="s">
        <v>102</v>
      </c>
      <c r="AH61" s="339" t="s">
        <v>102</v>
      </c>
      <c r="AI61" s="339" t="s">
        <v>102</v>
      </c>
      <c r="AJ61" s="339" t="s">
        <v>102</v>
      </c>
      <c r="AK61" s="339" t="s">
        <v>102</v>
      </c>
      <c r="AL61" s="339" t="s">
        <v>102</v>
      </c>
      <c r="AM61" s="339" t="s">
        <v>102</v>
      </c>
      <c r="AN61" s="339" t="s">
        <v>102</v>
      </c>
      <c r="AO61" s="339" t="s">
        <v>102</v>
      </c>
      <c r="AP61" s="339"/>
    </row>
    <row r="62" spans="1:42" s="285" customFormat="1" ht="72" x14ac:dyDescent="0.25">
      <c r="A62" s="366" t="s">
        <v>1615</v>
      </c>
      <c r="B62" s="366" t="s">
        <v>1616</v>
      </c>
      <c r="C62" s="366" t="s">
        <v>1617</v>
      </c>
      <c r="D62" s="366">
        <v>234220005</v>
      </c>
      <c r="E62" s="368" t="s">
        <v>2082</v>
      </c>
      <c r="F62" s="366" t="s">
        <v>2083</v>
      </c>
      <c r="G62" s="366" t="s">
        <v>2084</v>
      </c>
      <c r="H62" s="338">
        <v>2825000000</v>
      </c>
      <c r="I62" s="39">
        <f>2945000000+658456000</f>
        <v>3603456000</v>
      </c>
      <c r="J62" s="39">
        <v>3603456000</v>
      </c>
      <c r="K62" s="39">
        <v>97000000</v>
      </c>
      <c r="L62" s="39">
        <v>77156756</v>
      </c>
      <c r="M62" s="39">
        <f>30000000+97000000</f>
        <v>127000000</v>
      </c>
      <c r="N62" s="338">
        <f t="shared" si="0"/>
        <v>2922000000</v>
      </c>
      <c r="O62" s="338">
        <f t="shared" si="0"/>
        <v>3680612756</v>
      </c>
      <c r="P62" s="338">
        <f t="shared" si="0"/>
        <v>3730456000</v>
      </c>
      <c r="Q62" s="39">
        <v>3414710731</v>
      </c>
      <c r="R62" s="39">
        <f>30000000+97000000</f>
        <v>127000000</v>
      </c>
      <c r="S62" s="338">
        <f t="shared" si="1"/>
        <v>3541710731</v>
      </c>
      <c r="T62" s="37">
        <v>0</v>
      </c>
      <c r="U62" s="37">
        <v>0</v>
      </c>
      <c r="V62" s="37">
        <v>0</v>
      </c>
      <c r="W62" s="10"/>
      <c r="X62" s="10"/>
      <c r="Y62" s="10"/>
      <c r="Z62" s="10"/>
      <c r="AA62" s="336">
        <v>0</v>
      </c>
      <c r="AB62" s="10"/>
      <c r="AC62" s="10"/>
      <c r="AD62" s="10"/>
      <c r="AE62" s="339">
        <v>0</v>
      </c>
      <c r="AF62" s="339">
        <v>0</v>
      </c>
      <c r="AG62" s="339">
        <v>0</v>
      </c>
      <c r="AH62" s="339">
        <v>0</v>
      </c>
      <c r="AI62" s="339">
        <v>0</v>
      </c>
      <c r="AJ62" s="339">
        <v>0</v>
      </c>
      <c r="AK62" s="339">
        <v>0</v>
      </c>
      <c r="AL62" s="339">
        <v>0</v>
      </c>
      <c r="AM62" s="339">
        <v>0</v>
      </c>
      <c r="AN62" s="339">
        <v>0</v>
      </c>
      <c r="AO62" s="339">
        <v>0</v>
      </c>
      <c r="AP62" s="339">
        <v>0</v>
      </c>
    </row>
    <row r="63" spans="1:42" s="285" customFormat="1" ht="195" x14ac:dyDescent="0.25">
      <c r="A63" s="366">
        <v>0</v>
      </c>
      <c r="B63" s="366">
        <v>0</v>
      </c>
      <c r="C63" s="366">
        <v>0</v>
      </c>
      <c r="D63" s="366">
        <v>0</v>
      </c>
      <c r="E63" s="366">
        <v>0</v>
      </c>
      <c r="F63" s="366">
        <v>0</v>
      </c>
      <c r="G63" s="366">
        <v>0</v>
      </c>
      <c r="H63" s="338">
        <v>0</v>
      </c>
      <c r="I63" s="39"/>
      <c r="J63" s="219"/>
      <c r="K63" s="39"/>
      <c r="L63" s="39"/>
      <c r="M63" s="39"/>
      <c r="N63" s="338">
        <f t="shared" si="0"/>
        <v>0</v>
      </c>
      <c r="O63" s="338">
        <f t="shared" si="0"/>
        <v>0</v>
      </c>
      <c r="P63" s="338">
        <f t="shared" si="0"/>
        <v>0</v>
      </c>
      <c r="Q63" s="39"/>
      <c r="R63" s="39"/>
      <c r="S63" s="338">
        <f t="shared" si="1"/>
        <v>0</v>
      </c>
      <c r="T63" s="37" t="s">
        <v>2218</v>
      </c>
      <c r="U63" s="37" t="s">
        <v>941</v>
      </c>
      <c r="V63" s="37">
        <v>28</v>
      </c>
      <c r="W63" s="10">
        <v>28</v>
      </c>
      <c r="X63" s="10"/>
      <c r="Y63" s="10">
        <v>28</v>
      </c>
      <c r="Z63" s="10">
        <v>32</v>
      </c>
      <c r="AA63" s="336">
        <v>330</v>
      </c>
      <c r="AB63" s="10">
        <v>150</v>
      </c>
      <c r="AC63" s="10">
        <v>330</v>
      </c>
      <c r="AD63" s="44" t="s">
        <v>2219</v>
      </c>
      <c r="AE63" s="339">
        <v>0</v>
      </c>
      <c r="AF63" s="339" t="s">
        <v>102</v>
      </c>
      <c r="AG63" s="339" t="s">
        <v>102</v>
      </c>
      <c r="AH63" s="339" t="s">
        <v>102</v>
      </c>
      <c r="AI63" s="339" t="s">
        <v>102</v>
      </c>
      <c r="AJ63" s="339" t="s">
        <v>102</v>
      </c>
      <c r="AK63" s="339" t="s">
        <v>102</v>
      </c>
      <c r="AL63" s="339" t="s">
        <v>102</v>
      </c>
      <c r="AM63" s="339" t="s">
        <v>102</v>
      </c>
      <c r="AN63" s="339" t="s">
        <v>102</v>
      </c>
      <c r="AO63" s="339" t="s">
        <v>102</v>
      </c>
      <c r="AP63" s="339" t="s">
        <v>102</v>
      </c>
    </row>
    <row r="64" spans="1:42" s="285" customFormat="1" ht="105" x14ac:dyDescent="0.25">
      <c r="A64" s="366">
        <v>0</v>
      </c>
      <c r="B64" s="366">
        <v>0</v>
      </c>
      <c r="C64" s="366">
        <v>0</v>
      </c>
      <c r="D64" s="366">
        <v>0</v>
      </c>
      <c r="E64" s="368">
        <v>0</v>
      </c>
      <c r="F64" s="366">
        <v>0</v>
      </c>
      <c r="G64" s="366">
        <v>0</v>
      </c>
      <c r="H64" s="338">
        <v>0</v>
      </c>
      <c r="I64" s="39"/>
      <c r="J64" s="219"/>
      <c r="K64" s="39"/>
      <c r="L64" s="39"/>
      <c r="M64" s="39"/>
      <c r="N64" s="338">
        <f t="shared" si="0"/>
        <v>0</v>
      </c>
      <c r="O64" s="338">
        <f t="shared" si="0"/>
        <v>0</v>
      </c>
      <c r="P64" s="338">
        <f t="shared" si="0"/>
        <v>0</v>
      </c>
      <c r="Q64" s="39"/>
      <c r="R64" s="39"/>
      <c r="S64" s="338">
        <f t="shared" si="1"/>
        <v>0</v>
      </c>
      <c r="T64" s="37" t="s">
        <v>2220</v>
      </c>
      <c r="U64" s="37" t="s">
        <v>2213</v>
      </c>
      <c r="V64" s="37">
        <v>1250</v>
      </c>
      <c r="W64" s="10">
        <v>1256</v>
      </c>
      <c r="X64" s="10"/>
      <c r="Y64" s="10">
        <v>1256</v>
      </c>
      <c r="Z64" s="10">
        <v>1256</v>
      </c>
      <c r="AA64" s="336">
        <v>330</v>
      </c>
      <c r="AB64" s="10">
        <v>150</v>
      </c>
      <c r="AC64" s="10">
        <v>330</v>
      </c>
      <c r="AD64" s="10" t="s">
        <v>2221</v>
      </c>
      <c r="AE64" s="339">
        <v>0</v>
      </c>
      <c r="AF64" s="339" t="s">
        <v>102</v>
      </c>
      <c r="AG64" s="339" t="s">
        <v>102</v>
      </c>
      <c r="AH64" s="339" t="s">
        <v>102</v>
      </c>
      <c r="AI64" s="339" t="s">
        <v>102</v>
      </c>
      <c r="AJ64" s="339" t="s">
        <v>102</v>
      </c>
      <c r="AK64" s="339" t="s">
        <v>102</v>
      </c>
      <c r="AL64" s="339" t="s">
        <v>102</v>
      </c>
      <c r="AM64" s="339" t="s">
        <v>102</v>
      </c>
      <c r="AN64" s="339" t="s">
        <v>102</v>
      </c>
      <c r="AO64" s="339" t="s">
        <v>102</v>
      </c>
      <c r="AP64" s="339" t="s">
        <v>102</v>
      </c>
    </row>
    <row r="65" spans="1:42" s="285" customFormat="1" ht="75" x14ac:dyDescent="0.25">
      <c r="A65" s="366">
        <v>0</v>
      </c>
      <c r="B65" s="366">
        <v>0</v>
      </c>
      <c r="C65" s="366">
        <v>0</v>
      </c>
      <c r="D65" s="366">
        <v>0</v>
      </c>
      <c r="E65" s="368">
        <v>0</v>
      </c>
      <c r="F65" s="366">
        <v>0</v>
      </c>
      <c r="G65" s="366">
        <v>0</v>
      </c>
      <c r="H65" s="338">
        <v>0</v>
      </c>
      <c r="I65" s="39"/>
      <c r="J65" s="219"/>
      <c r="K65" s="39"/>
      <c r="L65" s="39"/>
      <c r="M65" s="39"/>
      <c r="N65" s="338">
        <f t="shared" si="0"/>
        <v>0</v>
      </c>
      <c r="O65" s="338">
        <f t="shared" si="0"/>
        <v>0</v>
      </c>
      <c r="P65" s="338">
        <f t="shared" si="0"/>
        <v>0</v>
      </c>
      <c r="Q65" s="39"/>
      <c r="R65" s="39"/>
      <c r="S65" s="338">
        <f t="shared" si="1"/>
        <v>0</v>
      </c>
      <c r="T65" s="37" t="s">
        <v>2222</v>
      </c>
      <c r="U65" s="37" t="s">
        <v>941</v>
      </c>
      <c r="V65" s="37">
        <v>26</v>
      </c>
      <c r="W65" s="10">
        <v>17</v>
      </c>
      <c r="X65" s="10"/>
      <c r="Y65" s="10">
        <v>17</v>
      </c>
      <c r="Z65" s="10">
        <v>17</v>
      </c>
      <c r="AA65" s="336">
        <v>330</v>
      </c>
      <c r="AB65" s="10">
        <v>150</v>
      </c>
      <c r="AC65" s="10">
        <v>330</v>
      </c>
      <c r="AD65" s="10" t="s">
        <v>2223</v>
      </c>
      <c r="AE65" s="339">
        <v>0</v>
      </c>
      <c r="AF65" s="339" t="s">
        <v>102</v>
      </c>
      <c r="AG65" s="339" t="s">
        <v>102</v>
      </c>
      <c r="AH65" s="339" t="s">
        <v>102</v>
      </c>
      <c r="AI65" s="339" t="s">
        <v>102</v>
      </c>
      <c r="AJ65" s="339" t="s">
        <v>102</v>
      </c>
      <c r="AK65" s="339" t="s">
        <v>102</v>
      </c>
      <c r="AL65" s="339" t="s">
        <v>102</v>
      </c>
      <c r="AM65" s="339" t="s">
        <v>102</v>
      </c>
      <c r="AN65" s="339" t="s">
        <v>102</v>
      </c>
      <c r="AO65" s="339" t="s">
        <v>102</v>
      </c>
      <c r="AP65" s="339" t="s">
        <v>102</v>
      </c>
    </row>
    <row r="66" spans="1:42" s="285" customFormat="1" ht="90" x14ac:dyDescent="0.25">
      <c r="A66" s="366">
        <v>0</v>
      </c>
      <c r="B66" s="366">
        <v>0</v>
      </c>
      <c r="C66" s="366">
        <v>0</v>
      </c>
      <c r="D66" s="366">
        <v>0</v>
      </c>
      <c r="E66" s="368">
        <v>0</v>
      </c>
      <c r="F66" s="366">
        <v>0</v>
      </c>
      <c r="G66" s="366">
        <v>0</v>
      </c>
      <c r="H66" s="338">
        <v>0</v>
      </c>
      <c r="I66" s="39"/>
      <c r="J66" s="219"/>
      <c r="K66" s="39"/>
      <c r="L66" s="39"/>
      <c r="M66" s="39"/>
      <c r="N66" s="338">
        <f t="shared" si="0"/>
        <v>0</v>
      </c>
      <c r="O66" s="338">
        <f t="shared" si="0"/>
        <v>0</v>
      </c>
      <c r="P66" s="338">
        <f t="shared" si="0"/>
        <v>0</v>
      </c>
      <c r="Q66" s="39"/>
      <c r="R66" s="39"/>
      <c r="S66" s="338">
        <f t="shared" si="1"/>
        <v>0</v>
      </c>
      <c r="T66" s="37" t="s">
        <v>2224</v>
      </c>
      <c r="U66" s="37" t="s">
        <v>2225</v>
      </c>
      <c r="V66" s="37">
        <v>25</v>
      </c>
      <c r="W66" s="10">
        <v>17</v>
      </c>
      <c r="X66" s="10"/>
      <c r="Y66" s="10">
        <v>17</v>
      </c>
      <c r="Z66" s="10">
        <v>150</v>
      </c>
      <c r="AA66" s="336">
        <v>330</v>
      </c>
      <c r="AB66" s="10">
        <v>150</v>
      </c>
      <c r="AC66" s="10">
        <v>330</v>
      </c>
      <c r="AD66" s="10" t="s">
        <v>2226</v>
      </c>
      <c r="AE66" s="339">
        <v>0</v>
      </c>
      <c r="AF66" s="339" t="s">
        <v>102</v>
      </c>
      <c r="AG66" s="339" t="s">
        <v>102</v>
      </c>
      <c r="AH66" s="339" t="s">
        <v>102</v>
      </c>
      <c r="AI66" s="339" t="s">
        <v>102</v>
      </c>
      <c r="AJ66" s="339" t="s">
        <v>102</v>
      </c>
      <c r="AK66" s="339" t="s">
        <v>102</v>
      </c>
      <c r="AL66" s="339" t="s">
        <v>102</v>
      </c>
      <c r="AM66" s="339" t="s">
        <v>102</v>
      </c>
      <c r="AN66" s="339" t="s">
        <v>102</v>
      </c>
      <c r="AO66" s="339" t="s">
        <v>102</v>
      </c>
      <c r="AP66" s="339" t="s">
        <v>102</v>
      </c>
    </row>
    <row r="67" spans="1:42" s="285" customFormat="1" ht="105" x14ac:dyDescent="0.25">
      <c r="A67" s="366">
        <v>0</v>
      </c>
      <c r="B67" s="366">
        <v>0</v>
      </c>
      <c r="C67" s="366">
        <v>0</v>
      </c>
      <c r="D67" s="366">
        <v>0</v>
      </c>
      <c r="E67" s="368">
        <v>0</v>
      </c>
      <c r="F67" s="366">
        <v>0</v>
      </c>
      <c r="G67" s="366">
        <v>0</v>
      </c>
      <c r="H67" s="338">
        <v>0</v>
      </c>
      <c r="I67" s="39"/>
      <c r="J67" s="219"/>
      <c r="K67" s="39"/>
      <c r="L67" s="39"/>
      <c r="M67" s="39"/>
      <c r="N67" s="338">
        <f t="shared" si="0"/>
        <v>0</v>
      </c>
      <c r="O67" s="338">
        <f t="shared" si="0"/>
        <v>0</v>
      </c>
      <c r="P67" s="338">
        <f t="shared" si="0"/>
        <v>0</v>
      </c>
      <c r="Q67" s="39"/>
      <c r="R67" s="39"/>
      <c r="S67" s="338">
        <f t="shared" si="1"/>
        <v>0</v>
      </c>
      <c r="T67" s="37" t="s">
        <v>2227</v>
      </c>
      <c r="U67" s="37" t="s">
        <v>2228</v>
      </c>
      <c r="V67" s="37">
        <v>1</v>
      </c>
      <c r="W67" s="27"/>
      <c r="X67" s="10"/>
      <c r="Y67" s="10"/>
      <c r="Z67" s="10">
        <v>1</v>
      </c>
      <c r="AA67" s="336">
        <v>90</v>
      </c>
      <c r="AB67" s="10"/>
      <c r="AC67" s="10">
        <v>90</v>
      </c>
      <c r="AD67" s="10" t="s">
        <v>2229</v>
      </c>
      <c r="AE67" s="339">
        <v>0</v>
      </c>
      <c r="AF67" s="339"/>
      <c r="AG67" s="339"/>
      <c r="AH67" s="339"/>
      <c r="AI67" s="339">
        <v>0</v>
      </c>
      <c r="AJ67" s="339">
        <v>0</v>
      </c>
      <c r="AK67" s="339">
        <v>0</v>
      </c>
      <c r="AL67" s="339"/>
      <c r="AM67" s="339" t="s">
        <v>102</v>
      </c>
      <c r="AN67" s="339" t="s">
        <v>102</v>
      </c>
      <c r="AO67" s="339" t="s">
        <v>102</v>
      </c>
      <c r="AP67" s="339">
        <v>0</v>
      </c>
    </row>
    <row r="68" spans="1:42" s="285" customFormat="1" ht="75" x14ac:dyDescent="0.25">
      <c r="A68" s="366">
        <v>0</v>
      </c>
      <c r="B68" s="366">
        <v>0</v>
      </c>
      <c r="C68" s="366">
        <v>0</v>
      </c>
      <c r="D68" s="366">
        <v>0</v>
      </c>
      <c r="E68" s="368">
        <v>0</v>
      </c>
      <c r="F68" s="366">
        <v>0</v>
      </c>
      <c r="G68" s="366">
        <v>0</v>
      </c>
      <c r="H68" s="338">
        <v>0</v>
      </c>
      <c r="I68" s="39"/>
      <c r="J68" s="219"/>
      <c r="K68" s="39"/>
      <c r="L68" s="39"/>
      <c r="M68" s="39"/>
      <c r="N68" s="338">
        <f t="shared" si="0"/>
        <v>0</v>
      </c>
      <c r="O68" s="338">
        <f t="shared" si="0"/>
        <v>0</v>
      </c>
      <c r="P68" s="338">
        <f t="shared" si="0"/>
        <v>0</v>
      </c>
      <c r="Q68" s="39"/>
      <c r="R68" s="39"/>
      <c r="S68" s="338">
        <f t="shared" si="1"/>
        <v>0</v>
      </c>
      <c r="T68" s="37" t="s">
        <v>2230</v>
      </c>
      <c r="U68" s="37" t="s">
        <v>2231</v>
      </c>
      <c r="V68" s="37">
        <v>6</v>
      </c>
      <c r="W68" s="10">
        <v>2</v>
      </c>
      <c r="X68" s="10"/>
      <c r="Y68" s="10">
        <v>2</v>
      </c>
      <c r="Z68" s="10">
        <v>4</v>
      </c>
      <c r="AA68" s="336">
        <v>120</v>
      </c>
      <c r="AB68" s="10">
        <v>60</v>
      </c>
      <c r="AC68" s="10">
        <v>60</v>
      </c>
      <c r="AD68" s="10" t="s">
        <v>2232</v>
      </c>
      <c r="AE68" s="339">
        <v>0</v>
      </c>
      <c r="AF68" s="339">
        <v>0</v>
      </c>
      <c r="AG68" s="339" t="s">
        <v>102</v>
      </c>
      <c r="AH68" s="339">
        <v>0</v>
      </c>
      <c r="AI68" s="339">
        <v>0</v>
      </c>
      <c r="AJ68" s="339" t="s">
        <v>102</v>
      </c>
      <c r="AK68" s="339">
        <v>0</v>
      </c>
      <c r="AL68" s="339">
        <v>0</v>
      </c>
      <c r="AM68" s="339" t="s">
        <v>102</v>
      </c>
      <c r="AN68" s="339">
        <v>0</v>
      </c>
      <c r="AO68" s="339" t="s">
        <v>102</v>
      </c>
      <c r="AP68" s="339"/>
    </row>
    <row r="69" spans="1:42" s="285" customFormat="1" ht="140.25" customHeight="1" x14ac:dyDescent="0.25">
      <c r="A69" s="366" t="s">
        <v>1615</v>
      </c>
      <c r="B69" s="366" t="s">
        <v>1616</v>
      </c>
      <c r="C69" s="366" t="s">
        <v>2086</v>
      </c>
      <c r="D69" s="366">
        <v>234310000</v>
      </c>
      <c r="E69" s="368" t="s">
        <v>2088</v>
      </c>
      <c r="F69" s="366" t="s">
        <v>2089</v>
      </c>
      <c r="G69" s="366" t="s">
        <v>2090</v>
      </c>
      <c r="H69" s="338">
        <v>100000000</v>
      </c>
      <c r="I69" s="39">
        <v>965793749</v>
      </c>
      <c r="J69" s="39">
        <v>965793749</v>
      </c>
      <c r="K69" s="39"/>
      <c r="L69" s="39"/>
      <c r="M69" s="39"/>
      <c r="N69" s="338">
        <f t="shared" si="0"/>
        <v>100000000</v>
      </c>
      <c r="O69" s="338">
        <f t="shared" si="0"/>
        <v>965793749</v>
      </c>
      <c r="P69" s="338">
        <f t="shared" si="0"/>
        <v>965793749</v>
      </c>
      <c r="Q69" s="39">
        <v>865793749</v>
      </c>
      <c r="R69" s="39"/>
      <c r="S69" s="338">
        <f t="shared" si="1"/>
        <v>865793749</v>
      </c>
      <c r="T69" s="37">
        <v>0</v>
      </c>
      <c r="U69" s="37">
        <v>0</v>
      </c>
      <c r="V69" s="37">
        <v>0</v>
      </c>
      <c r="W69" s="10"/>
      <c r="X69" s="10"/>
      <c r="Y69" s="10"/>
      <c r="Z69" s="10"/>
      <c r="AA69" s="336">
        <v>0</v>
      </c>
      <c r="AB69" s="10"/>
      <c r="AC69" s="10"/>
      <c r="AD69" s="10"/>
      <c r="AE69" s="339">
        <v>0</v>
      </c>
      <c r="AF69" s="339">
        <v>0</v>
      </c>
      <c r="AG69" s="339">
        <v>0</v>
      </c>
      <c r="AH69" s="339">
        <v>0</v>
      </c>
      <c r="AI69" s="339">
        <v>0</v>
      </c>
      <c r="AJ69" s="339">
        <v>0</v>
      </c>
      <c r="AK69" s="339">
        <v>0</v>
      </c>
      <c r="AL69" s="339">
        <v>0</v>
      </c>
      <c r="AM69" s="339">
        <v>0</v>
      </c>
      <c r="AN69" s="339">
        <v>0</v>
      </c>
      <c r="AO69" s="339">
        <v>0</v>
      </c>
      <c r="AP69" s="339">
        <v>0</v>
      </c>
    </row>
    <row r="70" spans="1:42" s="285" customFormat="1" ht="72" x14ac:dyDescent="0.25">
      <c r="A70" s="366">
        <v>0</v>
      </c>
      <c r="B70" s="366">
        <v>0</v>
      </c>
      <c r="C70" s="366">
        <v>0</v>
      </c>
      <c r="D70" s="366">
        <v>0</v>
      </c>
      <c r="E70" s="368">
        <v>0</v>
      </c>
      <c r="F70" s="366">
        <v>0</v>
      </c>
      <c r="G70" s="366">
        <v>0</v>
      </c>
      <c r="H70" s="338">
        <v>0</v>
      </c>
      <c r="I70" s="39"/>
      <c r="J70" s="219"/>
      <c r="K70" s="39"/>
      <c r="L70" s="39"/>
      <c r="M70" s="39"/>
      <c r="N70" s="338">
        <f t="shared" si="0"/>
        <v>0</v>
      </c>
      <c r="O70" s="338">
        <f t="shared" si="0"/>
        <v>0</v>
      </c>
      <c r="P70" s="338">
        <f t="shared" si="0"/>
        <v>0</v>
      </c>
      <c r="Q70" s="39"/>
      <c r="R70" s="39"/>
      <c r="S70" s="338">
        <f t="shared" si="1"/>
        <v>0</v>
      </c>
      <c r="T70" s="37" t="s">
        <v>2233</v>
      </c>
      <c r="U70" s="37" t="s">
        <v>2234</v>
      </c>
      <c r="V70" s="37">
        <v>12</v>
      </c>
      <c r="W70" s="10">
        <v>6</v>
      </c>
      <c r="X70" s="10"/>
      <c r="Y70" s="10">
        <v>6</v>
      </c>
      <c r="Z70" s="10">
        <v>12</v>
      </c>
      <c r="AA70" s="336">
        <v>330</v>
      </c>
      <c r="AB70" s="10">
        <v>120</v>
      </c>
      <c r="AC70" s="10">
        <v>330</v>
      </c>
      <c r="AD70" s="10" t="s">
        <v>2235</v>
      </c>
      <c r="AE70" s="339">
        <v>0</v>
      </c>
      <c r="AF70" s="339" t="s">
        <v>102</v>
      </c>
      <c r="AG70" s="339" t="s">
        <v>102</v>
      </c>
      <c r="AH70" s="339" t="s">
        <v>102</v>
      </c>
      <c r="AI70" s="339" t="s">
        <v>102</v>
      </c>
      <c r="AJ70" s="339" t="s">
        <v>102</v>
      </c>
      <c r="AK70" s="339" t="s">
        <v>102</v>
      </c>
      <c r="AL70" s="339" t="s">
        <v>102</v>
      </c>
      <c r="AM70" s="339" t="s">
        <v>102</v>
      </c>
      <c r="AN70" s="339" t="s">
        <v>102</v>
      </c>
      <c r="AO70" s="339" t="s">
        <v>102</v>
      </c>
      <c r="AP70" s="339" t="s">
        <v>102</v>
      </c>
    </row>
    <row r="71" spans="1:42" s="285" customFormat="1" ht="129" customHeight="1" x14ac:dyDescent="0.25">
      <c r="A71" s="366" t="s">
        <v>1615</v>
      </c>
      <c r="B71" s="366" t="s">
        <v>1616</v>
      </c>
      <c r="C71" s="366" t="s">
        <v>1617</v>
      </c>
      <c r="D71" s="366">
        <v>234220005</v>
      </c>
      <c r="E71" s="368" t="s">
        <v>2093</v>
      </c>
      <c r="F71" s="366" t="s">
        <v>2094</v>
      </c>
      <c r="G71" s="366" t="s">
        <v>2095</v>
      </c>
      <c r="H71" s="338">
        <v>509000000</v>
      </c>
      <c r="I71" s="39">
        <f>509000000+31206251+687827091</f>
        <v>1228033342</v>
      </c>
      <c r="J71" s="39">
        <v>1228033342</v>
      </c>
      <c r="K71" s="39"/>
      <c r="L71" s="39"/>
      <c r="M71" s="39"/>
      <c r="N71" s="338">
        <f t="shared" si="0"/>
        <v>509000000</v>
      </c>
      <c r="O71" s="338">
        <f t="shared" si="0"/>
        <v>1228033342</v>
      </c>
      <c r="P71" s="338">
        <f t="shared" si="0"/>
        <v>1228033342</v>
      </c>
      <c r="Q71" s="39">
        <v>935975349</v>
      </c>
      <c r="R71" s="39"/>
      <c r="S71" s="338">
        <f t="shared" si="1"/>
        <v>935975349</v>
      </c>
      <c r="T71" s="37">
        <v>0</v>
      </c>
      <c r="U71" s="37">
        <v>0</v>
      </c>
      <c r="V71" s="37">
        <v>0</v>
      </c>
      <c r="W71" s="10"/>
      <c r="X71" s="10"/>
      <c r="Y71" s="10"/>
      <c r="Z71" s="10"/>
      <c r="AA71" s="336">
        <v>0</v>
      </c>
      <c r="AB71" s="10"/>
      <c r="AC71" s="10"/>
      <c r="AD71" s="10"/>
      <c r="AE71" s="339">
        <v>0</v>
      </c>
      <c r="AF71" s="339">
        <v>0</v>
      </c>
      <c r="AG71" s="339">
        <v>0</v>
      </c>
      <c r="AH71" s="339">
        <v>0</v>
      </c>
      <c r="AI71" s="339">
        <v>0</v>
      </c>
      <c r="AJ71" s="339">
        <v>0</v>
      </c>
      <c r="AK71" s="339">
        <v>0</v>
      </c>
      <c r="AL71" s="339">
        <v>0</v>
      </c>
      <c r="AM71" s="339">
        <v>0</v>
      </c>
      <c r="AN71" s="339">
        <v>0</v>
      </c>
      <c r="AO71" s="339">
        <v>0</v>
      </c>
      <c r="AP71" s="339">
        <v>0</v>
      </c>
    </row>
    <row r="72" spans="1:42" s="285" customFormat="1" ht="72" x14ac:dyDescent="0.25">
      <c r="A72" s="366">
        <v>0</v>
      </c>
      <c r="B72" s="366">
        <v>0</v>
      </c>
      <c r="C72" s="366">
        <v>0</v>
      </c>
      <c r="D72" s="366">
        <v>0</v>
      </c>
      <c r="E72" s="368">
        <v>0</v>
      </c>
      <c r="F72" s="366">
        <v>0</v>
      </c>
      <c r="G72" s="366">
        <v>0</v>
      </c>
      <c r="H72" s="338">
        <v>0</v>
      </c>
      <c r="I72" s="39"/>
      <c r="J72" s="219"/>
      <c r="K72" s="39"/>
      <c r="L72" s="39"/>
      <c r="M72" s="39"/>
      <c r="N72" s="338">
        <f t="shared" si="0"/>
        <v>0</v>
      </c>
      <c r="O72" s="338">
        <f t="shared" si="0"/>
        <v>0</v>
      </c>
      <c r="P72" s="338">
        <f t="shared" si="0"/>
        <v>0</v>
      </c>
      <c r="Q72" s="39"/>
      <c r="R72" s="39"/>
      <c r="S72" s="338">
        <f t="shared" si="1"/>
        <v>0</v>
      </c>
      <c r="T72" s="37" t="s">
        <v>2236</v>
      </c>
      <c r="U72" s="37" t="s">
        <v>2213</v>
      </c>
      <c r="V72" s="37">
        <v>230</v>
      </c>
      <c r="W72" s="10">
        <v>230</v>
      </c>
      <c r="X72" s="10"/>
      <c r="Y72" s="10">
        <v>230</v>
      </c>
      <c r="Z72" s="10">
        <v>230</v>
      </c>
      <c r="AA72" s="336">
        <v>330</v>
      </c>
      <c r="AB72" s="10">
        <v>150</v>
      </c>
      <c r="AC72" s="10">
        <v>330</v>
      </c>
      <c r="AD72" s="10" t="s">
        <v>2237</v>
      </c>
      <c r="AE72" s="339">
        <v>0</v>
      </c>
      <c r="AF72" s="339" t="s">
        <v>102</v>
      </c>
      <c r="AG72" s="339" t="s">
        <v>102</v>
      </c>
      <c r="AH72" s="339" t="s">
        <v>102</v>
      </c>
      <c r="AI72" s="339" t="s">
        <v>102</v>
      </c>
      <c r="AJ72" s="339" t="s">
        <v>102</v>
      </c>
      <c r="AK72" s="339" t="s">
        <v>102</v>
      </c>
      <c r="AL72" s="339" t="s">
        <v>102</v>
      </c>
      <c r="AM72" s="339" t="s">
        <v>102</v>
      </c>
      <c r="AN72" s="339" t="s">
        <v>102</v>
      </c>
      <c r="AO72" s="339" t="s">
        <v>102</v>
      </c>
      <c r="AP72" s="339" t="s">
        <v>102</v>
      </c>
    </row>
    <row r="73" spans="1:42" s="285" customFormat="1" ht="60" x14ac:dyDescent="0.25">
      <c r="A73" s="366">
        <v>0</v>
      </c>
      <c r="B73" s="366">
        <v>0</v>
      </c>
      <c r="C73" s="366">
        <v>0</v>
      </c>
      <c r="D73" s="366">
        <v>0</v>
      </c>
      <c r="E73" s="368">
        <v>0</v>
      </c>
      <c r="F73" s="366">
        <v>0</v>
      </c>
      <c r="G73" s="366">
        <v>0</v>
      </c>
      <c r="H73" s="338">
        <v>0</v>
      </c>
      <c r="I73" s="39"/>
      <c r="J73" s="219"/>
      <c r="K73" s="39"/>
      <c r="L73" s="39"/>
      <c r="M73" s="39"/>
      <c r="N73" s="338">
        <f t="shared" si="0"/>
        <v>0</v>
      </c>
      <c r="O73" s="338">
        <f t="shared" si="0"/>
        <v>0</v>
      </c>
      <c r="P73" s="338">
        <f t="shared" si="0"/>
        <v>0</v>
      </c>
      <c r="Q73" s="39"/>
      <c r="R73" s="39"/>
      <c r="S73" s="338">
        <f t="shared" si="1"/>
        <v>0</v>
      </c>
      <c r="T73" s="37" t="s">
        <v>2238</v>
      </c>
      <c r="U73" s="37" t="s">
        <v>2213</v>
      </c>
      <c r="V73" s="37">
        <v>230</v>
      </c>
      <c r="W73" s="10">
        <v>230</v>
      </c>
      <c r="X73" s="10"/>
      <c r="Y73" s="10">
        <v>230</v>
      </c>
      <c r="Z73" s="10">
        <v>230</v>
      </c>
      <c r="AA73" s="336">
        <v>330</v>
      </c>
      <c r="AB73" s="10">
        <v>150</v>
      </c>
      <c r="AC73" s="10">
        <v>330</v>
      </c>
      <c r="AD73" s="10" t="s">
        <v>2237</v>
      </c>
      <c r="AE73" s="339">
        <v>0</v>
      </c>
      <c r="AF73" s="339" t="s">
        <v>102</v>
      </c>
      <c r="AG73" s="339" t="s">
        <v>102</v>
      </c>
      <c r="AH73" s="339" t="s">
        <v>102</v>
      </c>
      <c r="AI73" s="339" t="s">
        <v>102</v>
      </c>
      <c r="AJ73" s="339" t="s">
        <v>102</v>
      </c>
      <c r="AK73" s="339" t="s">
        <v>102</v>
      </c>
      <c r="AL73" s="339" t="s">
        <v>102</v>
      </c>
      <c r="AM73" s="339" t="s">
        <v>102</v>
      </c>
      <c r="AN73" s="339" t="s">
        <v>102</v>
      </c>
      <c r="AO73" s="339" t="s">
        <v>102</v>
      </c>
      <c r="AP73" s="339" t="s">
        <v>102</v>
      </c>
    </row>
    <row r="74" spans="1:42" s="285" customFormat="1" ht="108" x14ac:dyDescent="0.25">
      <c r="A74" s="366">
        <v>0</v>
      </c>
      <c r="B74" s="366">
        <v>0</v>
      </c>
      <c r="C74" s="366">
        <v>0</v>
      </c>
      <c r="D74" s="366">
        <v>0</v>
      </c>
      <c r="E74" s="368">
        <v>0</v>
      </c>
      <c r="F74" s="366">
        <v>0</v>
      </c>
      <c r="G74" s="366">
        <v>0</v>
      </c>
      <c r="H74" s="338">
        <v>0</v>
      </c>
      <c r="I74" s="39"/>
      <c r="J74" s="219"/>
      <c r="K74" s="39"/>
      <c r="L74" s="39"/>
      <c r="M74" s="39"/>
      <c r="N74" s="338">
        <f t="shared" ref="N74:P89" si="2">H74+K74</f>
        <v>0</v>
      </c>
      <c r="O74" s="338">
        <f t="shared" si="2"/>
        <v>0</v>
      </c>
      <c r="P74" s="338">
        <f t="shared" si="2"/>
        <v>0</v>
      </c>
      <c r="Q74" s="39"/>
      <c r="R74" s="39"/>
      <c r="S74" s="338">
        <f t="shared" ref="S74:S89" si="3">Q74+R74</f>
        <v>0</v>
      </c>
      <c r="T74" s="37" t="s">
        <v>2239</v>
      </c>
      <c r="U74" s="37" t="s">
        <v>2240</v>
      </c>
      <c r="V74" s="37">
        <v>4</v>
      </c>
      <c r="W74" s="10">
        <v>4</v>
      </c>
      <c r="X74" s="10"/>
      <c r="Y74" s="10">
        <v>4</v>
      </c>
      <c r="Z74" s="10">
        <v>4</v>
      </c>
      <c r="AA74" s="336">
        <v>330</v>
      </c>
      <c r="AB74" s="10">
        <v>150</v>
      </c>
      <c r="AC74" s="10">
        <v>330</v>
      </c>
      <c r="AD74" s="10" t="s">
        <v>2241</v>
      </c>
      <c r="AE74" s="339">
        <v>0</v>
      </c>
      <c r="AF74" s="339" t="s">
        <v>102</v>
      </c>
      <c r="AG74" s="339" t="s">
        <v>102</v>
      </c>
      <c r="AH74" s="339" t="s">
        <v>102</v>
      </c>
      <c r="AI74" s="339" t="s">
        <v>102</v>
      </c>
      <c r="AJ74" s="339" t="s">
        <v>102</v>
      </c>
      <c r="AK74" s="339" t="s">
        <v>102</v>
      </c>
      <c r="AL74" s="339" t="s">
        <v>102</v>
      </c>
      <c r="AM74" s="339" t="s">
        <v>102</v>
      </c>
      <c r="AN74" s="339" t="s">
        <v>102</v>
      </c>
      <c r="AO74" s="339" t="s">
        <v>102</v>
      </c>
      <c r="AP74" s="339" t="s">
        <v>102</v>
      </c>
    </row>
    <row r="75" spans="1:42" s="285" customFormat="1" ht="75" x14ac:dyDescent="0.25">
      <c r="A75" s="366">
        <v>0</v>
      </c>
      <c r="B75" s="366">
        <v>0</v>
      </c>
      <c r="C75" s="366">
        <v>0</v>
      </c>
      <c r="D75" s="366">
        <v>0</v>
      </c>
      <c r="E75" s="368">
        <v>0</v>
      </c>
      <c r="F75" s="366">
        <v>0</v>
      </c>
      <c r="G75" s="366">
        <v>0</v>
      </c>
      <c r="H75" s="338">
        <v>0</v>
      </c>
      <c r="I75" s="39"/>
      <c r="J75" s="219"/>
      <c r="K75" s="39"/>
      <c r="L75" s="39"/>
      <c r="M75" s="39"/>
      <c r="N75" s="338">
        <f t="shared" si="2"/>
        <v>0</v>
      </c>
      <c r="O75" s="338">
        <f t="shared" si="2"/>
        <v>0</v>
      </c>
      <c r="P75" s="338">
        <f t="shared" si="2"/>
        <v>0</v>
      </c>
      <c r="Q75" s="39"/>
      <c r="R75" s="39"/>
      <c r="S75" s="338">
        <f t="shared" si="3"/>
        <v>0</v>
      </c>
      <c r="T75" s="37" t="s">
        <v>2242</v>
      </c>
      <c r="U75" s="37" t="s">
        <v>2243</v>
      </c>
      <c r="V75" s="37">
        <v>138</v>
      </c>
      <c r="W75" s="10">
        <v>0</v>
      </c>
      <c r="X75" s="10"/>
      <c r="Y75" s="10">
        <v>0</v>
      </c>
      <c r="Z75" s="10"/>
      <c r="AA75" s="336">
        <v>270</v>
      </c>
      <c r="AB75" s="10"/>
      <c r="AC75" s="10">
        <v>60</v>
      </c>
      <c r="AD75" s="10" t="s">
        <v>2244</v>
      </c>
      <c r="AE75" s="339">
        <v>0</v>
      </c>
      <c r="AF75" s="339">
        <v>0</v>
      </c>
      <c r="AG75" s="339">
        <v>0</v>
      </c>
      <c r="AH75" s="339"/>
      <c r="AI75" s="339"/>
      <c r="AJ75" s="339"/>
      <c r="AK75" s="339"/>
      <c r="AL75" s="339"/>
      <c r="AM75" s="339"/>
      <c r="AN75" s="339"/>
      <c r="AO75" s="339" t="s">
        <v>102</v>
      </c>
      <c r="AP75" s="339" t="s">
        <v>102</v>
      </c>
    </row>
    <row r="76" spans="1:42" s="285" customFormat="1" ht="72" x14ac:dyDescent="0.25">
      <c r="A76" s="366">
        <v>0</v>
      </c>
      <c r="B76" s="366">
        <v>0</v>
      </c>
      <c r="C76" s="366">
        <v>0</v>
      </c>
      <c r="D76" s="366">
        <v>23111</v>
      </c>
      <c r="E76" s="368" t="s">
        <v>2098</v>
      </c>
      <c r="F76" s="372">
        <v>201205000014</v>
      </c>
      <c r="G76" s="366" t="s">
        <v>2099</v>
      </c>
      <c r="H76" s="373">
        <v>1000000000</v>
      </c>
      <c r="I76" s="39">
        <f>2000000000+500000000</f>
        <v>2500000000</v>
      </c>
      <c r="J76" s="39">
        <v>4404067452</v>
      </c>
      <c r="K76" s="39"/>
      <c r="L76" s="39"/>
      <c r="M76" s="39"/>
      <c r="N76" s="338">
        <f t="shared" si="2"/>
        <v>1000000000</v>
      </c>
      <c r="O76" s="338">
        <f t="shared" si="2"/>
        <v>2500000000</v>
      </c>
      <c r="P76" s="338">
        <f t="shared" si="2"/>
        <v>4404067452</v>
      </c>
      <c r="Q76" s="39">
        <v>3751758603</v>
      </c>
      <c r="R76" s="39"/>
      <c r="S76" s="338">
        <f t="shared" si="3"/>
        <v>3751758603</v>
      </c>
      <c r="T76" s="37">
        <v>0</v>
      </c>
      <c r="U76" s="37">
        <v>0</v>
      </c>
      <c r="V76" s="37">
        <v>0</v>
      </c>
      <c r="W76" s="10"/>
      <c r="X76" s="10"/>
      <c r="Y76" s="10"/>
      <c r="Z76" s="10"/>
      <c r="AA76" s="336">
        <v>0</v>
      </c>
      <c r="AB76" s="10"/>
      <c r="AC76" s="10"/>
      <c r="AD76" s="10"/>
      <c r="AE76" s="339">
        <v>0</v>
      </c>
      <c r="AF76" s="339">
        <v>0</v>
      </c>
      <c r="AG76" s="339">
        <v>0</v>
      </c>
      <c r="AH76" s="339">
        <v>0</v>
      </c>
      <c r="AI76" s="339">
        <v>0</v>
      </c>
      <c r="AJ76" s="339">
        <v>0</v>
      </c>
      <c r="AK76" s="339">
        <v>0</v>
      </c>
      <c r="AL76" s="339">
        <v>0</v>
      </c>
      <c r="AM76" s="339">
        <v>0</v>
      </c>
      <c r="AN76" s="339">
        <v>0</v>
      </c>
      <c r="AO76" s="339">
        <v>0</v>
      </c>
      <c r="AP76" s="339">
        <v>0</v>
      </c>
    </row>
    <row r="77" spans="1:42" s="285" customFormat="1" ht="60" x14ac:dyDescent="0.25">
      <c r="A77" s="366">
        <v>0</v>
      </c>
      <c r="B77" s="366">
        <v>0</v>
      </c>
      <c r="C77" s="366">
        <v>0</v>
      </c>
      <c r="D77" s="366">
        <v>0</v>
      </c>
      <c r="E77" s="368">
        <v>0</v>
      </c>
      <c r="F77" s="366">
        <v>0</v>
      </c>
      <c r="G77" s="366">
        <v>0</v>
      </c>
      <c r="H77" s="338">
        <v>0</v>
      </c>
      <c r="I77" s="39"/>
      <c r="J77" s="219"/>
      <c r="K77" s="39"/>
      <c r="L77" s="39"/>
      <c r="M77" s="39"/>
      <c r="N77" s="338">
        <f t="shared" si="2"/>
        <v>0</v>
      </c>
      <c r="O77" s="338">
        <f t="shared" si="2"/>
        <v>0</v>
      </c>
      <c r="P77" s="338">
        <f t="shared" si="2"/>
        <v>0</v>
      </c>
      <c r="Q77" s="39"/>
      <c r="R77" s="39"/>
      <c r="S77" s="338">
        <f t="shared" si="3"/>
        <v>0</v>
      </c>
      <c r="T77" s="37" t="s">
        <v>2245</v>
      </c>
      <c r="U77" s="37" t="s">
        <v>2246</v>
      </c>
      <c r="V77" s="37">
        <v>2005</v>
      </c>
      <c r="W77" s="10">
        <v>178</v>
      </c>
      <c r="X77" s="10"/>
      <c r="Y77" s="10">
        <v>178</v>
      </c>
      <c r="Z77" s="10"/>
      <c r="AA77" s="336">
        <v>330</v>
      </c>
      <c r="AB77" s="10"/>
      <c r="AC77" s="10"/>
      <c r="AD77" s="10" t="s">
        <v>2247</v>
      </c>
      <c r="AE77" s="339"/>
      <c r="AF77" s="339" t="s">
        <v>102</v>
      </c>
      <c r="AG77" s="339" t="s">
        <v>102</v>
      </c>
      <c r="AH77" s="339" t="s">
        <v>102</v>
      </c>
      <c r="AI77" s="339" t="s">
        <v>102</v>
      </c>
      <c r="AJ77" s="339" t="s">
        <v>102</v>
      </c>
      <c r="AK77" s="339" t="s">
        <v>102</v>
      </c>
      <c r="AL77" s="339" t="s">
        <v>102</v>
      </c>
      <c r="AM77" s="339" t="s">
        <v>102</v>
      </c>
      <c r="AN77" s="339" t="s">
        <v>102</v>
      </c>
      <c r="AO77" s="339" t="s">
        <v>102</v>
      </c>
      <c r="AP77" s="339" t="s">
        <v>102</v>
      </c>
    </row>
    <row r="78" spans="1:42" s="285" customFormat="1" ht="96" x14ac:dyDescent="0.25">
      <c r="A78" s="366">
        <v>0</v>
      </c>
      <c r="B78" s="366">
        <v>0</v>
      </c>
      <c r="C78" s="366">
        <v>0</v>
      </c>
      <c r="D78" s="366">
        <v>0</v>
      </c>
      <c r="E78" s="368">
        <v>0</v>
      </c>
      <c r="F78" s="366">
        <v>0</v>
      </c>
      <c r="G78" s="366">
        <v>0</v>
      </c>
      <c r="H78" s="338">
        <v>0</v>
      </c>
      <c r="I78" s="39"/>
      <c r="J78" s="219"/>
      <c r="K78" s="39"/>
      <c r="L78" s="39"/>
      <c r="M78" s="39"/>
      <c r="N78" s="338">
        <f t="shared" si="2"/>
        <v>0</v>
      </c>
      <c r="O78" s="338">
        <f t="shared" si="2"/>
        <v>0</v>
      </c>
      <c r="P78" s="338">
        <f t="shared" si="2"/>
        <v>0</v>
      </c>
      <c r="Q78" s="39"/>
      <c r="R78" s="39"/>
      <c r="S78" s="338">
        <f t="shared" si="3"/>
        <v>0</v>
      </c>
      <c r="T78" s="37" t="s">
        <v>2248</v>
      </c>
      <c r="U78" s="37" t="s">
        <v>2249</v>
      </c>
      <c r="V78" s="37">
        <v>4200</v>
      </c>
      <c r="W78" s="10">
        <v>6476</v>
      </c>
      <c r="X78" s="10"/>
      <c r="Y78" s="10">
        <v>6476</v>
      </c>
      <c r="Z78" s="10"/>
      <c r="AA78" s="336">
        <v>365</v>
      </c>
      <c r="AB78" s="10"/>
      <c r="AC78" s="10"/>
      <c r="AD78" s="10" t="s">
        <v>2247</v>
      </c>
      <c r="AE78" s="339" t="s">
        <v>102</v>
      </c>
      <c r="AF78" s="339" t="s">
        <v>102</v>
      </c>
      <c r="AG78" s="339" t="s">
        <v>102</v>
      </c>
      <c r="AH78" s="339" t="s">
        <v>102</v>
      </c>
      <c r="AI78" s="339" t="s">
        <v>102</v>
      </c>
      <c r="AJ78" s="339" t="s">
        <v>102</v>
      </c>
      <c r="AK78" s="339" t="s">
        <v>102</v>
      </c>
      <c r="AL78" s="339" t="s">
        <v>102</v>
      </c>
      <c r="AM78" s="339" t="s">
        <v>102</v>
      </c>
      <c r="AN78" s="339" t="s">
        <v>102</v>
      </c>
      <c r="AO78" s="339" t="s">
        <v>102</v>
      </c>
      <c r="AP78" s="339" t="s">
        <v>102</v>
      </c>
    </row>
    <row r="79" spans="1:42" s="285" customFormat="1" ht="84" x14ac:dyDescent="0.25">
      <c r="A79" s="366">
        <v>0</v>
      </c>
      <c r="B79" s="366">
        <v>0</v>
      </c>
      <c r="C79" s="366">
        <v>0</v>
      </c>
      <c r="D79" s="366">
        <v>0</v>
      </c>
      <c r="E79" s="368">
        <v>0</v>
      </c>
      <c r="F79" s="366">
        <v>0</v>
      </c>
      <c r="G79" s="366">
        <v>0</v>
      </c>
      <c r="H79" s="338">
        <v>0</v>
      </c>
      <c r="I79" s="39"/>
      <c r="J79" s="219"/>
      <c r="K79" s="39"/>
      <c r="L79" s="39"/>
      <c r="M79" s="39"/>
      <c r="N79" s="338">
        <f t="shared" si="2"/>
        <v>0</v>
      </c>
      <c r="O79" s="338">
        <f t="shared" si="2"/>
        <v>0</v>
      </c>
      <c r="P79" s="338">
        <f t="shared" si="2"/>
        <v>0</v>
      </c>
      <c r="Q79" s="39"/>
      <c r="R79" s="39"/>
      <c r="S79" s="338">
        <f t="shared" si="3"/>
        <v>0</v>
      </c>
      <c r="T79" s="37" t="s">
        <v>2250</v>
      </c>
      <c r="U79" s="37" t="s">
        <v>114</v>
      </c>
      <c r="V79" s="37">
        <v>2</v>
      </c>
      <c r="W79" s="10">
        <v>1</v>
      </c>
      <c r="X79" s="10"/>
      <c r="Y79" s="10">
        <v>1</v>
      </c>
      <c r="Z79" s="10"/>
      <c r="AA79" s="336">
        <v>365</v>
      </c>
      <c r="AB79" s="10"/>
      <c r="AC79" s="10">
        <v>365</v>
      </c>
      <c r="AD79" s="10" t="s">
        <v>2247</v>
      </c>
      <c r="AE79" s="339" t="s">
        <v>102</v>
      </c>
      <c r="AF79" s="339" t="s">
        <v>102</v>
      </c>
      <c r="AG79" s="339" t="s">
        <v>102</v>
      </c>
      <c r="AH79" s="339" t="s">
        <v>102</v>
      </c>
      <c r="AI79" s="339" t="s">
        <v>102</v>
      </c>
      <c r="AJ79" s="339" t="s">
        <v>102</v>
      </c>
      <c r="AK79" s="339" t="s">
        <v>102</v>
      </c>
      <c r="AL79" s="339" t="s">
        <v>102</v>
      </c>
      <c r="AM79" s="339" t="s">
        <v>102</v>
      </c>
      <c r="AN79" s="339" t="s">
        <v>102</v>
      </c>
      <c r="AO79" s="339" t="s">
        <v>102</v>
      </c>
      <c r="AP79" s="339" t="s">
        <v>102</v>
      </c>
    </row>
    <row r="80" spans="1:42" s="285" customFormat="1" ht="36" x14ac:dyDescent="0.25">
      <c r="A80" s="366">
        <v>0</v>
      </c>
      <c r="B80" s="366">
        <v>0</v>
      </c>
      <c r="C80" s="366">
        <v>0</v>
      </c>
      <c r="D80" s="366">
        <v>0</v>
      </c>
      <c r="E80" s="368">
        <v>0</v>
      </c>
      <c r="F80" s="366">
        <v>0</v>
      </c>
      <c r="G80" s="366">
        <v>0</v>
      </c>
      <c r="H80" s="338">
        <v>0</v>
      </c>
      <c r="I80" s="39"/>
      <c r="J80" s="219"/>
      <c r="K80" s="39"/>
      <c r="L80" s="39"/>
      <c r="M80" s="39"/>
      <c r="N80" s="338">
        <f t="shared" si="2"/>
        <v>0</v>
      </c>
      <c r="O80" s="338">
        <f t="shared" si="2"/>
        <v>0</v>
      </c>
      <c r="P80" s="338">
        <f t="shared" si="2"/>
        <v>0</v>
      </c>
      <c r="Q80" s="39"/>
      <c r="R80" s="39"/>
      <c r="S80" s="338">
        <f t="shared" si="3"/>
        <v>0</v>
      </c>
      <c r="T80" s="37" t="s">
        <v>2251</v>
      </c>
      <c r="U80" s="37" t="s">
        <v>2252</v>
      </c>
      <c r="V80" s="37">
        <v>1</v>
      </c>
      <c r="W80" s="10">
        <v>1</v>
      </c>
      <c r="X80" s="10"/>
      <c r="Y80" s="10">
        <v>1</v>
      </c>
      <c r="Z80" s="10"/>
      <c r="AA80" s="336">
        <v>270</v>
      </c>
      <c r="AB80" s="10"/>
      <c r="AC80" s="10"/>
      <c r="AD80" s="10" t="s">
        <v>2247</v>
      </c>
      <c r="AE80" s="339">
        <v>0</v>
      </c>
      <c r="AF80" s="339">
        <v>0</v>
      </c>
      <c r="AG80" s="339" t="s">
        <v>102</v>
      </c>
      <c r="AH80" s="339" t="s">
        <v>102</v>
      </c>
      <c r="AI80" s="339" t="s">
        <v>102</v>
      </c>
      <c r="AJ80" s="339" t="s">
        <v>102</v>
      </c>
      <c r="AK80" s="339" t="s">
        <v>102</v>
      </c>
      <c r="AL80" s="339" t="s">
        <v>102</v>
      </c>
      <c r="AM80" s="339" t="s">
        <v>102</v>
      </c>
      <c r="AN80" s="339">
        <v>0</v>
      </c>
      <c r="AO80" s="339">
        <v>0</v>
      </c>
      <c r="AP80" s="339">
        <v>0</v>
      </c>
    </row>
    <row r="81" spans="1:42" s="285" customFormat="1" ht="48" x14ac:dyDescent="0.25">
      <c r="A81" s="366">
        <v>0</v>
      </c>
      <c r="B81" s="366">
        <v>0</v>
      </c>
      <c r="C81" s="366">
        <v>0</v>
      </c>
      <c r="D81" s="366">
        <v>0</v>
      </c>
      <c r="E81" s="368">
        <v>0</v>
      </c>
      <c r="F81" s="366">
        <v>0</v>
      </c>
      <c r="G81" s="366">
        <v>0</v>
      </c>
      <c r="H81" s="338">
        <v>0</v>
      </c>
      <c r="I81" s="39"/>
      <c r="J81" s="219"/>
      <c r="K81" s="39"/>
      <c r="L81" s="39"/>
      <c r="M81" s="39"/>
      <c r="N81" s="338">
        <f t="shared" si="2"/>
        <v>0</v>
      </c>
      <c r="O81" s="338">
        <f t="shared" si="2"/>
        <v>0</v>
      </c>
      <c r="P81" s="338">
        <f t="shared" si="2"/>
        <v>0</v>
      </c>
      <c r="Q81" s="39"/>
      <c r="R81" s="39"/>
      <c r="S81" s="338">
        <f t="shared" si="3"/>
        <v>0</v>
      </c>
      <c r="T81" s="37" t="s">
        <v>2253</v>
      </c>
      <c r="U81" s="37" t="s">
        <v>2254</v>
      </c>
      <c r="V81" s="37">
        <v>1</v>
      </c>
      <c r="W81" s="10">
        <v>0</v>
      </c>
      <c r="X81" s="10"/>
      <c r="Y81" s="10">
        <v>0</v>
      </c>
      <c r="Z81" s="10"/>
      <c r="AA81" s="336">
        <v>330</v>
      </c>
      <c r="AB81" s="10"/>
      <c r="AC81" s="10"/>
      <c r="AD81" s="10" t="s">
        <v>2247</v>
      </c>
      <c r="AE81" s="339">
        <v>0</v>
      </c>
      <c r="AF81" s="339" t="s">
        <v>102</v>
      </c>
      <c r="AG81" s="339" t="s">
        <v>102</v>
      </c>
      <c r="AH81" s="339" t="s">
        <v>102</v>
      </c>
      <c r="AI81" s="339" t="s">
        <v>102</v>
      </c>
      <c r="AJ81" s="339" t="s">
        <v>102</v>
      </c>
      <c r="AK81" s="339" t="s">
        <v>102</v>
      </c>
      <c r="AL81" s="339" t="s">
        <v>102</v>
      </c>
      <c r="AM81" s="339" t="s">
        <v>102</v>
      </c>
      <c r="AN81" s="339" t="s">
        <v>102</v>
      </c>
      <c r="AO81" s="339" t="s">
        <v>102</v>
      </c>
      <c r="AP81" s="339" t="s">
        <v>102</v>
      </c>
    </row>
    <row r="82" spans="1:42" s="285" customFormat="1" ht="60" x14ac:dyDescent="0.25">
      <c r="A82" s="366">
        <v>0</v>
      </c>
      <c r="B82" s="366">
        <v>0</v>
      </c>
      <c r="C82" s="366">
        <v>0</v>
      </c>
      <c r="D82" s="366">
        <v>231111</v>
      </c>
      <c r="E82" s="27">
        <v>221002</v>
      </c>
      <c r="F82" s="372">
        <v>2008050000518</v>
      </c>
      <c r="G82" s="366" t="s">
        <v>2255</v>
      </c>
      <c r="H82" s="338">
        <v>6286000000</v>
      </c>
      <c r="I82" s="39">
        <f>6286000000+4528127732+655838814</f>
        <v>11469966546</v>
      </c>
      <c r="J82" s="39">
        <v>9611840936</v>
      </c>
      <c r="K82" s="39"/>
      <c r="L82" s="39"/>
      <c r="M82" s="39"/>
      <c r="N82" s="338">
        <f t="shared" si="2"/>
        <v>6286000000</v>
      </c>
      <c r="O82" s="338">
        <f t="shared" si="2"/>
        <v>11469966546</v>
      </c>
      <c r="P82" s="338">
        <f t="shared" si="2"/>
        <v>9611840936</v>
      </c>
      <c r="Q82" s="39">
        <v>7495788893</v>
      </c>
      <c r="R82" s="39"/>
      <c r="S82" s="338">
        <f t="shared" si="3"/>
        <v>7495788893</v>
      </c>
      <c r="T82" s="37">
        <v>0</v>
      </c>
      <c r="U82" s="37">
        <v>0</v>
      </c>
      <c r="V82" s="37">
        <v>0</v>
      </c>
      <c r="W82" s="10"/>
      <c r="X82" s="10"/>
      <c r="Y82" s="10"/>
      <c r="Z82" s="10"/>
      <c r="AA82" s="336">
        <v>0</v>
      </c>
      <c r="AB82" s="10"/>
      <c r="AC82" s="10"/>
      <c r="AD82" s="10"/>
      <c r="AE82" s="339">
        <v>0</v>
      </c>
      <c r="AF82" s="339">
        <v>0</v>
      </c>
      <c r="AG82" s="339">
        <v>0</v>
      </c>
      <c r="AH82" s="339">
        <v>0</v>
      </c>
      <c r="AI82" s="339">
        <v>0</v>
      </c>
      <c r="AJ82" s="339">
        <v>0</v>
      </c>
      <c r="AK82" s="339">
        <v>0</v>
      </c>
      <c r="AL82" s="339">
        <v>0</v>
      </c>
      <c r="AM82" s="339">
        <v>0</v>
      </c>
      <c r="AN82" s="339">
        <v>0</v>
      </c>
      <c r="AO82" s="339">
        <v>0</v>
      </c>
      <c r="AP82" s="339">
        <v>0</v>
      </c>
    </row>
    <row r="83" spans="1:42" s="285" customFormat="1" ht="90" x14ac:dyDescent="0.25">
      <c r="A83" s="366">
        <v>0</v>
      </c>
      <c r="B83" s="366">
        <v>0</v>
      </c>
      <c r="C83" s="366">
        <v>0</v>
      </c>
      <c r="D83" s="366">
        <v>0</v>
      </c>
      <c r="E83" s="366">
        <v>0</v>
      </c>
      <c r="F83" s="366">
        <v>0</v>
      </c>
      <c r="G83" s="366">
        <v>0</v>
      </c>
      <c r="H83" s="338">
        <v>0</v>
      </c>
      <c r="I83" s="39"/>
      <c r="J83" s="219"/>
      <c r="K83" s="39"/>
      <c r="L83" s="39"/>
      <c r="M83" s="39"/>
      <c r="N83" s="338">
        <f t="shared" si="2"/>
        <v>0</v>
      </c>
      <c r="O83" s="338">
        <f t="shared" si="2"/>
        <v>0</v>
      </c>
      <c r="P83" s="338">
        <f t="shared" si="2"/>
        <v>0</v>
      </c>
      <c r="Q83" s="39"/>
      <c r="R83" s="39"/>
      <c r="S83" s="338">
        <f t="shared" si="3"/>
        <v>0</v>
      </c>
      <c r="T83" s="37" t="s">
        <v>2256</v>
      </c>
      <c r="U83" s="37" t="s">
        <v>2257</v>
      </c>
      <c r="V83" s="37">
        <v>13</v>
      </c>
      <c r="W83" s="10">
        <v>13</v>
      </c>
      <c r="X83" s="10"/>
      <c r="Y83" s="10">
        <v>13</v>
      </c>
      <c r="Z83" s="10">
        <v>13</v>
      </c>
      <c r="AA83" s="336">
        <v>180</v>
      </c>
      <c r="AB83" s="10"/>
      <c r="AC83" s="10">
        <v>180</v>
      </c>
      <c r="AD83" s="18" t="s">
        <v>2258</v>
      </c>
      <c r="AE83" s="339">
        <v>0</v>
      </c>
      <c r="AF83" s="339">
        <v>0</v>
      </c>
      <c r="AG83" s="339"/>
      <c r="AH83" s="339">
        <v>0</v>
      </c>
      <c r="AI83" s="339" t="s">
        <v>102</v>
      </c>
      <c r="AJ83" s="339" t="s">
        <v>102</v>
      </c>
      <c r="AK83" s="339" t="s">
        <v>102</v>
      </c>
      <c r="AL83" s="339" t="s">
        <v>102</v>
      </c>
      <c r="AM83" s="339" t="s">
        <v>102</v>
      </c>
      <c r="AN83" s="339" t="s">
        <v>102</v>
      </c>
      <c r="AO83" s="339">
        <v>0</v>
      </c>
      <c r="AP83" s="339">
        <v>0</v>
      </c>
    </row>
    <row r="84" spans="1:42" s="285" customFormat="1" ht="66" customHeight="1" x14ac:dyDescent="0.25">
      <c r="A84" s="366">
        <v>0</v>
      </c>
      <c r="B84" s="366">
        <v>0</v>
      </c>
      <c r="C84" s="366">
        <v>0</v>
      </c>
      <c r="D84" s="366">
        <v>0</v>
      </c>
      <c r="E84" s="366">
        <v>0</v>
      </c>
      <c r="F84" s="366">
        <v>0</v>
      </c>
      <c r="G84" s="366">
        <v>0</v>
      </c>
      <c r="H84" s="338">
        <v>0</v>
      </c>
      <c r="I84" s="39"/>
      <c r="J84" s="219"/>
      <c r="K84" s="39"/>
      <c r="L84" s="39"/>
      <c r="M84" s="39"/>
      <c r="N84" s="338">
        <f t="shared" si="2"/>
        <v>0</v>
      </c>
      <c r="O84" s="338">
        <f t="shared" si="2"/>
        <v>0</v>
      </c>
      <c r="P84" s="338">
        <f t="shared" si="2"/>
        <v>0</v>
      </c>
      <c r="Q84" s="39"/>
      <c r="R84" s="39"/>
      <c r="S84" s="338">
        <f t="shared" si="3"/>
        <v>0</v>
      </c>
      <c r="T84" s="37" t="s">
        <v>2259</v>
      </c>
      <c r="U84" s="37" t="s">
        <v>2260</v>
      </c>
      <c r="V84" s="37">
        <v>6</v>
      </c>
      <c r="W84" s="10">
        <v>6</v>
      </c>
      <c r="X84" s="10"/>
      <c r="Y84" s="10">
        <v>6</v>
      </c>
      <c r="Z84" s="10">
        <v>6</v>
      </c>
      <c r="AA84" s="336">
        <v>365</v>
      </c>
      <c r="AB84" s="10"/>
      <c r="AC84" s="10">
        <v>365</v>
      </c>
      <c r="AD84" s="10" t="s">
        <v>2261</v>
      </c>
      <c r="AE84" s="339" t="s">
        <v>102</v>
      </c>
      <c r="AF84" s="339" t="s">
        <v>102</v>
      </c>
      <c r="AG84" s="339" t="s">
        <v>102</v>
      </c>
      <c r="AH84" s="339" t="s">
        <v>102</v>
      </c>
      <c r="AI84" s="339" t="s">
        <v>102</v>
      </c>
      <c r="AJ84" s="339" t="s">
        <v>102</v>
      </c>
      <c r="AK84" s="339" t="s">
        <v>102</v>
      </c>
      <c r="AL84" s="339" t="s">
        <v>102</v>
      </c>
      <c r="AM84" s="339" t="s">
        <v>102</v>
      </c>
      <c r="AN84" s="339" t="s">
        <v>102</v>
      </c>
      <c r="AO84" s="339" t="s">
        <v>102</v>
      </c>
      <c r="AP84" s="339" t="s">
        <v>102</v>
      </c>
    </row>
    <row r="85" spans="1:42" s="285" customFormat="1" ht="63" customHeight="1" x14ac:dyDescent="0.25">
      <c r="A85" s="336" t="s">
        <v>1615</v>
      </c>
      <c r="B85" s="336" t="s">
        <v>2017</v>
      </c>
      <c r="C85" s="336" t="s">
        <v>2028</v>
      </c>
      <c r="D85" s="336">
        <v>231220000</v>
      </c>
      <c r="E85" s="374" t="s">
        <v>2106</v>
      </c>
      <c r="F85" s="336" t="s">
        <v>2107</v>
      </c>
      <c r="G85" s="336" t="s">
        <v>2108</v>
      </c>
      <c r="H85" s="338">
        <v>0</v>
      </c>
      <c r="I85" s="39">
        <f>492000000+600000000+539966758</f>
        <v>1631966758</v>
      </c>
      <c r="J85" s="39">
        <v>1631966758</v>
      </c>
      <c r="K85" s="39"/>
      <c r="L85" s="39"/>
      <c r="M85" s="39"/>
      <c r="N85" s="338">
        <f t="shared" si="2"/>
        <v>0</v>
      </c>
      <c r="O85" s="338">
        <f t="shared" si="2"/>
        <v>1631966758</v>
      </c>
      <c r="P85" s="338">
        <f t="shared" si="2"/>
        <v>1631966758</v>
      </c>
      <c r="Q85" s="39">
        <v>1233393558</v>
      </c>
      <c r="R85" s="39"/>
      <c r="S85" s="338">
        <f t="shared" si="3"/>
        <v>1233393558</v>
      </c>
      <c r="T85" s="37">
        <v>0</v>
      </c>
      <c r="U85" s="37">
        <v>0</v>
      </c>
      <c r="V85" s="37">
        <v>0</v>
      </c>
      <c r="W85" s="10"/>
      <c r="X85" s="10"/>
      <c r="Y85" s="10"/>
      <c r="Z85" s="10"/>
      <c r="AA85" s="336">
        <v>0</v>
      </c>
      <c r="AB85" s="10"/>
      <c r="AC85" s="10"/>
      <c r="AD85" s="10"/>
      <c r="AE85" s="339">
        <v>0</v>
      </c>
      <c r="AF85" s="339">
        <v>0</v>
      </c>
      <c r="AG85" s="339">
        <v>0</v>
      </c>
      <c r="AH85" s="339">
        <v>0</v>
      </c>
      <c r="AI85" s="339">
        <v>0</v>
      </c>
      <c r="AJ85" s="339">
        <v>0</v>
      </c>
      <c r="AK85" s="339">
        <v>0</v>
      </c>
      <c r="AL85" s="339">
        <v>0</v>
      </c>
      <c r="AM85" s="339">
        <v>0</v>
      </c>
      <c r="AN85" s="339">
        <v>0</v>
      </c>
      <c r="AO85" s="339">
        <v>0</v>
      </c>
      <c r="AP85" s="339">
        <v>0</v>
      </c>
    </row>
    <row r="86" spans="1:42" s="285" customFormat="1" ht="46.5" customHeight="1" x14ac:dyDescent="0.25">
      <c r="A86" s="336">
        <v>0</v>
      </c>
      <c r="B86" s="336">
        <v>0</v>
      </c>
      <c r="C86" s="336">
        <v>0</v>
      </c>
      <c r="D86" s="336">
        <v>0</v>
      </c>
      <c r="E86" s="374">
        <v>0</v>
      </c>
      <c r="F86" s="336">
        <v>0</v>
      </c>
      <c r="G86" s="336">
        <v>0</v>
      </c>
      <c r="H86" s="338">
        <v>0</v>
      </c>
      <c r="I86" s="39"/>
      <c r="J86" s="39"/>
      <c r="K86" s="39"/>
      <c r="L86" s="39"/>
      <c r="M86" s="39"/>
      <c r="N86" s="338">
        <f t="shared" si="2"/>
        <v>0</v>
      </c>
      <c r="O86" s="338">
        <f t="shared" si="2"/>
        <v>0</v>
      </c>
      <c r="P86" s="338">
        <f t="shared" si="2"/>
        <v>0</v>
      </c>
      <c r="Q86" s="39"/>
      <c r="R86" s="39"/>
      <c r="S86" s="338">
        <f t="shared" si="3"/>
        <v>0</v>
      </c>
      <c r="T86" s="37" t="s">
        <v>2262</v>
      </c>
      <c r="U86" s="37" t="s">
        <v>266</v>
      </c>
      <c r="V86" s="37">
        <v>3</v>
      </c>
      <c r="W86" s="10"/>
      <c r="X86" s="10"/>
      <c r="Y86" s="10"/>
      <c r="Z86" s="10">
        <v>0</v>
      </c>
      <c r="AA86" s="336">
        <v>210</v>
      </c>
      <c r="AB86" s="10"/>
      <c r="AC86" s="10"/>
      <c r="AD86" s="10" t="s">
        <v>2263</v>
      </c>
      <c r="AE86" s="339"/>
      <c r="AF86" s="339"/>
      <c r="AG86" s="339"/>
      <c r="AH86" s="339"/>
      <c r="AI86" s="339"/>
      <c r="AJ86" s="339"/>
      <c r="AK86" s="339"/>
      <c r="AL86" s="339">
        <v>0</v>
      </c>
      <c r="AM86" s="339">
        <v>0</v>
      </c>
      <c r="AN86" s="339">
        <v>0</v>
      </c>
      <c r="AO86" s="339">
        <v>0</v>
      </c>
      <c r="AP86" s="339">
        <v>0</v>
      </c>
    </row>
    <row r="87" spans="1:42" s="285" customFormat="1" ht="105" x14ac:dyDescent="0.25">
      <c r="A87" s="336">
        <v>0</v>
      </c>
      <c r="B87" s="336">
        <v>0</v>
      </c>
      <c r="C87" s="336">
        <v>0</v>
      </c>
      <c r="D87" s="336">
        <v>0</v>
      </c>
      <c r="E87" s="374">
        <v>0</v>
      </c>
      <c r="F87" s="336">
        <v>0</v>
      </c>
      <c r="G87" s="336">
        <v>0</v>
      </c>
      <c r="H87" s="338">
        <v>0</v>
      </c>
      <c r="I87" s="39"/>
      <c r="J87" s="39"/>
      <c r="K87" s="39"/>
      <c r="L87" s="39"/>
      <c r="M87" s="39"/>
      <c r="N87" s="338">
        <f t="shared" si="2"/>
        <v>0</v>
      </c>
      <c r="O87" s="338">
        <f t="shared" si="2"/>
        <v>0</v>
      </c>
      <c r="P87" s="338">
        <f t="shared" si="2"/>
        <v>0</v>
      </c>
      <c r="Q87" s="39"/>
      <c r="R87" s="39"/>
      <c r="S87" s="338">
        <f t="shared" si="3"/>
        <v>0</v>
      </c>
      <c r="T87" s="37" t="s">
        <v>2264</v>
      </c>
      <c r="U87" s="37" t="s">
        <v>266</v>
      </c>
      <c r="V87" s="37">
        <v>3</v>
      </c>
      <c r="W87" s="10">
        <v>8</v>
      </c>
      <c r="X87" s="10"/>
      <c r="Y87" s="10">
        <v>8</v>
      </c>
      <c r="Z87" s="10">
        <v>5</v>
      </c>
      <c r="AA87" s="336">
        <v>360</v>
      </c>
      <c r="AB87" s="10">
        <v>180</v>
      </c>
      <c r="AC87" s="10">
        <v>360</v>
      </c>
      <c r="AD87" s="10" t="s">
        <v>2265</v>
      </c>
      <c r="AE87" s="339"/>
      <c r="AF87" s="339"/>
      <c r="AG87" s="339"/>
      <c r="AH87" s="339"/>
      <c r="AI87" s="339"/>
      <c r="AJ87" s="339"/>
      <c r="AK87" s="339"/>
      <c r="AL87" s="339"/>
      <c r="AM87" s="339"/>
      <c r="AN87" s="339"/>
      <c r="AO87" s="339" t="s">
        <v>218</v>
      </c>
      <c r="AP87" s="339" t="s">
        <v>218</v>
      </c>
    </row>
    <row r="88" spans="1:42" s="285" customFormat="1" ht="105" x14ac:dyDescent="0.25">
      <c r="A88" s="336">
        <v>0</v>
      </c>
      <c r="B88" s="336">
        <v>0</v>
      </c>
      <c r="C88" s="336">
        <v>0</v>
      </c>
      <c r="D88" s="336">
        <v>0</v>
      </c>
      <c r="E88" s="374">
        <v>0</v>
      </c>
      <c r="F88" s="336">
        <v>0</v>
      </c>
      <c r="G88" s="336">
        <v>0</v>
      </c>
      <c r="H88" s="338">
        <v>0</v>
      </c>
      <c r="I88" s="39"/>
      <c r="J88" s="39"/>
      <c r="K88" s="39"/>
      <c r="L88" s="39"/>
      <c r="M88" s="39"/>
      <c r="N88" s="338">
        <f t="shared" si="2"/>
        <v>0</v>
      </c>
      <c r="O88" s="338">
        <f t="shared" si="2"/>
        <v>0</v>
      </c>
      <c r="P88" s="338">
        <f t="shared" si="2"/>
        <v>0</v>
      </c>
      <c r="Q88" s="39"/>
      <c r="R88" s="39"/>
      <c r="S88" s="338">
        <f t="shared" si="3"/>
        <v>0</v>
      </c>
      <c r="T88" s="37" t="s">
        <v>2266</v>
      </c>
      <c r="U88" s="37" t="s">
        <v>266</v>
      </c>
      <c r="V88" s="37">
        <v>35</v>
      </c>
      <c r="W88" s="10"/>
      <c r="X88" s="10"/>
      <c r="Y88" s="10"/>
      <c r="Z88" s="10">
        <v>36</v>
      </c>
      <c r="AA88" s="336">
        <v>360</v>
      </c>
      <c r="AB88" s="10"/>
      <c r="AC88" s="10">
        <v>60</v>
      </c>
      <c r="AD88" s="10" t="s">
        <v>2267</v>
      </c>
      <c r="AE88" s="339"/>
      <c r="AF88" s="339"/>
      <c r="AG88" s="339"/>
      <c r="AH88" s="339"/>
      <c r="AI88" s="339"/>
      <c r="AJ88" s="339"/>
      <c r="AK88" s="339"/>
      <c r="AL88" s="339"/>
      <c r="AM88" s="339"/>
      <c r="AN88" s="339"/>
      <c r="AO88" s="339" t="s">
        <v>218</v>
      </c>
      <c r="AP88" s="339" t="s">
        <v>218</v>
      </c>
    </row>
    <row r="89" spans="1:42" s="285" customFormat="1" ht="120" x14ac:dyDescent="0.25">
      <c r="A89" s="336">
        <v>0</v>
      </c>
      <c r="B89" s="336">
        <v>0</v>
      </c>
      <c r="C89" s="336">
        <v>0</v>
      </c>
      <c r="D89" s="336">
        <v>0</v>
      </c>
      <c r="E89" s="374">
        <v>0</v>
      </c>
      <c r="F89" s="336">
        <v>0</v>
      </c>
      <c r="G89" s="336">
        <v>0</v>
      </c>
      <c r="H89" s="338">
        <v>0</v>
      </c>
      <c r="I89" s="39"/>
      <c r="J89" s="39"/>
      <c r="K89" s="39"/>
      <c r="L89" s="39"/>
      <c r="M89" s="39"/>
      <c r="N89" s="338">
        <f t="shared" si="2"/>
        <v>0</v>
      </c>
      <c r="O89" s="338">
        <f t="shared" si="2"/>
        <v>0</v>
      </c>
      <c r="P89" s="338">
        <f t="shared" si="2"/>
        <v>0</v>
      </c>
      <c r="Q89" s="39"/>
      <c r="R89" s="39"/>
      <c r="S89" s="338">
        <f t="shared" si="3"/>
        <v>0</v>
      </c>
      <c r="T89" s="37" t="s">
        <v>2268</v>
      </c>
      <c r="U89" s="37" t="s">
        <v>266</v>
      </c>
      <c r="V89" s="37">
        <v>1</v>
      </c>
      <c r="W89" s="10"/>
      <c r="X89" s="10"/>
      <c r="Y89" s="10"/>
      <c r="Z89" s="10"/>
      <c r="AA89" s="336">
        <v>270</v>
      </c>
      <c r="AB89" s="10">
        <v>180</v>
      </c>
      <c r="AC89" s="10">
        <v>180</v>
      </c>
      <c r="AD89" s="10" t="s">
        <v>2269</v>
      </c>
      <c r="AE89" s="339">
        <v>0</v>
      </c>
      <c r="AF89" s="339"/>
      <c r="AG89" s="339" t="s">
        <v>218</v>
      </c>
      <c r="AH89" s="339" t="s">
        <v>218</v>
      </c>
      <c r="AI89" s="339" t="s">
        <v>218</v>
      </c>
      <c r="AJ89" s="339" t="s">
        <v>218</v>
      </c>
      <c r="AK89" s="339" t="s">
        <v>218</v>
      </c>
      <c r="AL89" s="339" t="s">
        <v>218</v>
      </c>
      <c r="AM89" s="339"/>
      <c r="AN89" s="339"/>
      <c r="AO89" s="339"/>
      <c r="AP89" s="339"/>
    </row>
    <row r="90" spans="1:42" s="285" customFormat="1" ht="65.25" customHeight="1" x14ac:dyDescent="0.25">
      <c r="A90" s="336">
        <v>0</v>
      </c>
      <c r="B90" s="336">
        <v>0</v>
      </c>
      <c r="C90" s="336">
        <v>0</v>
      </c>
      <c r="D90" s="336">
        <v>0</v>
      </c>
      <c r="E90" s="374">
        <v>0</v>
      </c>
      <c r="F90" s="336">
        <v>0</v>
      </c>
      <c r="G90" s="336">
        <v>0</v>
      </c>
      <c r="H90" s="338">
        <v>0</v>
      </c>
      <c r="I90" s="39"/>
      <c r="J90" s="39"/>
      <c r="K90" s="39"/>
      <c r="L90" s="39"/>
      <c r="M90" s="39"/>
      <c r="N90" s="338"/>
      <c r="O90" s="338"/>
      <c r="P90" s="338"/>
      <c r="Q90" s="39"/>
      <c r="R90" s="39"/>
      <c r="S90" s="338"/>
      <c r="T90" s="37" t="s">
        <v>2270</v>
      </c>
      <c r="U90" s="37" t="s">
        <v>266</v>
      </c>
      <c r="V90" s="37">
        <v>1</v>
      </c>
      <c r="W90" s="10"/>
      <c r="X90" s="10"/>
      <c r="Y90" s="10"/>
      <c r="Z90" s="10"/>
      <c r="AA90" s="336">
        <v>270</v>
      </c>
      <c r="AB90" s="10"/>
      <c r="AC90" s="10"/>
      <c r="AD90" s="10" t="s">
        <v>2271</v>
      </c>
      <c r="AE90" s="339">
        <v>0</v>
      </c>
      <c r="AF90" s="339">
        <v>0</v>
      </c>
      <c r="AG90" s="339">
        <v>0</v>
      </c>
      <c r="AH90" s="339"/>
      <c r="AI90" s="339"/>
      <c r="AJ90" s="339"/>
      <c r="AK90" s="339"/>
      <c r="AL90" s="339"/>
      <c r="AM90" s="339"/>
      <c r="AN90" s="339"/>
      <c r="AO90" s="339"/>
      <c r="AP90" s="339"/>
    </row>
  </sheetData>
  <sheetProtection algorithmName="SHA-512" hashValue="qkdfsCh+jjqfwCp1yUyfQpWj+hl1PHpQ3o7F7ZT/UrT5gVlc/KrF2tV84oa4ImXHrMHwh0hw54OX97t+MLcnkQ==" saltValue="8XUP4E44kOk4cXXOvLQiZw=="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25" right="0.25" top="0.75" bottom="0.75" header="0.3" footer="0.3"/>
  <pageSetup scale="55" orientation="landscape" horizontalDpi="4294967295" verticalDpi="4294967295"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3"/>
  <sheetViews>
    <sheetView topLeftCell="A7" zoomScaleNormal="100" workbookViewId="0">
      <pane ySplit="2" topLeftCell="A9" activePane="bottomLeft" state="frozen"/>
      <selection activeCell="A7" sqref="A7"/>
      <selection pane="bottomLeft" activeCell="B10" sqref="B10"/>
    </sheetView>
  </sheetViews>
  <sheetFormatPr baseColWidth="10" defaultRowHeight="15" x14ac:dyDescent="0.25"/>
  <cols>
    <col min="1" max="1" width="18.42578125" style="1" customWidth="1"/>
    <col min="2" max="2" width="18.7109375" style="1" customWidth="1"/>
    <col min="3" max="3" width="20.5703125" style="1" customWidth="1"/>
    <col min="4" max="4" width="11.42578125" style="1"/>
    <col min="5" max="5" width="17.7109375" style="1" customWidth="1"/>
    <col min="6" max="6" width="19" style="1" customWidth="1"/>
    <col min="7" max="7" width="16.140625" style="1" customWidth="1"/>
    <col min="8" max="8" width="31.28515625" style="1" customWidth="1"/>
    <col min="9" max="9" width="17" style="1" customWidth="1"/>
    <col min="10" max="10" width="14.42578125" style="1" customWidth="1"/>
    <col min="11" max="11" width="25.42578125" style="1" customWidth="1"/>
    <col min="12" max="16" width="11.42578125" style="1"/>
    <col min="17" max="17" width="32.28515625" style="1" customWidth="1"/>
    <col min="18" max="18" width="29.42578125" style="188" customWidth="1"/>
    <col min="19" max="25" width="11.42578125" style="1"/>
    <col min="26" max="26" width="39.5703125" style="1" customWidth="1"/>
    <col min="27" max="16384" width="11.42578125" style="1"/>
  </cols>
  <sheetData>
    <row r="1" spans="1:21" x14ac:dyDescent="0.25">
      <c r="A1" s="605" t="s">
        <v>0</v>
      </c>
      <c r="B1" s="605"/>
      <c r="C1" s="605"/>
      <c r="D1" s="605"/>
      <c r="E1" s="605"/>
      <c r="F1" s="605"/>
      <c r="G1" s="605"/>
      <c r="H1" s="605"/>
      <c r="I1" s="605"/>
      <c r="J1" s="605"/>
      <c r="K1" s="605"/>
      <c r="L1" s="605"/>
      <c r="M1" s="605"/>
      <c r="N1" s="605"/>
      <c r="O1" s="605"/>
    </row>
    <row r="2" spans="1:21" x14ac:dyDescent="0.25">
      <c r="A2" s="605" t="s">
        <v>1</v>
      </c>
      <c r="B2" s="605"/>
      <c r="C2" s="605"/>
      <c r="D2" s="605"/>
      <c r="E2" s="605"/>
      <c r="F2" s="605"/>
      <c r="G2" s="605"/>
      <c r="H2" s="605"/>
      <c r="I2" s="605"/>
      <c r="J2" s="605"/>
      <c r="K2" s="605"/>
      <c r="L2" s="605"/>
      <c r="M2" s="605"/>
      <c r="N2" s="605"/>
      <c r="O2" s="605"/>
    </row>
    <row r="3" spans="1:21" x14ac:dyDescent="0.25">
      <c r="A3" s="605" t="s">
        <v>2</v>
      </c>
      <c r="B3" s="605"/>
      <c r="C3" s="605"/>
      <c r="D3" s="605"/>
      <c r="E3" s="605"/>
      <c r="F3" s="605"/>
      <c r="G3" s="605"/>
      <c r="H3" s="605" t="s">
        <v>3</v>
      </c>
      <c r="I3" s="605"/>
      <c r="J3" s="605"/>
      <c r="K3" s="605"/>
      <c r="L3" s="605"/>
      <c r="M3" s="605"/>
      <c r="N3" s="605"/>
      <c r="O3" s="605"/>
    </row>
    <row r="4" spans="1:21" x14ac:dyDescent="0.25">
      <c r="A4" s="605">
        <v>2013</v>
      </c>
      <c r="B4" s="605"/>
      <c r="C4" s="605"/>
      <c r="D4" s="605"/>
      <c r="E4" s="605"/>
      <c r="F4" s="605"/>
      <c r="G4" s="605"/>
      <c r="H4" s="605"/>
      <c r="I4" s="605"/>
      <c r="J4" s="605"/>
      <c r="K4" s="605"/>
      <c r="L4" s="605"/>
      <c r="M4" s="605"/>
      <c r="N4" s="605"/>
      <c r="O4" s="605"/>
    </row>
    <row r="5" spans="1:21" x14ac:dyDescent="0.25">
      <c r="A5" s="271"/>
      <c r="B5" s="271"/>
      <c r="C5" s="271"/>
      <c r="D5" s="271"/>
      <c r="E5" s="271"/>
      <c r="F5" s="271"/>
      <c r="G5" s="271"/>
      <c r="H5" s="271"/>
      <c r="I5" s="271"/>
      <c r="J5" s="271"/>
      <c r="K5" s="271"/>
      <c r="L5" s="272"/>
      <c r="M5" s="5"/>
      <c r="N5" s="5"/>
      <c r="O5" s="5"/>
    </row>
    <row r="6" spans="1:21" x14ac:dyDescent="0.25">
      <c r="A6" s="7" t="s">
        <v>4</v>
      </c>
      <c r="B6" s="606"/>
      <c r="C6" s="606"/>
      <c r="D6" s="606"/>
      <c r="E6" s="606"/>
      <c r="F6" s="606"/>
      <c r="G6" s="606"/>
      <c r="H6" s="606"/>
      <c r="I6" s="606"/>
      <c r="J6" s="606"/>
      <c r="K6" s="606"/>
      <c r="L6" s="606"/>
      <c r="M6" s="606"/>
      <c r="N6" s="606"/>
      <c r="O6" s="606"/>
    </row>
    <row r="7" spans="1:21" ht="15" customHeight="1" x14ac:dyDescent="0.25">
      <c r="A7" s="633" t="s">
        <v>6</v>
      </c>
      <c r="B7" s="633" t="s">
        <v>7</v>
      </c>
      <c r="C7" s="633" t="s">
        <v>8</v>
      </c>
      <c r="D7" s="633" t="s">
        <v>9</v>
      </c>
      <c r="E7" s="633" t="s">
        <v>10</v>
      </c>
      <c r="F7" s="633" t="s">
        <v>11</v>
      </c>
      <c r="G7" s="633" t="s">
        <v>12</v>
      </c>
      <c r="H7" s="633" t="s">
        <v>13</v>
      </c>
      <c r="I7" s="667" t="s">
        <v>14</v>
      </c>
      <c r="J7" s="621" t="s">
        <v>15</v>
      </c>
      <c r="K7" s="633" t="s">
        <v>16</v>
      </c>
      <c r="L7" s="633" t="s">
        <v>17</v>
      </c>
      <c r="M7" s="633" t="s">
        <v>18</v>
      </c>
      <c r="N7" s="669" t="s">
        <v>19</v>
      </c>
      <c r="O7" s="669" t="s">
        <v>20</v>
      </c>
      <c r="P7" s="623" t="s">
        <v>21</v>
      </c>
      <c r="Q7" s="665" t="s">
        <v>22</v>
      </c>
      <c r="R7" s="355"/>
    </row>
    <row r="8" spans="1:21" ht="50.25" customHeight="1" x14ac:dyDescent="0.25">
      <c r="A8" s="645"/>
      <c r="B8" s="645"/>
      <c r="C8" s="645"/>
      <c r="D8" s="645"/>
      <c r="E8" s="645"/>
      <c r="F8" s="645"/>
      <c r="G8" s="645"/>
      <c r="H8" s="645"/>
      <c r="I8" s="668"/>
      <c r="J8" s="622"/>
      <c r="K8" s="645"/>
      <c r="L8" s="645"/>
      <c r="M8" s="645"/>
      <c r="N8" s="670"/>
      <c r="O8" s="670"/>
      <c r="P8" s="624"/>
      <c r="Q8" s="666"/>
      <c r="R8" s="1"/>
      <c r="S8" s="8"/>
      <c r="T8" s="8"/>
      <c r="U8" s="8"/>
    </row>
    <row r="9" spans="1:21" ht="91.5" customHeight="1" x14ac:dyDescent="0.25">
      <c r="A9" s="273" t="s">
        <v>156</v>
      </c>
      <c r="B9" s="273" t="s">
        <v>157</v>
      </c>
      <c r="C9" s="273" t="s">
        <v>158</v>
      </c>
      <c r="D9" s="273">
        <v>233110000</v>
      </c>
      <c r="E9" s="273" t="s">
        <v>2011</v>
      </c>
      <c r="F9" s="274" t="s">
        <v>2012</v>
      </c>
      <c r="G9" s="273" t="s">
        <v>2013</v>
      </c>
      <c r="H9" s="273" t="s">
        <v>2014</v>
      </c>
      <c r="I9" s="356">
        <f>-60000000+203000000</f>
        <v>143000000</v>
      </c>
      <c r="J9" s="357">
        <f>'[17]FINANCIERO GOBIERNO'!J9-'[17]FINANCIERO GOBIERNO'!H9</f>
        <v>143000000</v>
      </c>
      <c r="K9" s="273" t="s">
        <v>2015</v>
      </c>
      <c r="L9" s="273">
        <v>100</v>
      </c>
      <c r="M9" s="273">
        <v>100</v>
      </c>
      <c r="N9" s="358"/>
      <c r="O9" s="273">
        <v>73</v>
      </c>
      <c r="P9" s="359">
        <v>99</v>
      </c>
      <c r="Q9" s="49" t="s">
        <v>2016</v>
      </c>
      <c r="R9" s="16"/>
      <c r="U9" s="17"/>
    </row>
    <row r="10" spans="1:21" ht="105" customHeight="1" x14ac:dyDescent="0.25">
      <c r="A10" s="10" t="s">
        <v>1615</v>
      </c>
      <c r="B10" s="10" t="s">
        <v>2017</v>
      </c>
      <c r="C10" s="10" t="s">
        <v>2018</v>
      </c>
      <c r="D10" s="10">
        <v>231110000</v>
      </c>
      <c r="E10" s="273" t="s">
        <v>2019</v>
      </c>
      <c r="F10" s="274" t="s">
        <v>2020</v>
      </c>
      <c r="G10" s="10" t="s">
        <v>2021</v>
      </c>
      <c r="H10" s="273" t="s">
        <v>2022</v>
      </c>
      <c r="I10" s="356">
        <v>0</v>
      </c>
      <c r="J10" s="356">
        <f>'[17]FINANCIERO GOBIERNO'!J12-'[17]FINANCIERO GOBIERNO'!H12</f>
        <v>2107000000</v>
      </c>
      <c r="K10" s="273" t="s">
        <v>2023</v>
      </c>
      <c r="L10" s="273">
        <v>25</v>
      </c>
      <c r="M10" s="273">
        <v>25</v>
      </c>
      <c r="N10" s="358"/>
      <c r="O10" s="273">
        <v>0</v>
      </c>
      <c r="P10" s="359">
        <v>25</v>
      </c>
      <c r="Q10" s="49" t="s">
        <v>2024</v>
      </c>
      <c r="R10" s="16"/>
      <c r="U10" s="17"/>
    </row>
    <row r="11" spans="1:21" ht="409.5" x14ac:dyDescent="0.25">
      <c r="A11" s="10" t="s">
        <v>1615</v>
      </c>
      <c r="B11" s="10" t="s">
        <v>2017</v>
      </c>
      <c r="C11" s="10" t="s">
        <v>2018</v>
      </c>
      <c r="D11" s="10">
        <v>231110000</v>
      </c>
      <c r="E11" s="273" t="s">
        <v>2019</v>
      </c>
      <c r="F11" s="274" t="s">
        <v>2025</v>
      </c>
      <c r="G11" s="10" t="s">
        <v>2026</v>
      </c>
      <c r="H11" s="273" t="s">
        <v>2027</v>
      </c>
      <c r="I11" s="356">
        <v>0</v>
      </c>
      <c r="J11" s="356">
        <f>'[17]FINANCIERO GOBIERNO'!J14-'[17]FINANCIERO GOBIERNO'!H14</f>
        <v>154000000</v>
      </c>
      <c r="K11" s="273" t="s">
        <v>2023</v>
      </c>
      <c r="L11" s="273">
        <v>25</v>
      </c>
      <c r="M11" s="273">
        <v>25</v>
      </c>
      <c r="N11" s="358"/>
      <c r="O11" s="273">
        <v>0</v>
      </c>
      <c r="P11" s="359">
        <v>25</v>
      </c>
      <c r="Q11" s="49" t="s">
        <v>2024</v>
      </c>
      <c r="R11" s="16"/>
      <c r="U11" s="17"/>
    </row>
    <row r="12" spans="1:21" ht="99" customHeight="1" x14ac:dyDescent="0.25">
      <c r="A12" s="10" t="s">
        <v>1615</v>
      </c>
      <c r="B12" s="10" t="s">
        <v>2017</v>
      </c>
      <c r="C12" s="10" t="s">
        <v>2028</v>
      </c>
      <c r="D12" s="10">
        <v>231210000</v>
      </c>
      <c r="E12" s="273" t="s">
        <v>2029</v>
      </c>
      <c r="F12" s="274" t="s">
        <v>2030</v>
      </c>
      <c r="G12" s="10" t="s">
        <v>2031</v>
      </c>
      <c r="H12" s="273" t="s">
        <v>2032</v>
      </c>
      <c r="I12" s="356">
        <v>0</v>
      </c>
      <c r="J12" s="356">
        <f>'[17]FINANCIERO GOBIERNO'!J16-'[17]FINANCIERO GOBIERNO'!H16</f>
        <v>0</v>
      </c>
      <c r="K12" s="273" t="s">
        <v>2033</v>
      </c>
      <c r="L12" s="273">
        <v>10</v>
      </c>
      <c r="M12" s="273">
        <v>10</v>
      </c>
      <c r="N12" s="358"/>
      <c r="O12" s="273">
        <v>7</v>
      </c>
      <c r="P12" s="359">
        <v>10</v>
      </c>
      <c r="Q12" s="360" t="s">
        <v>2034</v>
      </c>
      <c r="R12" s="16"/>
      <c r="U12" s="17"/>
    </row>
    <row r="13" spans="1:21" ht="81.75" customHeight="1" x14ac:dyDescent="0.25">
      <c r="A13" s="10" t="s">
        <v>1615</v>
      </c>
      <c r="B13" s="10" t="s">
        <v>2017</v>
      </c>
      <c r="C13" s="10" t="s">
        <v>2028</v>
      </c>
      <c r="D13" s="10">
        <v>231210000</v>
      </c>
      <c r="E13" s="273" t="s">
        <v>2029</v>
      </c>
      <c r="F13" s="274" t="s">
        <v>2035</v>
      </c>
      <c r="G13" s="10" t="s">
        <v>2036</v>
      </c>
      <c r="H13" s="273" t="s">
        <v>2037</v>
      </c>
      <c r="I13" s="356">
        <v>0</v>
      </c>
      <c r="J13" s="356">
        <f>'[17]FINANCIERO GOBIERNO'!J18-'[17]FINANCIERO GOBIERNO'!H18</f>
        <v>0</v>
      </c>
      <c r="K13" s="273" t="s">
        <v>2033</v>
      </c>
      <c r="L13" s="273">
        <v>10</v>
      </c>
      <c r="M13" s="273">
        <v>10</v>
      </c>
      <c r="N13" s="358"/>
      <c r="O13" s="273">
        <v>7</v>
      </c>
      <c r="P13" s="359">
        <v>10</v>
      </c>
      <c r="Q13" s="360" t="s">
        <v>2034</v>
      </c>
      <c r="R13" s="16"/>
      <c r="U13" s="17"/>
    </row>
    <row r="14" spans="1:21" ht="79.5" customHeight="1" x14ac:dyDescent="0.25">
      <c r="A14" s="10" t="s">
        <v>1615</v>
      </c>
      <c r="B14" s="10" t="s">
        <v>2017</v>
      </c>
      <c r="C14" s="10" t="s">
        <v>2028</v>
      </c>
      <c r="D14" s="10">
        <v>231210000</v>
      </c>
      <c r="E14" s="273" t="s">
        <v>2029</v>
      </c>
      <c r="F14" s="274" t="s">
        <v>2038</v>
      </c>
      <c r="G14" s="10" t="s">
        <v>2039</v>
      </c>
      <c r="H14" s="273" t="s">
        <v>2040</v>
      </c>
      <c r="I14" s="356">
        <v>140000000</v>
      </c>
      <c r="J14" s="356">
        <f>'[17]FINANCIERO GOBIERNO'!J20-'[17]FINANCIERO GOBIERNO'!H20</f>
        <v>-10000000</v>
      </c>
      <c r="K14" s="273" t="s">
        <v>2033</v>
      </c>
      <c r="L14" s="273">
        <v>10</v>
      </c>
      <c r="M14" s="273">
        <v>10</v>
      </c>
      <c r="N14" s="358"/>
      <c r="O14" s="273">
        <v>7</v>
      </c>
      <c r="P14" s="359">
        <v>10</v>
      </c>
      <c r="Q14" s="360" t="s">
        <v>2034</v>
      </c>
      <c r="R14" s="16"/>
      <c r="U14" s="17"/>
    </row>
    <row r="15" spans="1:21" ht="255" x14ac:dyDescent="0.25">
      <c r="A15" s="10" t="s">
        <v>1615</v>
      </c>
      <c r="B15" s="10" t="s">
        <v>2017</v>
      </c>
      <c r="C15" s="10" t="s">
        <v>2028</v>
      </c>
      <c r="D15" s="10">
        <v>231230000</v>
      </c>
      <c r="E15" s="273" t="s">
        <v>2041</v>
      </c>
      <c r="F15" s="274" t="s">
        <v>2042</v>
      </c>
      <c r="G15" s="10" t="s">
        <v>2043</v>
      </c>
      <c r="H15" s="273" t="s">
        <v>2044</v>
      </c>
      <c r="I15" s="356">
        <v>0</v>
      </c>
      <c r="J15" s="356">
        <f>'[17]FINANCIERO GOBIERNO'!J23-'[17]FINANCIERO GOBIERNO'!H23</f>
        <v>0</v>
      </c>
      <c r="K15" s="273" t="s">
        <v>2045</v>
      </c>
      <c r="L15" s="273">
        <v>50</v>
      </c>
      <c r="M15" s="273">
        <v>50</v>
      </c>
      <c r="N15" s="358"/>
      <c r="O15" s="273">
        <v>25</v>
      </c>
      <c r="P15" s="359">
        <v>40</v>
      </c>
      <c r="Q15" s="49" t="s">
        <v>2046</v>
      </c>
      <c r="R15" s="16"/>
      <c r="U15" s="17"/>
    </row>
    <row r="16" spans="1:21" ht="90" x14ac:dyDescent="0.25">
      <c r="A16" s="10" t="s">
        <v>1615</v>
      </c>
      <c r="B16" s="10" t="s">
        <v>2047</v>
      </c>
      <c r="C16" s="10" t="s">
        <v>2048</v>
      </c>
      <c r="D16" s="10">
        <v>232110007</v>
      </c>
      <c r="E16" s="273" t="s">
        <v>2049</v>
      </c>
      <c r="F16" s="274" t="s">
        <v>2050</v>
      </c>
      <c r="G16" s="10" t="s">
        <v>2051</v>
      </c>
      <c r="H16" s="273" t="s">
        <v>2052</v>
      </c>
      <c r="I16" s="356">
        <v>-162000000</v>
      </c>
      <c r="J16" s="356">
        <f>'[17]FINANCIERO GOBIERNO'!J37-'[17]FINANCIERO GOBIERNO'!H37</f>
        <v>161786000</v>
      </c>
      <c r="K16" s="273" t="s">
        <v>2053</v>
      </c>
      <c r="L16" s="273">
        <v>30</v>
      </c>
      <c r="M16" s="273">
        <v>40</v>
      </c>
      <c r="N16" s="358"/>
      <c r="O16" s="273">
        <v>40</v>
      </c>
      <c r="P16" s="358">
        <v>60</v>
      </c>
      <c r="Q16" s="41"/>
      <c r="R16" s="16"/>
      <c r="U16" s="17"/>
    </row>
    <row r="17" spans="1:26" ht="75" x14ac:dyDescent="0.25">
      <c r="A17" s="10" t="s">
        <v>1615</v>
      </c>
      <c r="B17" s="10" t="s">
        <v>2047</v>
      </c>
      <c r="C17" s="10" t="s">
        <v>2048</v>
      </c>
      <c r="D17" s="10">
        <v>232130000</v>
      </c>
      <c r="E17" s="273" t="s">
        <v>2054</v>
      </c>
      <c r="F17" s="274" t="s">
        <v>2055</v>
      </c>
      <c r="G17" s="10" t="s">
        <v>2056</v>
      </c>
      <c r="H17" s="273" t="s">
        <v>2057</v>
      </c>
      <c r="I17" s="356">
        <v>-160000000</v>
      </c>
      <c r="J17" s="356">
        <f>'[17]FINANCIERO GOBIERNO'!J46-'[17]FINANCIERO GOBIERNO'!H46</f>
        <v>-160000000</v>
      </c>
      <c r="K17" s="273" t="s">
        <v>2058</v>
      </c>
      <c r="L17" s="273">
        <v>30</v>
      </c>
      <c r="M17" s="273">
        <v>40</v>
      </c>
      <c r="N17" s="358"/>
      <c r="O17" s="273">
        <v>40</v>
      </c>
      <c r="P17" s="358">
        <v>50</v>
      </c>
      <c r="Q17" s="41"/>
      <c r="R17" s="16"/>
      <c r="U17" s="17"/>
    </row>
    <row r="18" spans="1:26" ht="120" x14ac:dyDescent="0.25">
      <c r="A18" s="10" t="s">
        <v>1615</v>
      </c>
      <c r="B18" s="10" t="s">
        <v>2059</v>
      </c>
      <c r="C18" s="10" t="s">
        <v>2060</v>
      </c>
      <c r="D18" s="10">
        <v>233120007</v>
      </c>
      <c r="E18" s="273" t="s">
        <v>2061</v>
      </c>
      <c r="F18" s="274" t="s">
        <v>2062</v>
      </c>
      <c r="G18" s="10" t="s">
        <v>2063</v>
      </c>
      <c r="H18" s="273" t="s">
        <v>2064</v>
      </c>
      <c r="I18" s="356">
        <v>0</v>
      </c>
      <c r="J18" s="356">
        <f>'[17]FINANCIERO GOBIERNO'!J50-'[17]FINANCIERO GOBIERNO'!H50</f>
        <v>30000000</v>
      </c>
      <c r="K18" s="273" t="s">
        <v>2065</v>
      </c>
      <c r="L18" s="273">
        <v>100</v>
      </c>
      <c r="M18" s="273">
        <v>100</v>
      </c>
      <c r="N18" s="358"/>
      <c r="O18" s="273">
        <v>62</v>
      </c>
      <c r="P18" s="359">
        <v>100</v>
      </c>
      <c r="Q18" s="49" t="s">
        <v>2066</v>
      </c>
      <c r="R18" s="16"/>
      <c r="U18" s="17"/>
    </row>
    <row r="19" spans="1:26" ht="216.75" x14ac:dyDescent="0.25">
      <c r="A19" s="10" t="s">
        <v>1615</v>
      </c>
      <c r="B19" s="10" t="s">
        <v>1616</v>
      </c>
      <c r="C19" s="10" t="s">
        <v>2067</v>
      </c>
      <c r="D19" s="10">
        <v>234110000</v>
      </c>
      <c r="E19" s="273" t="s">
        <v>2068</v>
      </c>
      <c r="F19" s="273" t="s">
        <v>2069</v>
      </c>
      <c r="G19" s="10" t="s">
        <v>2070</v>
      </c>
      <c r="H19" s="273" t="s">
        <v>2071</v>
      </c>
      <c r="I19" s="356">
        <v>-50000000</v>
      </c>
      <c r="J19" s="356">
        <f>'[17]FINANCIERO GOBIERNO'!J55-'[17]FINANCIERO GOBIERNO'!H55</f>
        <v>-50000000</v>
      </c>
      <c r="K19" s="273" t="s">
        <v>2072</v>
      </c>
      <c r="L19" s="273">
        <v>25</v>
      </c>
      <c r="M19" s="273">
        <v>25</v>
      </c>
      <c r="N19" s="358"/>
      <c r="O19" s="273">
        <v>20</v>
      </c>
      <c r="P19" s="359">
        <v>25</v>
      </c>
      <c r="Q19" s="361" t="s">
        <v>2073</v>
      </c>
      <c r="R19" s="16"/>
      <c r="U19" s="17"/>
    </row>
    <row r="20" spans="1:26" ht="204" x14ac:dyDescent="0.25">
      <c r="A20" s="10" t="s">
        <v>1615</v>
      </c>
      <c r="B20" s="10" t="s">
        <v>1616</v>
      </c>
      <c r="C20" s="10" t="s">
        <v>1617</v>
      </c>
      <c r="D20" s="10">
        <v>234210005</v>
      </c>
      <c r="E20" s="273" t="s">
        <v>2074</v>
      </c>
      <c r="F20" s="274" t="s">
        <v>2075</v>
      </c>
      <c r="G20" s="10" t="s">
        <v>2076</v>
      </c>
      <c r="H20" s="273" t="s">
        <v>2077</v>
      </c>
      <c r="I20" s="356">
        <v>0</v>
      </c>
      <c r="J20" s="356">
        <f>'[17]FINANCIERO GOBIERNO'!J59-'[17]FINANCIERO GOBIERNO'!H59</f>
        <v>0</v>
      </c>
      <c r="K20" s="273" t="s">
        <v>2078</v>
      </c>
      <c r="L20" s="273">
        <v>60</v>
      </c>
      <c r="M20" s="273">
        <v>78</v>
      </c>
      <c r="N20" s="358"/>
      <c r="O20" s="273">
        <v>78</v>
      </c>
      <c r="P20" s="359">
        <v>78</v>
      </c>
      <c r="Q20" s="361" t="s">
        <v>2079</v>
      </c>
      <c r="R20" s="16"/>
      <c r="U20" s="17"/>
    </row>
    <row r="21" spans="1:26" ht="165.75" x14ac:dyDescent="0.25">
      <c r="A21" s="10"/>
      <c r="B21" s="10"/>
      <c r="C21" s="10"/>
      <c r="D21" s="10"/>
      <c r="E21" s="273"/>
      <c r="F21" s="274"/>
      <c r="G21" s="10"/>
      <c r="H21" s="273"/>
      <c r="I21" s="356"/>
      <c r="J21" s="362"/>
      <c r="K21" s="273" t="s">
        <v>2080</v>
      </c>
      <c r="L21" s="273">
        <v>13</v>
      </c>
      <c r="M21" s="273">
        <v>13</v>
      </c>
      <c r="N21" s="358"/>
      <c r="O21" s="273">
        <v>8</v>
      </c>
      <c r="P21" s="359">
        <v>28</v>
      </c>
      <c r="Q21" s="361" t="s">
        <v>2081</v>
      </c>
      <c r="R21" s="16"/>
      <c r="U21" s="17"/>
    </row>
    <row r="22" spans="1:26" ht="159.75" customHeight="1" x14ac:dyDescent="0.25">
      <c r="A22" s="10" t="s">
        <v>1615</v>
      </c>
      <c r="B22" s="10" t="s">
        <v>1616</v>
      </c>
      <c r="C22" s="10" t="s">
        <v>1617</v>
      </c>
      <c r="D22" s="10">
        <v>234220005</v>
      </c>
      <c r="E22" s="273" t="s">
        <v>1618</v>
      </c>
      <c r="F22" s="274" t="s">
        <v>2082</v>
      </c>
      <c r="G22" s="10" t="s">
        <v>2083</v>
      </c>
      <c r="H22" s="273" t="s">
        <v>2084</v>
      </c>
      <c r="I22" s="356">
        <f>120000000+658456000</f>
        <v>778456000</v>
      </c>
      <c r="J22" s="356">
        <f>'[17]FINANCIERO GOBIERNO'!J62-'[17]FINANCIERO GOBIERNO'!H62</f>
        <v>778456000</v>
      </c>
      <c r="K22" s="273" t="s">
        <v>1622</v>
      </c>
      <c r="L22" s="273">
        <v>600</v>
      </c>
      <c r="M22" s="273">
        <v>701</v>
      </c>
      <c r="N22" s="358"/>
      <c r="O22" s="273">
        <v>701</v>
      </c>
      <c r="P22" s="359">
        <v>701</v>
      </c>
      <c r="Q22" s="361" t="s">
        <v>2085</v>
      </c>
      <c r="R22" s="16"/>
      <c r="U22" s="17"/>
    </row>
    <row r="23" spans="1:26" ht="78.75" customHeight="1" x14ac:dyDescent="0.25">
      <c r="A23" s="10" t="s">
        <v>1615</v>
      </c>
      <c r="B23" s="10" t="s">
        <v>1616</v>
      </c>
      <c r="C23" s="10" t="s">
        <v>2086</v>
      </c>
      <c r="D23" s="10">
        <v>234310000</v>
      </c>
      <c r="E23" s="273" t="s">
        <v>2087</v>
      </c>
      <c r="F23" s="274" t="s">
        <v>2088</v>
      </c>
      <c r="G23" s="10" t="s">
        <v>2089</v>
      </c>
      <c r="H23" s="273" t="s">
        <v>2090</v>
      </c>
      <c r="I23" s="356">
        <f>100000000+765793749</f>
        <v>865793749</v>
      </c>
      <c r="J23" s="356">
        <f>'[17]FINANCIERO GOBIERNO'!J69-'[17]FINANCIERO GOBIERNO'!H69</f>
        <v>865793749</v>
      </c>
      <c r="K23" s="273" t="s">
        <v>2091</v>
      </c>
      <c r="L23" s="273">
        <v>120</v>
      </c>
      <c r="M23" s="273">
        <v>160</v>
      </c>
      <c r="N23" s="358"/>
      <c r="O23" s="273">
        <v>160</v>
      </c>
      <c r="P23" s="359">
        <v>160</v>
      </c>
      <c r="Q23" s="361" t="s">
        <v>2092</v>
      </c>
      <c r="R23" s="16"/>
      <c r="U23" s="17"/>
    </row>
    <row r="24" spans="1:26" ht="161.25" customHeight="1" x14ac:dyDescent="0.25">
      <c r="A24" s="10" t="s">
        <v>1615</v>
      </c>
      <c r="B24" s="10" t="s">
        <v>1616</v>
      </c>
      <c r="C24" s="10" t="s">
        <v>1617</v>
      </c>
      <c r="D24" s="10">
        <v>234220005</v>
      </c>
      <c r="E24" s="273" t="s">
        <v>1618</v>
      </c>
      <c r="F24" s="274" t="s">
        <v>2093</v>
      </c>
      <c r="G24" s="10" t="s">
        <v>2094</v>
      </c>
      <c r="H24" s="273" t="s">
        <v>2095</v>
      </c>
      <c r="I24" s="356">
        <f>31206251+687827091</f>
        <v>719033342</v>
      </c>
      <c r="J24" s="356">
        <f>'[17]FINANCIERO GOBIERNO'!J71-'[17]FINANCIERO GOBIERNO'!H71</f>
        <v>719033342</v>
      </c>
      <c r="K24" s="273" t="s">
        <v>1622</v>
      </c>
      <c r="L24" s="273">
        <v>600</v>
      </c>
      <c r="M24" s="273">
        <v>230</v>
      </c>
      <c r="N24" s="358"/>
      <c r="O24" s="273">
        <v>230</v>
      </c>
      <c r="P24" s="359">
        <v>701</v>
      </c>
      <c r="Q24" s="361" t="s">
        <v>2085</v>
      </c>
      <c r="R24" s="16"/>
      <c r="U24" s="17"/>
    </row>
    <row r="25" spans="1:26" ht="75" x14ac:dyDescent="0.25">
      <c r="A25" s="10" t="s">
        <v>1615</v>
      </c>
      <c r="B25" s="10" t="s">
        <v>2096</v>
      </c>
      <c r="C25" s="10" t="s">
        <v>2097</v>
      </c>
      <c r="D25" s="10">
        <v>23111</v>
      </c>
      <c r="E25" s="273" t="s">
        <v>2019</v>
      </c>
      <c r="F25" s="363">
        <v>201205000014</v>
      </c>
      <c r="G25" s="50" t="s">
        <v>2098</v>
      </c>
      <c r="H25" s="273" t="s">
        <v>2099</v>
      </c>
      <c r="I25" s="356">
        <v>2000000000</v>
      </c>
      <c r="J25" s="356">
        <f>'[17]FINANCIERO GOBIERNO'!J76-'[17]FINANCIERO GOBIERNO'!H76</f>
        <v>3404067452</v>
      </c>
      <c r="K25" s="273" t="s">
        <v>2100</v>
      </c>
      <c r="L25" s="49">
        <v>420055</v>
      </c>
      <c r="M25" s="273">
        <v>420055</v>
      </c>
      <c r="N25" s="358"/>
      <c r="O25" s="273">
        <v>264693</v>
      </c>
      <c r="P25" s="358"/>
      <c r="Q25" s="41" t="s">
        <v>2101</v>
      </c>
      <c r="R25" s="16"/>
      <c r="U25" s="17"/>
      <c r="Z25" s="364" t="s">
        <v>2102</v>
      </c>
    </row>
    <row r="26" spans="1:26" ht="75" x14ac:dyDescent="0.25">
      <c r="A26" s="10" t="s">
        <v>1615</v>
      </c>
      <c r="B26" s="10" t="s">
        <v>2096</v>
      </c>
      <c r="C26" s="10" t="s">
        <v>2097</v>
      </c>
      <c r="D26" s="10">
        <v>23111</v>
      </c>
      <c r="E26" s="273" t="s">
        <v>2019</v>
      </c>
      <c r="F26" s="363">
        <v>201205000014</v>
      </c>
      <c r="G26" s="50" t="s">
        <v>2098</v>
      </c>
      <c r="H26" s="273" t="s">
        <v>2099</v>
      </c>
      <c r="I26" s="356">
        <v>500000000</v>
      </c>
      <c r="J26" s="362"/>
      <c r="K26" s="273" t="s">
        <v>2103</v>
      </c>
      <c r="L26" s="49">
        <v>2186094</v>
      </c>
      <c r="M26" s="273">
        <v>2186094</v>
      </c>
      <c r="N26" s="358"/>
      <c r="O26" s="273">
        <v>1371288</v>
      </c>
      <c r="P26" s="358"/>
      <c r="Q26" s="41" t="s">
        <v>2101</v>
      </c>
      <c r="R26" s="16"/>
      <c r="U26" s="17"/>
      <c r="Z26" s="364" t="s">
        <v>2102</v>
      </c>
    </row>
    <row r="27" spans="1:26" ht="75" x14ac:dyDescent="0.25">
      <c r="A27" s="10" t="s">
        <v>1615</v>
      </c>
      <c r="B27" s="10" t="s">
        <v>2096</v>
      </c>
      <c r="C27" s="10" t="s">
        <v>2097</v>
      </c>
      <c r="D27" s="10">
        <v>23111</v>
      </c>
      <c r="E27" s="273" t="s">
        <v>2019</v>
      </c>
      <c r="F27" s="363">
        <v>2008050000518</v>
      </c>
      <c r="G27" s="10">
        <v>221002</v>
      </c>
      <c r="H27" s="273" t="s">
        <v>2104</v>
      </c>
      <c r="I27" s="356">
        <v>4625876518</v>
      </c>
      <c r="J27" s="356">
        <f>'[17]FINANCIERO GOBIERNO'!J82-'[17]FINANCIERO GOBIERNO'!H82</f>
        <v>3325840936</v>
      </c>
      <c r="K27" s="273" t="s">
        <v>2100</v>
      </c>
      <c r="L27" s="49">
        <v>420055</v>
      </c>
      <c r="M27" s="273">
        <v>420055</v>
      </c>
      <c r="N27" s="358"/>
      <c r="O27" s="273">
        <v>264693</v>
      </c>
      <c r="P27" s="358"/>
      <c r="Q27" s="41" t="s">
        <v>2101</v>
      </c>
      <c r="R27" s="16"/>
      <c r="U27" s="17"/>
      <c r="Z27" s="364" t="s">
        <v>2102</v>
      </c>
    </row>
    <row r="28" spans="1:26" ht="75" x14ac:dyDescent="0.25">
      <c r="A28" s="10" t="s">
        <v>1615</v>
      </c>
      <c r="B28" s="10" t="s">
        <v>2096</v>
      </c>
      <c r="C28" s="10" t="s">
        <v>2097</v>
      </c>
      <c r="D28" s="10">
        <v>23111</v>
      </c>
      <c r="E28" s="273" t="s">
        <v>2019</v>
      </c>
      <c r="F28" s="363">
        <v>2008050000518</v>
      </c>
      <c r="G28" s="10">
        <v>221002</v>
      </c>
      <c r="H28" s="273" t="s">
        <v>2104</v>
      </c>
      <c r="I28" s="356">
        <v>655838814</v>
      </c>
      <c r="J28" s="362"/>
      <c r="K28" s="273" t="s">
        <v>2103</v>
      </c>
      <c r="L28" s="49">
        <v>2186094</v>
      </c>
      <c r="M28" s="273">
        <v>2186094</v>
      </c>
      <c r="N28" s="358"/>
      <c r="O28" s="273">
        <v>1371288</v>
      </c>
      <c r="P28" s="358"/>
      <c r="Q28" s="41" t="s">
        <v>2101</v>
      </c>
      <c r="R28" s="16"/>
      <c r="U28" s="17"/>
      <c r="Z28" s="364" t="s">
        <v>2102</v>
      </c>
    </row>
    <row r="29" spans="1:26" ht="90" x14ac:dyDescent="0.25">
      <c r="A29" s="10" t="s">
        <v>1615</v>
      </c>
      <c r="B29" s="10" t="s">
        <v>2017</v>
      </c>
      <c r="C29" s="10" t="s">
        <v>2028</v>
      </c>
      <c r="D29" s="10">
        <v>231220000</v>
      </c>
      <c r="E29" s="10" t="s">
        <v>2105</v>
      </c>
      <c r="F29" s="50" t="s">
        <v>2106</v>
      </c>
      <c r="G29" s="10" t="s">
        <v>2107</v>
      </c>
      <c r="H29" s="10" t="s">
        <v>2108</v>
      </c>
      <c r="I29" s="275">
        <f>492000000+600000000+539966758</f>
        <v>1631966758</v>
      </c>
      <c r="J29" s="356">
        <f>'[17]FINANCIERO GOBIERNO'!J85-'[17]FINANCIERO GOBIERNO'!H85</f>
        <v>1631966758</v>
      </c>
      <c r="K29" s="10" t="s">
        <v>2109</v>
      </c>
      <c r="L29" s="10">
        <v>100</v>
      </c>
      <c r="M29" s="273">
        <v>100</v>
      </c>
      <c r="N29" s="10"/>
      <c r="O29" s="10">
        <v>100</v>
      </c>
      <c r="P29" s="365">
        <v>1</v>
      </c>
      <c r="Q29" s="49" t="s">
        <v>2110</v>
      </c>
      <c r="R29" s="16"/>
      <c r="U29" s="17"/>
    </row>
    <row r="30" spans="1:26" ht="45" x14ac:dyDescent="0.25">
      <c r="A30" s="10"/>
      <c r="B30" s="10"/>
      <c r="C30" s="10"/>
      <c r="D30" s="10"/>
      <c r="E30" s="10"/>
      <c r="F30" s="50"/>
      <c r="G30" s="10"/>
      <c r="H30" s="10"/>
      <c r="I30" s="39"/>
      <c r="J30" s="10"/>
      <c r="K30" s="10" t="s">
        <v>2111</v>
      </c>
      <c r="L30" s="10">
        <v>25</v>
      </c>
      <c r="M30" s="273">
        <v>20</v>
      </c>
      <c r="N30" s="10"/>
      <c r="O30" s="10">
        <v>20</v>
      </c>
      <c r="P30" s="49">
        <v>36</v>
      </c>
      <c r="Q30" s="49" t="s">
        <v>2112</v>
      </c>
      <c r="R30" s="16"/>
      <c r="U30" s="17"/>
    </row>
    <row r="31" spans="1:26" x14ac:dyDescent="0.25">
      <c r="H31" s="289"/>
      <c r="I31" s="289"/>
      <c r="J31" s="289"/>
      <c r="K31" s="289"/>
      <c r="L31" s="289"/>
    </row>
    <row r="32" spans="1:26" x14ac:dyDescent="0.25">
      <c r="H32" s="289"/>
      <c r="I32" s="289"/>
      <c r="J32" s="289"/>
      <c r="K32" s="289"/>
      <c r="L32" s="289"/>
    </row>
    <row r="33" spans="8:12" x14ac:dyDescent="0.25">
      <c r="H33" s="289"/>
      <c r="I33" s="289"/>
      <c r="J33" s="289"/>
      <c r="K33" s="289"/>
      <c r="L33" s="289"/>
    </row>
    <row r="34" spans="8:12" x14ac:dyDescent="0.25">
      <c r="H34" s="289"/>
      <c r="I34" s="289"/>
      <c r="J34" s="289"/>
      <c r="K34" s="289"/>
      <c r="L34" s="289"/>
    </row>
    <row r="35" spans="8:12" x14ac:dyDescent="0.25">
      <c r="H35" s="289"/>
      <c r="I35" s="289"/>
      <c r="J35" s="289"/>
      <c r="K35" s="289"/>
      <c r="L35" s="289"/>
    </row>
    <row r="36" spans="8:12" x14ac:dyDescent="0.25">
      <c r="H36" s="289"/>
      <c r="I36" s="289"/>
      <c r="J36" s="289"/>
      <c r="K36" s="289"/>
      <c r="L36" s="289"/>
    </row>
    <row r="37" spans="8:12" x14ac:dyDescent="0.25">
      <c r="H37" s="289"/>
      <c r="I37" s="289"/>
      <c r="J37" s="289"/>
      <c r="K37" s="289"/>
      <c r="L37" s="289"/>
    </row>
    <row r="38" spans="8:12" x14ac:dyDescent="0.25">
      <c r="H38" s="289"/>
      <c r="I38" s="289"/>
      <c r="J38" s="289"/>
      <c r="K38" s="289"/>
      <c r="L38" s="289"/>
    </row>
    <row r="39" spans="8:12" x14ac:dyDescent="0.25">
      <c r="H39" s="289"/>
      <c r="I39" s="289"/>
      <c r="J39" s="289"/>
      <c r="K39" s="289"/>
      <c r="L39" s="289"/>
    </row>
    <row r="40" spans="8:12" x14ac:dyDescent="0.25">
      <c r="H40" s="289"/>
      <c r="I40" s="289"/>
      <c r="J40" s="289"/>
      <c r="K40" s="289"/>
      <c r="L40" s="289"/>
    </row>
    <row r="41" spans="8:12" x14ac:dyDescent="0.25">
      <c r="H41" s="289"/>
      <c r="I41" s="289"/>
      <c r="J41" s="289"/>
      <c r="K41" s="289"/>
      <c r="L41" s="289"/>
    </row>
    <row r="42" spans="8:12" x14ac:dyDescent="0.25">
      <c r="H42" s="289"/>
      <c r="I42" s="289"/>
      <c r="J42" s="289"/>
      <c r="K42" s="289"/>
      <c r="L42" s="289"/>
    </row>
    <row r="43" spans="8:12" x14ac:dyDescent="0.25">
      <c r="H43" s="289"/>
      <c r="I43" s="289"/>
      <c r="J43" s="289"/>
      <c r="K43" s="289"/>
      <c r="L43" s="289"/>
    </row>
  </sheetData>
  <sheetProtection algorithmName="SHA-512" hashValue="ChXGo4DzUnqXt/pnrnUAHxz3cNfQALS9siXJMC35sCTU/WGVOr3UFD/dxnB6AupZeQgSOdhpheCd4RiE3wpz6A==" saltValue="a0V/M9DUy+xVhybszrNXrA=="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25" right="0.25" top="0.75" bottom="0.75" header="0.3" footer="0.3"/>
  <pageSetup scale="50" orientation="landscape" horizontalDpi="4294967295" verticalDpi="4294967295"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49"/>
  <sheetViews>
    <sheetView topLeftCell="A4" zoomScale="90" zoomScaleNormal="90" workbookViewId="0">
      <pane ySplit="5" topLeftCell="A9" activePane="bottomLeft" state="frozen"/>
      <selection activeCell="A4" sqref="A4"/>
      <selection pane="bottomLeft" activeCell="D12" sqref="D12"/>
    </sheetView>
  </sheetViews>
  <sheetFormatPr baseColWidth="10" defaultColWidth="11.42578125" defaultRowHeight="15" x14ac:dyDescent="0.25"/>
  <cols>
    <col min="1" max="1" width="12.28515625" style="1" customWidth="1"/>
    <col min="2" max="2" width="15.5703125" style="1" customWidth="1"/>
    <col min="3" max="3" width="20.42578125" style="1" customWidth="1"/>
    <col min="4" max="4" width="13" style="1" customWidth="1"/>
    <col min="5" max="5" width="15.28515625" style="1" customWidth="1"/>
    <col min="6" max="6" width="10.28515625" style="1" customWidth="1"/>
    <col min="7" max="7" width="20.5703125" style="1" customWidth="1"/>
    <col min="8" max="8" width="14.140625" style="1" customWidth="1"/>
    <col min="9" max="9" width="14" style="1" customWidth="1"/>
    <col min="10" max="10" width="17.42578125" style="1" customWidth="1"/>
    <col min="11" max="11" width="12.85546875" style="1" customWidth="1"/>
    <col min="12" max="12" width="12.7109375" style="1" customWidth="1"/>
    <col min="13" max="13" width="12.140625" style="1" customWidth="1"/>
    <col min="14" max="14" width="13" style="1" customWidth="1"/>
    <col min="15" max="15" width="13.140625" style="1" customWidth="1"/>
    <col min="16" max="16" width="19.28515625" style="1" customWidth="1"/>
    <col min="17" max="17" width="18.140625" style="1" customWidth="1"/>
    <col min="18" max="18" width="16.28515625" style="1" customWidth="1"/>
    <col min="19" max="19" width="16" style="1" customWidth="1"/>
    <col min="20" max="20" width="26.7109375" style="1" customWidth="1"/>
    <col min="21" max="22" width="11.42578125" style="1"/>
    <col min="23" max="23" width="12.7109375" style="1" customWidth="1"/>
    <col min="24" max="24" width="13.140625" style="1" customWidth="1"/>
    <col min="25" max="25" width="11.7109375" style="1" customWidth="1"/>
    <col min="26" max="27" width="11.42578125" style="1"/>
    <col min="28" max="29" width="16.140625" style="1" customWidth="1"/>
    <col min="30" max="30" width="30.855468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1986</v>
      </c>
      <c r="D5" s="24"/>
      <c r="E5" s="24"/>
      <c r="F5" s="24"/>
      <c r="G5" s="24"/>
      <c r="H5" s="24"/>
      <c r="I5" s="292"/>
      <c r="J5" s="292"/>
      <c r="K5" s="24"/>
      <c r="L5" s="292"/>
      <c r="M5" s="292"/>
      <c r="N5" s="292"/>
      <c r="O5" s="292"/>
      <c r="P5" s="292"/>
      <c r="Q5" s="285"/>
      <c r="R5" s="285"/>
      <c r="S5" s="285"/>
      <c r="T5" s="285"/>
      <c r="U5" s="285"/>
      <c r="V5" s="285"/>
      <c r="W5" s="285"/>
      <c r="X5" s="285"/>
      <c r="Y5" s="285"/>
      <c r="Z5" s="285"/>
      <c r="AA5" s="285"/>
      <c r="AB5" s="285"/>
      <c r="AC5" s="285"/>
      <c r="AD5" s="285"/>
    </row>
    <row r="7" spans="1:42" s="294" customFormat="1" ht="24" customHeight="1" x14ac:dyDescent="0.2">
      <c r="A7" s="633" t="s">
        <v>6</v>
      </c>
      <c r="B7" s="633" t="s">
        <v>7</v>
      </c>
      <c r="C7" s="633" t="s">
        <v>8</v>
      </c>
      <c r="D7" s="633" t="s">
        <v>9</v>
      </c>
      <c r="E7" s="633" t="s">
        <v>11</v>
      </c>
      <c r="F7" s="633" t="s">
        <v>12</v>
      </c>
      <c r="G7" s="633" t="s">
        <v>13</v>
      </c>
      <c r="H7" s="633" t="s">
        <v>62</v>
      </c>
      <c r="I7" s="669" t="s">
        <v>63</v>
      </c>
      <c r="J7" s="669" t="s">
        <v>64</v>
      </c>
      <c r="K7" s="633" t="s">
        <v>65</v>
      </c>
      <c r="L7" s="669" t="s">
        <v>66</v>
      </c>
      <c r="M7" s="669" t="s">
        <v>67</v>
      </c>
      <c r="N7" s="633" t="s">
        <v>68</v>
      </c>
      <c r="O7" s="669" t="s">
        <v>69</v>
      </c>
      <c r="P7" s="669" t="s">
        <v>70</v>
      </c>
      <c r="Q7" s="633" t="s">
        <v>71</v>
      </c>
      <c r="R7" s="633" t="s">
        <v>72</v>
      </c>
      <c r="S7" s="633" t="s">
        <v>73</v>
      </c>
      <c r="T7" s="638" t="s">
        <v>74</v>
      </c>
      <c r="U7" s="639"/>
      <c r="V7" s="639"/>
      <c r="W7" s="639"/>
      <c r="X7" s="639"/>
      <c r="Y7" s="639"/>
      <c r="Z7" s="639"/>
      <c r="AA7" s="639"/>
      <c r="AB7" s="639"/>
      <c r="AC7" s="639"/>
      <c r="AD7" s="665" t="s">
        <v>22</v>
      </c>
      <c r="AE7" s="642" t="s">
        <v>75</v>
      </c>
      <c r="AF7" s="643"/>
      <c r="AG7" s="643"/>
      <c r="AH7" s="643"/>
      <c r="AI7" s="643"/>
      <c r="AJ7" s="643"/>
      <c r="AK7" s="643"/>
      <c r="AL7" s="643"/>
      <c r="AM7" s="643"/>
      <c r="AN7" s="643"/>
      <c r="AO7" s="643"/>
      <c r="AP7" s="644"/>
    </row>
    <row r="8" spans="1:42" ht="65.25" customHeight="1" x14ac:dyDescent="0.25">
      <c r="A8" s="634"/>
      <c r="B8" s="634"/>
      <c r="C8" s="634"/>
      <c r="D8" s="634"/>
      <c r="E8" s="634"/>
      <c r="F8" s="634"/>
      <c r="G8" s="634"/>
      <c r="H8" s="634"/>
      <c r="I8" s="679"/>
      <c r="J8" s="679"/>
      <c r="K8" s="634"/>
      <c r="L8" s="679"/>
      <c r="M8" s="679"/>
      <c r="N8" s="634"/>
      <c r="O8" s="679"/>
      <c r="P8" s="679"/>
      <c r="Q8" s="634"/>
      <c r="R8" s="634"/>
      <c r="S8" s="637"/>
      <c r="T8" s="295" t="s">
        <v>76</v>
      </c>
      <c r="U8" s="295" t="s">
        <v>77</v>
      </c>
      <c r="V8" s="295" t="s">
        <v>78</v>
      </c>
      <c r="W8" s="296" t="s">
        <v>79</v>
      </c>
      <c r="X8" s="296" t="s">
        <v>80</v>
      </c>
      <c r="Y8" s="296" t="s">
        <v>81</v>
      </c>
      <c r="Z8" s="31" t="s">
        <v>82</v>
      </c>
      <c r="AA8" s="297" t="s">
        <v>83</v>
      </c>
      <c r="AB8" s="296" t="s">
        <v>84</v>
      </c>
      <c r="AC8" s="31" t="s">
        <v>85</v>
      </c>
      <c r="AD8" s="666"/>
      <c r="AE8" s="298" t="s">
        <v>86</v>
      </c>
      <c r="AF8" s="298" t="s">
        <v>87</v>
      </c>
      <c r="AG8" s="298" t="s">
        <v>88</v>
      </c>
      <c r="AH8" s="298" t="s">
        <v>89</v>
      </c>
      <c r="AI8" s="298" t="s">
        <v>90</v>
      </c>
      <c r="AJ8" s="298" t="s">
        <v>91</v>
      </c>
      <c r="AK8" s="298" t="s">
        <v>92</v>
      </c>
      <c r="AL8" s="298" t="s">
        <v>93</v>
      </c>
      <c r="AM8" s="298" t="s">
        <v>94</v>
      </c>
      <c r="AN8" s="298" t="s">
        <v>95</v>
      </c>
      <c r="AO8" s="298" t="s">
        <v>96</v>
      </c>
      <c r="AP8" s="298" t="s">
        <v>97</v>
      </c>
    </row>
    <row r="9" spans="1:42" ht="90.75" customHeight="1" x14ac:dyDescent="0.25">
      <c r="A9" s="336" t="s">
        <v>55</v>
      </c>
      <c r="B9" s="336" t="s">
        <v>343</v>
      </c>
      <c r="C9" s="336" t="s">
        <v>1987</v>
      </c>
      <c r="D9" s="336">
        <v>245210003</v>
      </c>
      <c r="E9" s="337">
        <v>2012050000041</v>
      </c>
      <c r="F9" s="336" t="s">
        <v>1989</v>
      </c>
      <c r="G9" s="336" t="s">
        <v>1990</v>
      </c>
      <c r="H9" s="338">
        <v>600000000</v>
      </c>
      <c r="I9" s="338">
        <v>603000000</v>
      </c>
      <c r="J9" s="338">
        <v>603000000</v>
      </c>
      <c r="K9" s="338">
        <v>0</v>
      </c>
      <c r="L9" s="338"/>
      <c r="M9" s="338"/>
      <c r="N9" s="338">
        <f>H9+K9</f>
        <v>600000000</v>
      </c>
      <c r="O9" s="338">
        <f>I9+L9</f>
        <v>603000000</v>
      </c>
      <c r="P9" s="338">
        <v>603000000</v>
      </c>
      <c r="Q9" s="338">
        <v>599721139</v>
      </c>
      <c r="R9" s="144"/>
      <c r="S9" s="338">
        <f>Q9+R9</f>
        <v>599721139</v>
      </c>
      <c r="T9" s="37">
        <v>0</v>
      </c>
      <c r="U9" s="37">
        <v>0</v>
      </c>
      <c r="V9" s="37">
        <v>0</v>
      </c>
      <c r="W9" s="336"/>
      <c r="X9" s="336"/>
      <c r="Y9" s="336"/>
      <c r="Z9" s="336"/>
      <c r="AA9" s="336">
        <v>0</v>
      </c>
      <c r="AB9" s="336"/>
      <c r="AC9" s="336"/>
      <c r="AD9" s="10"/>
      <c r="AE9" s="339">
        <v>0</v>
      </c>
      <c r="AF9" s="339">
        <v>0</v>
      </c>
      <c r="AG9" s="124">
        <v>0</v>
      </c>
      <c r="AH9" s="124">
        <v>0</v>
      </c>
      <c r="AI9" s="124">
        <v>0</v>
      </c>
      <c r="AJ9" s="124">
        <v>0</v>
      </c>
      <c r="AK9" s="124">
        <v>0</v>
      </c>
      <c r="AL9" s="124">
        <v>0</v>
      </c>
      <c r="AM9" s="124">
        <v>0</v>
      </c>
      <c r="AN9" s="124">
        <v>0</v>
      </c>
      <c r="AO9" s="124">
        <v>0</v>
      </c>
      <c r="AP9" s="124">
        <v>0</v>
      </c>
    </row>
    <row r="10" spans="1:42" ht="79.5" customHeight="1" x14ac:dyDescent="0.25">
      <c r="A10" s="336"/>
      <c r="B10" s="336"/>
      <c r="C10" s="336"/>
      <c r="D10" s="336"/>
      <c r="E10" s="336"/>
      <c r="F10" s="336"/>
      <c r="G10" s="336"/>
      <c r="H10" s="338"/>
      <c r="I10" s="39"/>
      <c r="J10" s="39"/>
      <c r="K10" s="39"/>
      <c r="L10" s="39"/>
      <c r="M10" s="39"/>
      <c r="N10" s="338">
        <f t="shared" ref="N10:P15" si="0">H10+K10</f>
        <v>0</v>
      </c>
      <c r="O10" s="338">
        <f t="shared" si="0"/>
        <v>0</v>
      </c>
      <c r="P10" s="338">
        <f t="shared" si="0"/>
        <v>0</v>
      </c>
      <c r="Q10" s="338"/>
      <c r="R10" s="338"/>
      <c r="S10" s="338">
        <f t="shared" ref="S10:S15" si="1">Q10+R10</f>
        <v>0</v>
      </c>
      <c r="T10" s="336" t="s">
        <v>1995</v>
      </c>
      <c r="U10" s="340" t="s">
        <v>1996</v>
      </c>
      <c r="V10" s="340">
        <v>150000</v>
      </c>
      <c r="W10" s="341">
        <v>0</v>
      </c>
      <c r="X10" s="210">
        <v>165948</v>
      </c>
      <c r="Y10" s="210">
        <v>0</v>
      </c>
      <c r="Z10" s="210">
        <v>165948</v>
      </c>
      <c r="AA10" s="341">
        <v>90</v>
      </c>
      <c r="AB10" s="210">
        <v>90</v>
      </c>
      <c r="AC10" s="81">
        <v>90</v>
      </c>
      <c r="AD10" s="10" t="s">
        <v>1997</v>
      </c>
      <c r="AE10" s="339"/>
      <c r="AF10" s="339" t="s">
        <v>218</v>
      </c>
      <c r="AG10" s="124" t="s">
        <v>102</v>
      </c>
      <c r="AH10" s="124" t="s">
        <v>102</v>
      </c>
      <c r="AI10" s="124"/>
      <c r="AJ10" s="124"/>
      <c r="AK10" s="124"/>
      <c r="AL10" s="124"/>
      <c r="AM10" s="124"/>
      <c r="AN10" s="124"/>
      <c r="AO10" s="124"/>
      <c r="AP10" s="124"/>
    </row>
    <row r="11" spans="1:42" ht="55.5" customHeight="1" x14ac:dyDescent="0.25">
      <c r="A11" s="336"/>
      <c r="B11" s="336"/>
      <c r="C11" s="336"/>
      <c r="D11" s="336"/>
      <c r="E11" s="336"/>
      <c r="F11" s="336"/>
      <c r="G11" s="336"/>
      <c r="H11" s="338"/>
      <c r="I11" s="39"/>
      <c r="J11" s="39"/>
      <c r="K11" s="39"/>
      <c r="L11" s="39"/>
      <c r="M11" s="39"/>
      <c r="N11" s="338">
        <f t="shared" si="0"/>
        <v>0</v>
      </c>
      <c r="O11" s="338">
        <f t="shared" si="0"/>
        <v>0</v>
      </c>
      <c r="P11" s="338">
        <f t="shared" si="0"/>
        <v>0</v>
      </c>
      <c r="Q11" s="338"/>
      <c r="R11" s="338"/>
      <c r="S11" s="338">
        <f t="shared" si="1"/>
        <v>0</v>
      </c>
      <c r="T11" s="336" t="s">
        <v>1998</v>
      </c>
      <c r="U11" s="340" t="s">
        <v>941</v>
      </c>
      <c r="V11" s="340">
        <v>3</v>
      </c>
      <c r="W11" s="341">
        <v>1</v>
      </c>
      <c r="X11" s="81"/>
      <c r="Y11" s="81">
        <v>1</v>
      </c>
      <c r="Z11" s="81">
        <v>1</v>
      </c>
      <c r="AA11" s="341">
        <v>360</v>
      </c>
      <c r="AB11" s="81"/>
      <c r="AC11" s="81">
        <v>360</v>
      </c>
      <c r="AD11" s="10" t="s">
        <v>1999</v>
      </c>
      <c r="AE11" s="339" t="s">
        <v>218</v>
      </c>
      <c r="AF11" s="339" t="s">
        <v>218</v>
      </c>
      <c r="AG11" s="124" t="s">
        <v>218</v>
      </c>
      <c r="AH11" s="124" t="s">
        <v>218</v>
      </c>
      <c r="AI11" s="124" t="s">
        <v>218</v>
      </c>
      <c r="AJ11" s="124" t="s">
        <v>218</v>
      </c>
      <c r="AK11" s="124" t="s">
        <v>218</v>
      </c>
      <c r="AL11" s="124" t="s">
        <v>218</v>
      </c>
      <c r="AM11" s="124" t="s">
        <v>218</v>
      </c>
      <c r="AN11" s="124" t="s">
        <v>218</v>
      </c>
      <c r="AO11" s="124" t="s">
        <v>218</v>
      </c>
      <c r="AP11" s="124" t="s">
        <v>218</v>
      </c>
    </row>
    <row r="12" spans="1:42" ht="43.5" customHeight="1" x14ac:dyDescent="0.25">
      <c r="A12" s="336"/>
      <c r="B12" s="336"/>
      <c r="C12" s="336"/>
      <c r="D12" s="336"/>
      <c r="E12" s="336"/>
      <c r="F12" s="336"/>
      <c r="G12" s="336"/>
      <c r="H12" s="338"/>
      <c r="I12" s="39"/>
      <c r="J12" s="39"/>
      <c r="K12" s="39"/>
      <c r="L12" s="39"/>
      <c r="M12" s="39"/>
      <c r="N12" s="338">
        <f t="shared" si="0"/>
        <v>0</v>
      </c>
      <c r="O12" s="338">
        <f t="shared" si="0"/>
        <v>0</v>
      </c>
      <c r="P12" s="338">
        <f t="shared" si="0"/>
        <v>0</v>
      </c>
      <c r="Q12" s="338"/>
      <c r="R12" s="338"/>
      <c r="S12" s="338">
        <f t="shared" si="1"/>
        <v>0</v>
      </c>
      <c r="T12" s="336" t="s">
        <v>2000</v>
      </c>
      <c r="U12" s="340" t="s">
        <v>1996</v>
      </c>
      <c r="V12" s="340">
        <v>3</v>
      </c>
      <c r="W12" s="341">
        <v>3</v>
      </c>
      <c r="X12" s="81"/>
      <c r="Y12" s="81"/>
      <c r="Z12" s="81">
        <v>3</v>
      </c>
      <c r="AA12" s="341">
        <v>90</v>
      </c>
      <c r="AB12" s="81">
        <f>3*30</f>
        <v>90</v>
      </c>
      <c r="AC12" s="81">
        <v>240</v>
      </c>
      <c r="AD12" s="10" t="s">
        <v>2001</v>
      </c>
      <c r="AE12" s="339"/>
      <c r="AF12" s="339"/>
      <c r="AG12" s="124" t="s">
        <v>102</v>
      </c>
      <c r="AH12" s="124" t="s">
        <v>102</v>
      </c>
      <c r="AI12" s="124" t="s">
        <v>102</v>
      </c>
      <c r="AJ12" s="124"/>
      <c r="AK12" s="124"/>
      <c r="AL12" s="124"/>
      <c r="AM12" s="124"/>
      <c r="AN12" s="124"/>
      <c r="AO12" s="124"/>
      <c r="AP12" s="124"/>
    </row>
    <row r="13" spans="1:42" ht="108" customHeight="1" x14ac:dyDescent="0.25">
      <c r="A13" s="336"/>
      <c r="B13" s="336"/>
      <c r="C13" s="336"/>
      <c r="D13" s="336"/>
      <c r="E13" s="336"/>
      <c r="F13" s="336"/>
      <c r="G13" s="336"/>
      <c r="H13" s="338"/>
      <c r="I13" s="39"/>
      <c r="J13" s="39"/>
      <c r="K13" s="39"/>
      <c r="L13" s="39"/>
      <c r="M13" s="39"/>
      <c r="N13" s="338">
        <f t="shared" si="0"/>
        <v>0</v>
      </c>
      <c r="O13" s="338">
        <f t="shared" si="0"/>
        <v>0</v>
      </c>
      <c r="P13" s="338">
        <f t="shared" si="0"/>
        <v>0</v>
      </c>
      <c r="Q13" s="338"/>
      <c r="R13" s="338"/>
      <c r="S13" s="338">
        <f t="shared" si="1"/>
        <v>0</v>
      </c>
      <c r="T13" s="336" t="s">
        <v>2002</v>
      </c>
      <c r="U13" s="340" t="s">
        <v>941</v>
      </c>
      <c r="V13" s="340">
        <v>3</v>
      </c>
      <c r="W13" s="341">
        <v>2</v>
      </c>
      <c r="X13" s="81"/>
      <c r="Y13" s="81">
        <v>2</v>
      </c>
      <c r="Z13" s="81">
        <v>2</v>
      </c>
      <c r="AA13" s="341">
        <v>300</v>
      </c>
      <c r="AB13" s="81">
        <f>30*6</f>
        <v>180</v>
      </c>
      <c r="AC13" s="81">
        <v>300</v>
      </c>
      <c r="AD13" s="10" t="s">
        <v>2003</v>
      </c>
      <c r="AE13" s="339"/>
      <c r="AF13" s="339" t="s">
        <v>102</v>
      </c>
      <c r="AG13" s="124" t="s">
        <v>102</v>
      </c>
      <c r="AH13" s="124" t="s">
        <v>102</v>
      </c>
      <c r="AI13" s="124" t="s">
        <v>102</v>
      </c>
      <c r="AJ13" s="124" t="s">
        <v>102</v>
      </c>
      <c r="AK13" s="124" t="s">
        <v>102</v>
      </c>
      <c r="AL13" s="124" t="s">
        <v>102</v>
      </c>
      <c r="AM13" s="124" t="s">
        <v>102</v>
      </c>
      <c r="AN13" s="124" t="s">
        <v>102</v>
      </c>
      <c r="AO13" s="124" t="s">
        <v>102</v>
      </c>
      <c r="AP13" s="124"/>
    </row>
    <row r="14" spans="1:42" ht="165" customHeight="1" x14ac:dyDescent="0.25">
      <c r="A14" s="336"/>
      <c r="B14" s="336"/>
      <c r="C14" s="336"/>
      <c r="D14" s="336"/>
      <c r="E14" s="336"/>
      <c r="F14" s="336"/>
      <c r="G14" s="336"/>
      <c r="H14" s="338"/>
      <c r="I14" s="39"/>
      <c r="J14" s="39"/>
      <c r="K14" s="39"/>
      <c r="L14" s="39"/>
      <c r="M14" s="39"/>
      <c r="N14" s="338">
        <f t="shared" si="0"/>
        <v>0</v>
      </c>
      <c r="O14" s="338">
        <f t="shared" si="0"/>
        <v>0</v>
      </c>
      <c r="P14" s="338">
        <f t="shared" si="0"/>
        <v>0</v>
      </c>
      <c r="Q14" s="338"/>
      <c r="R14" s="338"/>
      <c r="S14" s="338">
        <f t="shared" si="1"/>
        <v>0</v>
      </c>
      <c r="T14" s="336" t="s">
        <v>2004</v>
      </c>
      <c r="U14" s="340" t="s">
        <v>941</v>
      </c>
      <c r="V14" s="340">
        <v>50</v>
      </c>
      <c r="W14" s="341">
        <v>81</v>
      </c>
      <c r="X14" s="81">
        <v>81</v>
      </c>
      <c r="Y14" s="81">
        <v>81</v>
      </c>
      <c r="Z14" s="81">
        <v>81</v>
      </c>
      <c r="AA14" s="341">
        <v>240</v>
      </c>
      <c r="AB14" s="341">
        <v>10</v>
      </c>
      <c r="AC14" s="81">
        <v>240</v>
      </c>
      <c r="AD14" s="10" t="s">
        <v>2005</v>
      </c>
      <c r="AE14" s="339"/>
      <c r="AF14" s="339" t="s">
        <v>102</v>
      </c>
      <c r="AG14" s="124" t="s">
        <v>102</v>
      </c>
      <c r="AH14" s="124" t="s">
        <v>102</v>
      </c>
      <c r="AI14" s="124" t="s">
        <v>102</v>
      </c>
      <c r="AJ14" s="124" t="s">
        <v>102</v>
      </c>
      <c r="AK14" s="124" t="s">
        <v>102</v>
      </c>
      <c r="AL14" s="124" t="s">
        <v>102</v>
      </c>
      <c r="AM14" s="124" t="s">
        <v>102</v>
      </c>
      <c r="AN14" s="124"/>
      <c r="AO14" s="124"/>
      <c r="AP14" s="124"/>
    </row>
    <row r="15" spans="1:42" ht="311.25" customHeight="1" x14ac:dyDescent="0.25">
      <c r="A15" s="336"/>
      <c r="B15" s="336"/>
      <c r="C15" s="336"/>
      <c r="D15" s="336"/>
      <c r="E15" s="336"/>
      <c r="F15" s="336"/>
      <c r="G15" s="336"/>
      <c r="H15" s="338"/>
      <c r="I15" s="39"/>
      <c r="J15" s="39"/>
      <c r="K15" s="39"/>
      <c r="L15" s="39"/>
      <c r="M15" s="39"/>
      <c r="N15" s="338">
        <f t="shared" si="0"/>
        <v>0</v>
      </c>
      <c r="O15" s="338">
        <f t="shared" si="0"/>
        <v>0</v>
      </c>
      <c r="P15" s="338">
        <f t="shared" si="0"/>
        <v>0</v>
      </c>
      <c r="Q15" s="338"/>
      <c r="R15" s="338"/>
      <c r="S15" s="338">
        <f t="shared" si="1"/>
        <v>0</v>
      </c>
      <c r="T15" s="336" t="s">
        <v>2006</v>
      </c>
      <c r="U15" s="340" t="s">
        <v>1996</v>
      </c>
      <c r="V15" s="340">
        <v>20</v>
      </c>
      <c r="W15" s="341">
        <v>17</v>
      </c>
      <c r="X15" s="81"/>
      <c r="Y15" s="81">
        <v>5</v>
      </c>
      <c r="Z15" s="342">
        <v>16</v>
      </c>
      <c r="AA15" s="341">
        <v>330</v>
      </c>
      <c r="AB15" s="81">
        <f>30*6</f>
        <v>180</v>
      </c>
      <c r="AC15" s="81">
        <v>330</v>
      </c>
      <c r="AD15" s="10" t="s">
        <v>2007</v>
      </c>
      <c r="AE15" s="339"/>
      <c r="AF15" s="339" t="s">
        <v>102</v>
      </c>
      <c r="AG15" s="124" t="s">
        <v>102</v>
      </c>
      <c r="AH15" s="124" t="s">
        <v>102</v>
      </c>
      <c r="AI15" s="124" t="s">
        <v>102</v>
      </c>
      <c r="AJ15" s="124" t="s">
        <v>102</v>
      </c>
      <c r="AK15" s="124" t="s">
        <v>102</v>
      </c>
      <c r="AL15" s="124" t="s">
        <v>102</v>
      </c>
      <c r="AM15" s="124" t="s">
        <v>102</v>
      </c>
      <c r="AN15" s="124" t="s">
        <v>102</v>
      </c>
      <c r="AO15" s="124" t="s">
        <v>102</v>
      </c>
      <c r="AP15" s="124" t="s">
        <v>102</v>
      </c>
    </row>
    <row r="16" spans="1:42" ht="25.5" x14ac:dyDescent="0.25">
      <c r="A16" s="336"/>
      <c r="B16" s="336"/>
      <c r="C16" s="336"/>
      <c r="D16" s="336"/>
      <c r="E16" s="336"/>
      <c r="F16" s="336"/>
      <c r="G16" s="336"/>
      <c r="H16" s="336"/>
      <c r="I16" s="10"/>
      <c r="J16" s="10"/>
      <c r="K16" s="10"/>
      <c r="L16" s="10"/>
      <c r="M16" s="10"/>
      <c r="N16" s="336"/>
      <c r="O16" s="10"/>
      <c r="P16" s="10"/>
      <c r="Q16" s="10"/>
      <c r="R16" s="10"/>
      <c r="S16" s="10"/>
      <c r="T16" s="343" t="s">
        <v>2008</v>
      </c>
      <c r="U16" s="77" t="s">
        <v>1996</v>
      </c>
      <c r="V16" s="77">
        <v>1</v>
      </c>
      <c r="W16" s="81">
        <v>1</v>
      </c>
      <c r="X16" s="81"/>
      <c r="Y16" s="81"/>
      <c r="Z16" s="81"/>
      <c r="AA16" s="341">
        <f>30*6</f>
        <v>180</v>
      </c>
      <c r="AB16" s="81">
        <v>180</v>
      </c>
      <c r="AC16" s="81"/>
      <c r="AD16" s="10"/>
      <c r="AE16" s="339" t="s">
        <v>102</v>
      </c>
      <c r="AF16" s="339" t="s">
        <v>102</v>
      </c>
      <c r="AG16" s="124" t="s">
        <v>102</v>
      </c>
      <c r="AH16" s="124" t="s">
        <v>102</v>
      </c>
      <c r="AI16" s="124" t="s">
        <v>102</v>
      </c>
      <c r="AJ16" s="124" t="s">
        <v>102</v>
      </c>
      <c r="AK16" s="124"/>
      <c r="AL16" s="124"/>
      <c r="AM16" s="124"/>
      <c r="AN16" s="124"/>
      <c r="AO16" s="124"/>
      <c r="AP16" s="124"/>
    </row>
    <row r="17" spans="1:42" ht="89.25" x14ac:dyDescent="0.25">
      <c r="A17" s="336"/>
      <c r="B17" s="336"/>
      <c r="C17" s="336"/>
      <c r="D17" s="336"/>
      <c r="E17" s="336"/>
      <c r="F17" s="336"/>
      <c r="G17" s="336"/>
      <c r="H17" s="336"/>
      <c r="I17" s="10"/>
      <c r="J17" s="10"/>
      <c r="K17" s="10"/>
      <c r="L17" s="10"/>
      <c r="M17" s="10"/>
      <c r="N17" s="336"/>
      <c r="O17" s="10"/>
      <c r="P17" s="10"/>
      <c r="Q17" s="144">
        <v>603000000</v>
      </c>
      <c r="R17" s="10"/>
      <c r="S17" s="10"/>
      <c r="T17" s="343" t="s">
        <v>2009</v>
      </c>
      <c r="U17" s="77" t="s">
        <v>1996</v>
      </c>
      <c r="V17" s="77">
        <v>1</v>
      </c>
      <c r="W17" s="81">
        <v>1</v>
      </c>
      <c r="X17" s="81"/>
      <c r="Y17" s="81"/>
      <c r="Z17" s="101"/>
      <c r="AA17" s="341">
        <v>90</v>
      </c>
      <c r="AB17" s="81"/>
      <c r="AC17" s="81"/>
      <c r="AD17" s="10" t="s">
        <v>2010</v>
      </c>
      <c r="AE17" s="339"/>
      <c r="AF17" s="339"/>
      <c r="AG17" s="124"/>
      <c r="AH17" s="124"/>
      <c r="AI17" s="124"/>
      <c r="AJ17" s="124"/>
      <c r="AK17" s="124"/>
      <c r="AL17" s="124"/>
      <c r="AM17" s="124" t="s">
        <v>102</v>
      </c>
      <c r="AN17" s="124" t="s">
        <v>102</v>
      </c>
      <c r="AO17" s="124" t="s">
        <v>102</v>
      </c>
      <c r="AP17" s="124"/>
    </row>
    <row r="18" spans="1:42" x14ac:dyDescent="0.25">
      <c r="A18" s="344"/>
      <c r="B18" s="344"/>
      <c r="C18" s="344"/>
      <c r="D18" s="344"/>
      <c r="E18" s="344"/>
      <c r="F18" s="344"/>
      <c r="G18" s="344"/>
      <c r="H18" s="344"/>
      <c r="I18" s="335"/>
      <c r="J18" s="335"/>
      <c r="K18" s="335"/>
      <c r="L18" s="335"/>
      <c r="M18" s="335"/>
      <c r="N18" s="345"/>
      <c r="O18" s="335"/>
      <c r="P18" s="335"/>
      <c r="Q18" s="335"/>
      <c r="R18" s="335"/>
      <c r="S18" s="335"/>
      <c r="T18" s="346"/>
      <c r="U18" s="346"/>
      <c r="V18" s="346"/>
      <c r="W18" s="335"/>
      <c r="X18" s="335"/>
      <c r="Y18" s="335"/>
      <c r="Z18" s="335"/>
      <c r="AA18" s="345"/>
      <c r="AB18" s="335"/>
      <c r="AC18" s="335"/>
      <c r="AD18" s="335"/>
      <c r="AE18" s="335"/>
      <c r="AF18" s="335"/>
      <c r="AG18" s="249"/>
      <c r="AH18" s="249"/>
      <c r="AI18" s="249"/>
      <c r="AJ18" s="249"/>
      <c r="AK18" s="249"/>
      <c r="AL18" s="249"/>
      <c r="AM18" s="249"/>
      <c r="AN18" s="249"/>
      <c r="AO18" s="249"/>
      <c r="AP18" s="249"/>
    </row>
    <row r="19" spans="1:42" x14ac:dyDescent="0.25">
      <c r="A19" s="344"/>
      <c r="B19" s="344"/>
      <c r="C19" s="344"/>
      <c r="D19" s="344"/>
      <c r="E19" s="344"/>
      <c r="F19" s="344"/>
      <c r="G19" s="344"/>
      <c r="H19" s="344"/>
      <c r="I19" s="335"/>
      <c r="J19" s="335"/>
      <c r="K19" s="335"/>
      <c r="L19" s="335"/>
      <c r="M19" s="335"/>
      <c r="N19" s="345"/>
      <c r="O19" s="335"/>
      <c r="P19" s="335"/>
      <c r="Q19" s="335"/>
      <c r="R19" s="335"/>
      <c r="S19" s="335"/>
      <c r="T19" s="346"/>
      <c r="U19" s="346"/>
      <c r="V19" s="346"/>
      <c r="W19" s="335"/>
      <c r="X19" s="335"/>
      <c r="Y19" s="335"/>
      <c r="Z19" s="335"/>
      <c r="AA19" s="345"/>
      <c r="AB19" s="335"/>
      <c r="AC19" s="335"/>
      <c r="AD19" s="335"/>
      <c r="AE19" s="335"/>
      <c r="AF19" s="335"/>
      <c r="AG19" s="249"/>
      <c r="AH19" s="249"/>
      <c r="AI19" s="249"/>
      <c r="AJ19" s="249"/>
      <c r="AK19" s="249"/>
      <c r="AL19" s="249"/>
      <c r="AM19" s="249"/>
      <c r="AN19" s="249"/>
      <c r="AO19" s="249"/>
      <c r="AP19" s="249"/>
    </row>
    <row r="20" spans="1:42" x14ac:dyDescent="0.25">
      <c r="A20" s="344"/>
      <c r="B20" s="344"/>
      <c r="C20" s="344"/>
      <c r="D20" s="344"/>
      <c r="E20" s="344"/>
      <c r="F20" s="344"/>
      <c r="G20" s="344"/>
      <c r="H20" s="344"/>
      <c r="I20" s="335"/>
      <c r="J20" s="335"/>
      <c r="K20" s="335"/>
      <c r="L20" s="335"/>
      <c r="M20" s="335"/>
      <c r="N20" s="345"/>
      <c r="O20" s="335"/>
      <c r="P20" s="335"/>
      <c r="Q20" s="335"/>
      <c r="R20" s="335"/>
      <c r="S20" s="335"/>
      <c r="T20" s="346"/>
      <c r="U20" s="346"/>
      <c r="V20" s="346"/>
      <c r="W20" s="335"/>
      <c r="X20" s="335"/>
      <c r="Y20" s="335"/>
      <c r="Z20" s="335"/>
      <c r="AA20" s="345"/>
      <c r="AB20" s="335"/>
      <c r="AC20" s="335"/>
      <c r="AD20" s="335"/>
      <c r="AE20" s="335"/>
      <c r="AF20" s="335"/>
      <c r="AG20" s="249"/>
      <c r="AH20" s="249"/>
      <c r="AI20" s="249"/>
      <c r="AJ20" s="249"/>
      <c r="AK20" s="249"/>
      <c r="AL20" s="249"/>
      <c r="AM20" s="249"/>
      <c r="AN20" s="249"/>
      <c r="AO20" s="249"/>
      <c r="AP20" s="249"/>
    </row>
    <row r="21" spans="1:42" x14ac:dyDescent="0.25">
      <c r="A21" s="344"/>
      <c r="B21" s="344"/>
      <c r="C21" s="344"/>
      <c r="D21" s="344"/>
      <c r="E21" s="344"/>
      <c r="F21" s="344"/>
      <c r="G21" s="344"/>
      <c r="H21" s="344"/>
      <c r="I21" s="335"/>
      <c r="J21" s="335"/>
      <c r="K21" s="335"/>
      <c r="L21" s="335"/>
      <c r="M21" s="335"/>
      <c r="N21" s="345"/>
      <c r="O21" s="335"/>
      <c r="P21" s="335"/>
      <c r="Q21" s="335"/>
      <c r="R21" s="335"/>
      <c r="S21" s="335"/>
      <c r="T21" s="346"/>
      <c r="U21" s="346"/>
      <c r="V21" s="346"/>
      <c r="W21" s="335"/>
      <c r="X21" s="335"/>
      <c r="Y21" s="335"/>
      <c r="Z21" s="335"/>
      <c r="AA21" s="345"/>
      <c r="AB21" s="335"/>
      <c r="AC21" s="335"/>
      <c r="AD21" s="335"/>
      <c r="AE21" s="335"/>
      <c r="AF21" s="335"/>
      <c r="AG21" s="249"/>
      <c r="AH21" s="249"/>
      <c r="AI21" s="249"/>
      <c r="AJ21" s="249"/>
      <c r="AK21" s="249"/>
      <c r="AL21" s="249"/>
      <c r="AM21" s="249"/>
      <c r="AN21" s="249"/>
      <c r="AO21" s="249"/>
      <c r="AP21" s="249"/>
    </row>
    <row r="22" spans="1:42" x14ac:dyDescent="0.25">
      <c r="A22" s="344"/>
      <c r="B22" s="344"/>
      <c r="C22" s="344"/>
      <c r="D22" s="344"/>
      <c r="E22" s="344"/>
      <c r="F22" s="344"/>
      <c r="G22" s="344"/>
      <c r="H22" s="344"/>
      <c r="I22" s="335"/>
      <c r="J22" s="335"/>
      <c r="K22" s="335"/>
      <c r="L22" s="335"/>
      <c r="M22" s="335"/>
      <c r="N22" s="345"/>
      <c r="O22" s="335"/>
      <c r="P22" s="335"/>
      <c r="Q22" s="335"/>
      <c r="R22" s="335"/>
      <c r="S22" s="335"/>
      <c r="T22" s="346"/>
      <c r="U22" s="346"/>
      <c r="V22" s="346"/>
      <c r="W22" s="335"/>
      <c r="X22" s="335"/>
      <c r="Y22" s="335"/>
      <c r="Z22" s="335"/>
      <c r="AA22" s="345"/>
      <c r="AB22" s="335"/>
      <c r="AC22" s="335"/>
      <c r="AD22" s="335"/>
      <c r="AE22" s="335"/>
      <c r="AF22" s="335"/>
      <c r="AG22" s="249"/>
      <c r="AH22" s="249"/>
      <c r="AI22" s="249"/>
      <c r="AJ22" s="249"/>
      <c r="AK22" s="249"/>
      <c r="AL22" s="249"/>
      <c r="AM22" s="249"/>
      <c r="AN22" s="249"/>
      <c r="AO22" s="249"/>
      <c r="AP22" s="249"/>
    </row>
    <row r="23" spans="1:42" x14ac:dyDescent="0.25">
      <c r="A23" s="344"/>
      <c r="B23" s="344"/>
      <c r="C23" s="344"/>
      <c r="D23" s="344"/>
      <c r="E23" s="344"/>
      <c r="F23" s="344"/>
      <c r="G23" s="344"/>
      <c r="H23" s="344"/>
      <c r="I23" s="335"/>
      <c r="J23" s="335"/>
      <c r="K23" s="335"/>
      <c r="L23" s="335"/>
      <c r="M23" s="335"/>
      <c r="N23" s="345"/>
      <c r="O23" s="335"/>
      <c r="P23" s="335"/>
      <c r="Q23" s="335"/>
      <c r="R23" s="335"/>
      <c r="S23" s="335"/>
      <c r="T23" s="346"/>
      <c r="U23" s="346"/>
      <c r="V23" s="346"/>
      <c r="W23" s="335"/>
      <c r="X23" s="335"/>
      <c r="Y23" s="335"/>
      <c r="Z23" s="335"/>
      <c r="AA23" s="345"/>
      <c r="AB23" s="335"/>
      <c r="AC23" s="335"/>
      <c r="AD23" s="335"/>
      <c r="AE23" s="335"/>
      <c r="AF23" s="335"/>
      <c r="AG23" s="249"/>
      <c r="AH23" s="249"/>
      <c r="AI23" s="249"/>
      <c r="AJ23" s="249"/>
      <c r="AK23" s="249"/>
      <c r="AL23" s="249"/>
      <c r="AM23" s="249"/>
      <c r="AN23" s="249"/>
      <c r="AO23" s="249"/>
      <c r="AP23" s="249"/>
    </row>
    <row r="24" spans="1:42" x14ac:dyDescent="0.25">
      <c r="A24" s="344"/>
      <c r="B24" s="344"/>
      <c r="C24" s="344"/>
      <c r="D24" s="344"/>
      <c r="E24" s="344"/>
      <c r="F24" s="344"/>
      <c r="G24" s="344"/>
      <c r="H24" s="344"/>
      <c r="I24" s="335"/>
      <c r="J24" s="335"/>
      <c r="K24" s="335"/>
      <c r="L24" s="335"/>
      <c r="M24" s="335"/>
      <c r="N24" s="345"/>
      <c r="O24" s="335"/>
      <c r="P24" s="335"/>
      <c r="Q24" s="335"/>
      <c r="R24" s="335"/>
      <c r="S24" s="335"/>
      <c r="T24" s="346"/>
      <c r="U24" s="346"/>
      <c r="V24" s="346"/>
      <c r="W24" s="335"/>
      <c r="X24" s="335"/>
      <c r="Y24" s="335"/>
      <c r="Z24" s="335"/>
      <c r="AA24" s="345"/>
      <c r="AB24" s="335"/>
      <c r="AC24" s="335"/>
      <c r="AD24" s="335"/>
      <c r="AE24" s="335"/>
      <c r="AF24" s="335"/>
      <c r="AG24" s="249"/>
      <c r="AH24" s="249"/>
      <c r="AI24" s="249"/>
      <c r="AJ24" s="249"/>
      <c r="AK24" s="249"/>
      <c r="AL24" s="249"/>
      <c r="AM24" s="249"/>
      <c r="AN24" s="249"/>
      <c r="AO24" s="249"/>
      <c r="AP24" s="249"/>
    </row>
    <row r="25" spans="1:42" x14ac:dyDescent="0.25">
      <c r="A25" s="344"/>
      <c r="B25" s="344"/>
      <c r="C25" s="344"/>
      <c r="D25" s="344"/>
      <c r="E25" s="344"/>
      <c r="F25" s="344"/>
      <c r="G25" s="344"/>
      <c r="H25" s="344"/>
      <c r="I25" s="335"/>
      <c r="J25" s="335"/>
      <c r="K25" s="335"/>
      <c r="L25" s="335"/>
      <c r="M25" s="335"/>
      <c r="N25" s="345"/>
      <c r="O25" s="335"/>
      <c r="P25" s="335"/>
      <c r="Q25" s="335"/>
      <c r="R25" s="335"/>
      <c r="S25" s="335"/>
      <c r="T25" s="346"/>
      <c r="U25" s="346"/>
      <c r="V25" s="346"/>
      <c r="W25" s="335"/>
      <c r="X25" s="335"/>
      <c r="Y25" s="335"/>
      <c r="Z25" s="335"/>
      <c r="AA25" s="345"/>
      <c r="AB25" s="335"/>
      <c r="AC25" s="335"/>
      <c r="AD25" s="335"/>
      <c r="AE25" s="335"/>
      <c r="AF25" s="335"/>
      <c r="AG25" s="249"/>
      <c r="AH25" s="249"/>
      <c r="AI25" s="249"/>
      <c r="AJ25" s="249"/>
      <c r="AK25" s="249"/>
      <c r="AL25" s="249"/>
      <c r="AM25" s="249"/>
      <c r="AN25" s="249"/>
      <c r="AO25" s="249"/>
      <c r="AP25" s="249"/>
    </row>
    <row r="26" spans="1:42" x14ac:dyDescent="0.25">
      <c r="A26" s="344"/>
      <c r="B26" s="344"/>
      <c r="C26" s="344"/>
      <c r="D26" s="344"/>
      <c r="E26" s="344"/>
      <c r="F26" s="344"/>
      <c r="G26" s="344"/>
      <c r="H26" s="344"/>
      <c r="I26" s="335"/>
      <c r="J26" s="335"/>
      <c r="K26" s="335"/>
      <c r="L26" s="335"/>
      <c r="M26" s="335"/>
      <c r="N26" s="345"/>
      <c r="O26" s="335"/>
      <c r="P26" s="335"/>
      <c r="Q26" s="335"/>
      <c r="R26" s="335"/>
      <c r="S26" s="335"/>
      <c r="T26" s="346"/>
      <c r="U26" s="346"/>
      <c r="V26" s="346"/>
      <c r="W26" s="335"/>
      <c r="X26" s="335"/>
      <c r="Y26" s="335"/>
      <c r="Z26" s="335"/>
      <c r="AA26" s="345"/>
      <c r="AB26" s="335"/>
      <c r="AC26" s="335"/>
      <c r="AD26" s="335"/>
      <c r="AE26" s="335"/>
      <c r="AF26" s="335"/>
      <c r="AG26" s="249"/>
      <c r="AH26" s="249"/>
      <c r="AI26" s="249"/>
      <c r="AJ26" s="249"/>
      <c r="AK26" s="249"/>
      <c r="AL26" s="249"/>
      <c r="AM26" s="249"/>
      <c r="AN26" s="249"/>
      <c r="AO26" s="249"/>
      <c r="AP26" s="249"/>
    </row>
    <row r="27" spans="1:42" x14ac:dyDescent="0.25">
      <c r="A27" s="344"/>
      <c r="B27" s="344"/>
      <c r="C27" s="344"/>
      <c r="D27" s="344"/>
      <c r="E27" s="344"/>
      <c r="F27" s="344"/>
      <c r="G27" s="344"/>
      <c r="H27" s="344"/>
      <c r="I27" s="335"/>
      <c r="J27" s="335"/>
      <c r="K27" s="335"/>
      <c r="L27" s="335"/>
      <c r="M27" s="335"/>
      <c r="N27" s="345"/>
      <c r="O27" s="335"/>
      <c r="P27" s="335"/>
      <c r="Q27" s="335"/>
      <c r="R27" s="335"/>
      <c r="S27" s="335"/>
      <c r="T27" s="346"/>
      <c r="U27" s="346"/>
      <c r="V27" s="346"/>
      <c r="W27" s="335"/>
      <c r="X27" s="335"/>
      <c r="Y27" s="335"/>
      <c r="Z27" s="335"/>
      <c r="AA27" s="345"/>
      <c r="AB27" s="335"/>
      <c r="AC27" s="335"/>
      <c r="AD27" s="335"/>
      <c r="AE27" s="335"/>
      <c r="AF27" s="335"/>
      <c r="AG27" s="249"/>
      <c r="AH27" s="249"/>
      <c r="AI27" s="249"/>
      <c r="AJ27" s="249"/>
      <c r="AK27" s="249"/>
      <c r="AL27" s="249"/>
      <c r="AM27" s="249"/>
      <c r="AN27" s="249"/>
      <c r="AO27" s="249"/>
      <c r="AP27" s="249"/>
    </row>
    <row r="28" spans="1:42" x14ac:dyDescent="0.25">
      <c r="A28" s="344"/>
      <c r="B28" s="344"/>
      <c r="C28" s="344"/>
      <c r="D28" s="344"/>
      <c r="E28" s="344"/>
      <c r="F28" s="344"/>
      <c r="G28" s="344"/>
      <c r="H28" s="344"/>
      <c r="I28" s="335"/>
      <c r="J28" s="335"/>
      <c r="K28" s="335"/>
      <c r="L28" s="335"/>
      <c r="M28" s="335"/>
      <c r="N28" s="345"/>
      <c r="O28" s="335"/>
      <c r="P28" s="335"/>
      <c r="Q28" s="335"/>
      <c r="R28" s="335"/>
      <c r="S28" s="335"/>
      <c r="T28" s="346"/>
      <c r="U28" s="346"/>
      <c r="V28" s="346"/>
      <c r="W28" s="335"/>
      <c r="X28" s="335"/>
      <c r="Y28" s="335"/>
      <c r="Z28" s="335"/>
      <c r="AA28" s="345"/>
      <c r="AB28" s="335"/>
      <c r="AC28" s="335"/>
      <c r="AD28" s="335"/>
      <c r="AE28" s="335"/>
      <c r="AF28" s="335"/>
      <c r="AG28" s="249"/>
      <c r="AH28" s="249"/>
      <c r="AI28" s="249"/>
      <c r="AJ28" s="249"/>
      <c r="AK28" s="249"/>
      <c r="AL28" s="249"/>
      <c r="AM28" s="249"/>
      <c r="AN28" s="249"/>
      <c r="AO28" s="249"/>
      <c r="AP28" s="249"/>
    </row>
    <row r="29" spans="1:42" x14ac:dyDescent="0.25">
      <c r="A29" s="344"/>
      <c r="B29" s="344"/>
      <c r="C29" s="344"/>
      <c r="D29" s="344"/>
      <c r="E29" s="344"/>
      <c r="F29" s="344"/>
      <c r="G29" s="344"/>
      <c r="H29" s="344"/>
      <c r="I29" s="335"/>
      <c r="J29" s="335"/>
      <c r="K29" s="335"/>
      <c r="L29" s="335"/>
      <c r="M29" s="335"/>
      <c r="N29" s="345"/>
      <c r="O29" s="335"/>
      <c r="P29" s="335"/>
      <c r="Q29" s="335"/>
      <c r="R29" s="335"/>
      <c r="S29" s="335"/>
      <c r="T29" s="346"/>
      <c r="U29" s="346"/>
      <c r="V29" s="346"/>
      <c r="W29" s="335"/>
      <c r="X29" s="335"/>
      <c r="Y29" s="335"/>
      <c r="Z29" s="335"/>
      <c r="AA29" s="345"/>
      <c r="AB29" s="335"/>
      <c r="AC29" s="335"/>
      <c r="AD29" s="335"/>
      <c r="AE29" s="335"/>
      <c r="AF29" s="335"/>
      <c r="AG29" s="249"/>
      <c r="AH29" s="249"/>
      <c r="AI29" s="249"/>
      <c r="AJ29" s="249"/>
      <c r="AK29" s="249"/>
      <c r="AL29" s="249"/>
      <c r="AM29" s="249"/>
      <c r="AN29" s="249"/>
      <c r="AO29" s="249"/>
      <c r="AP29" s="249"/>
    </row>
    <row r="30" spans="1:42" x14ac:dyDescent="0.25">
      <c r="A30" s="344"/>
      <c r="B30" s="344"/>
      <c r="C30" s="344"/>
      <c r="D30" s="344"/>
      <c r="E30" s="344"/>
      <c r="F30" s="344"/>
      <c r="G30" s="344"/>
      <c r="H30" s="344"/>
      <c r="I30" s="335"/>
      <c r="J30" s="335"/>
      <c r="K30" s="335"/>
      <c r="L30" s="335"/>
      <c r="M30" s="335"/>
      <c r="N30" s="345"/>
      <c r="O30" s="335"/>
      <c r="P30" s="335"/>
      <c r="Q30" s="335"/>
      <c r="R30" s="335"/>
      <c r="S30" s="335"/>
      <c r="T30" s="346"/>
      <c r="U30" s="346"/>
      <c r="V30" s="346"/>
      <c r="W30" s="335"/>
      <c r="X30" s="335"/>
      <c r="Y30" s="335"/>
      <c r="Z30" s="335"/>
      <c r="AA30" s="345"/>
      <c r="AB30" s="335"/>
      <c r="AC30" s="335"/>
      <c r="AD30" s="335"/>
      <c r="AE30" s="335"/>
      <c r="AF30" s="335"/>
      <c r="AG30" s="249"/>
      <c r="AH30" s="249"/>
      <c r="AI30" s="249"/>
      <c r="AJ30" s="249"/>
      <c r="AK30" s="249"/>
      <c r="AL30" s="249"/>
      <c r="AM30" s="249"/>
      <c r="AN30" s="249"/>
      <c r="AO30" s="249"/>
      <c r="AP30" s="249"/>
    </row>
    <row r="31" spans="1:42" x14ac:dyDescent="0.25">
      <c r="A31" s="344"/>
      <c r="B31" s="344"/>
      <c r="C31" s="344"/>
      <c r="D31" s="344"/>
      <c r="E31" s="344"/>
      <c r="F31" s="344"/>
      <c r="G31" s="344"/>
      <c r="H31" s="344"/>
      <c r="I31" s="335"/>
      <c r="J31" s="335"/>
      <c r="K31" s="335"/>
      <c r="L31" s="335"/>
      <c r="M31" s="335"/>
      <c r="N31" s="345"/>
      <c r="O31" s="335"/>
      <c r="P31" s="335"/>
      <c r="Q31" s="335"/>
      <c r="R31" s="335"/>
      <c r="S31" s="335"/>
      <c r="T31" s="346"/>
      <c r="U31" s="346"/>
      <c r="V31" s="346"/>
      <c r="W31" s="335"/>
      <c r="X31" s="335"/>
      <c r="Y31" s="335"/>
      <c r="Z31" s="335"/>
      <c r="AA31" s="345"/>
      <c r="AB31" s="335"/>
      <c r="AC31" s="335"/>
      <c r="AD31" s="335"/>
      <c r="AE31" s="335"/>
      <c r="AF31" s="335"/>
      <c r="AG31" s="249"/>
      <c r="AH31" s="249"/>
      <c r="AI31" s="249"/>
      <c r="AJ31" s="249"/>
      <c r="AK31" s="249"/>
      <c r="AL31" s="249"/>
      <c r="AM31" s="249"/>
      <c r="AN31" s="249"/>
      <c r="AO31" s="249"/>
      <c r="AP31" s="249"/>
    </row>
    <row r="32" spans="1:42" x14ac:dyDescent="0.25">
      <c r="A32" s="344"/>
      <c r="B32" s="344"/>
      <c r="C32" s="344"/>
      <c r="D32" s="344"/>
      <c r="E32" s="344"/>
      <c r="F32" s="344"/>
      <c r="G32" s="344"/>
      <c r="H32" s="344"/>
      <c r="I32" s="335"/>
      <c r="J32" s="335"/>
      <c r="K32" s="335"/>
      <c r="L32" s="335"/>
      <c r="M32" s="335"/>
      <c r="N32" s="345"/>
      <c r="O32" s="335"/>
      <c r="P32" s="335"/>
      <c r="Q32" s="335"/>
      <c r="R32" s="335"/>
      <c r="S32" s="335"/>
      <c r="T32" s="346"/>
      <c r="U32" s="346"/>
      <c r="V32" s="346"/>
      <c r="W32" s="335"/>
      <c r="X32" s="335"/>
      <c r="Y32" s="335"/>
      <c r="Z32" s="335"/>
      <c r="AA32" s="345"/>
      <c r="AB32" s="335"/>
      <c r="AC32" s="335"/>
      <c r="AD32" s="335"/>
      <c r="AE32" s="335"/>
      <c r="AF32" s="335"/>
      <c r="AG32" s="249"/>
      <c r="AH32" s="249"/>
      <c r="AI32" s="249"/>
      <c r="AJ32" s="249"/>
      <c r="AK32" s="249"/>
      <c r="AL32" s="249"/>
      <c r="AM32" s="249"/>
      <c r="AN32" s="249"/>
      <c r="AO32" s="249"/>
      <c r="AP32" s="249"/>
    </row>
    <row r="33" spans="1:42" x14ac:dyDescent="0.25">
      <c r="A33" s="344"/>
      <c r="B33" s="344"/>
      <c r="C33" s="344"/>
      <c r="D33" s="344"/>
      <c r="E33" s="344"/>
      <c r="F33" s="344"/>
      <c r="G33" s="344"/>
      <c r="H33" s="344"/>
      <c r="I33" s="335"/>
      <c r="J33" s="335"/>
      <c r="K33" s="335"/>
      <c r="L33" s="335"/>
      <c r="M33" s="335"/>
      <c r="N33" s="345"/>
      <c r="O33" s="335"/>
      <c r="P33" s="335"/>
      <c r="Q33" s="335"/>
      <c r="R33" s="335"/>
      <c r="S33" s="335"/>
      <c r="T33" s="346"/>
      <c r="U33" s="346"/>
      <c r="V33" s="346"/>
      <c r="W33" s="335"/>
      <c r="X33" s="335"/>
      <c r="Y33" s="335"/>
      <c r="Z33" s="335"/>
      <c r="AA33" s="345"/>
      <c r="AB33" s="335"/>
      <c r="AC33" s="335"/>
      <c r="AD33" s="335"/>
      <c r="AE33" s="335"/>
      <c r="AF33" s="335"/>
      <c r="AG33" s="249"/>
      <c r="AH33" s="249"/>
      <c r="AI33" s="249"/>
      <c r="AJ33" s="249"/>
      <c r="AK33" s="249"/>
      <c r="AL33" s="249"/>
      <c r="AM33" s="249"/>
      <c r="AN33" s="249"/>
      <c r="AO33" s="249"/>
      <c r="AP33" s="249"/>
    </row>
    <row r="34" spans="1:42" x14ac:dyDescent="0.25">
      <c r="A34" s="344"/>
      <c r="B34" s="344"/>
      <c r="C34" s="344"/>
      <c r="D34" s="344"/>
      <c r="E34" s="344"/>
      <c r="F34" s="344"/>
      <c r="G34" s="344"/>
      <c r="H34" s="344"/>
      <c r="I34" s="335"/>
      <c r="J34" s="335"/>
      <c r="K34" s="335"/>
      <c r="L34" s="335"/>
      <c r="M34" s="335"/>
      <c r="N34" s="345"/>
      <c r="O34" s="335"/>
      <c r="P34" s="335"/>
      <c r="Q34" s="335"/>
      <c r="R34" s="335"/>
      <c r="S34" s="335"/>
      <c r="T34" s="346"/>
      <c r="U34" s="346"/>
      <c r="V34" s="346"/>
      <c r="W34" s="335"/>
      <c r="X34" s="335"/>
      <c r="Y34" s="335"/>
      <c r="Z34" s="335"/>
      <c r="AA34" s="345"/>
      <c r="AB34" s="335"/>
      <c r="AC34" s="335"/>
      <c r="AD34" s="335"/>
      <c r="AE34" s="335"/>
      <c r="AF34" s="335"/>
      <c r="AG34" s="249"/>
      <c r="AH34" s="249"/>
      <c r="AI34" s="249"/>
      <c r="AJ34" s="249"/>
      <c r="AK34" s="249"/>
      <c r="AL34" s="249"/>
      <c r="AM34" s="249"/>
      <c r="AN34" s="249"/>
      <c r="AO34" s="249"/>
      <c r="AP34" s="249"/>
    </row>
    <row r="35" spans="1:42" x14ac:dyDescent="0.25">
      <c r="A35" s="344"/>
      <c r="B35" s="344"/>
      <c r="C35" s="344"/>
      <c r="D35" s="344"/>
      <c r="E35" s="344"/>
      <c r="F35" s="344"/>
      <c r="G35" s="344"/>
      <c r="H35" s="344"/>
      <c r="I35" s="335"/>
      <c r="J35" s="335"/>
      <c r="K35" s="335"/>
      <c r="L35" s="335"/>
      <c r="M35" s="335"/>
      <c r="N35" s="345"/>
      <c r="O35" s="335"/>
      <c r="P35" s="335"/>
      <c r="Q35" s="335"/>
      <c r="R35" s="335"/>
      <c r="S35" s="335"/>
      <c r="T35" s="346"/>
      <c r="U35" s="346"/>
      <c r="V35" s="346"/>
      <c r="W35" s="335"/>
      <c r="X35" s="335"/>
      <c r="Y35" s="335"/>
      <c r="Z35" s="335"/>
      <c r="AA35" s="345"/>
      <c r="AB35" s="335"/>
      <c r="AC35" s="335"/>
      <c r="AD35" s="335"/>
      <c r="AE35" s="335"/>
      <c r="AF35" s="335"/>
      <c r="AG35" s="249"/>
      <c r="AH35" s="249"/>
      <c r="AI35" s="249"/>
      <c r="AJ35" s="249"/>
      <c r="AK35" s="249"/>
      <c r="AL35" s="249"/>
      <c r="AM35" s="249"/>
      <c r="AN35" s="249"/>
      <c r="AO35" s="249"/>
      <c r="AP35" s="249"/>
    </row>
    <row r="36" spans="1:42" x14ac:dyDescent="0.25">
      <c r="A36" s="344"/>
      <c r="B36" s="344"/>
      <c r="C36" s="344"/>
      <c r="D36" s="344"/>
      <c r="E36" s="344"/>
      <c r="F36" s="344"/>
      <c r="G36" s="344"/>
      <c r="H36" s="344"/>
      <c r="I36" s="335"/>
      <c r="J36" s="335"/>
      <c r="K36" s="335"/>
      <c r="L36" s="335"/>
      <c r="M36" s="335"/>
      <c r="N36" s="345"/>
      <c r="O36" s="335"/>
      <c r="P36" s="335"/>
      <c r="Q36" s="335"/>
      <c r="R36" s="335"/>
      <c r="S36" s="335"/>
      <c r="T36" s="346"/>
      <c r="U36" s="346"/>
      <c r="V36" s="346"/>
      <c r="W36" s="335"/>
      <c r="X36" s="335"/>
      <c r="Y36" s="335"/>
      <c r="Z36" s="335"/>
      <c r="AA36" s="345"/>
      <c r="AB36" s="335"/>
      <c r="AC36" s="335"/>
      <c r="AD36" s="335"/>
      <c r="AE36" s="335"/>
      <c r="AF36" s="335"/>
      <c r="AG36" s="249"/>
      <c r="AH36" s="249"/>
      <c r="AI36" s="249"/>
      <c r="AJ36" s="249"/>
      <c r="AK36" s="249"/>
      <c r="AL36" s="249"/>
      <c r="AM36" s="249"/>
      <c r="AN36" s="249"/>
      <c r="AO36" s="249"/>
      <c r="AP36" s="249"/>
    </row>
    <row r="37" spans="1:42" x14ac:dyDescent="0.25">
      <c r="A37" s="344"/>
      <c r="B37" s="344"/>
      <c r="C37" s="344"/>
      <c r="D37" s="344"/>
      <c r="E37" s="344"/>
      <c r="F37" s="344"/>
      <c r="G37" s="344"/>
      <c r="H37" s="344"/>
      <c r="I37" s="335"/>
      <c r="J37" s="335"/>
      <c r="K37" s="335"/>
      <c r="L37" s="335"/>
      <c r="M37" s="335"/>
      <c r="N37" s="345"/>
      <c r="O37" s="335"/>
      <c r="P37" s="335"/>
      <c r="Q37" s="335"/>
      <c r="R37" s="335"/>
      <c r="S37" s="335"/>
      <c r="T37" s="346"/>
      <c r="U37" s="346"/>
      <c r="V37" s="346"/>
      <c r="W37" s="335"/>
      <c r="X37" s="335"/>
      <c r="Y37" s="335"/>
      <c r="Z37" s="335"/>
      <c r="AA37" s="345"/>
      <c r="AB37" s="335"/>
      <c r="AC37" s="335"/>
      <c r="AD37" s="335"/>
      <c r="AE37" s="335"/>
      <c r="AF37" s="335"/>
      <c r="AG37" s="249"/>
      <c r="AH37" s="249"/>
      <c r="AI37" s="249"/>
      <c r="AJ37" s="249"/>
      <c r="AK37" s="249"/>
      <c r="AL37" s="249"/>
      <c r="AM37" s="249"/>
      <c r="AN37" s="249"/>
      <c r="AO37" s="249"/>
      <c r="AP37" s="249"/>
    </row>
    <row r="38" spans="1:42" x14ac:dyDescent="0.25">
      <c r="A38" s="344"/>
      <c r="B38" s="344"/>
      <c r="C38" s="344"/>
      <c r="D38" s="344"/>
      <c r="E38" s="344"/>
      <c r="F38" s="344"/>
      <c r="G38" s="344"/>
      <c r="H38" s="344"/>
      <c r="I38" s="335"/>
      <c r="J38" s="335"/>
      <c r="K38" s="335"/>
      <c r="L38" s="335"/>
      <c r="M38" s="335"/>
      <c r="N38" s="345"/>
      <c r="O38" s="335"/>
      <c r="P38" s="335"/>
      <c r="Q38" s="335"/>
      <c r="R38" s="335"/>
      <c r="S38" s="335"/>
      <c r="T38" s="346"/>
      <c r="U38" s="346"/>
      <c r="V38" s="346"/>
      <c r="W38" s="335"/>
      <c r="X38" s="335"/>
      <c r="Y38" s="335"/>
      <c r="Z38" s="335"/>
      <c r="AA38" s="345"/>
      <c r="AB38" s="335"/>
      <c r="AC38" s="335"/>
      <c r="AD38" s="335"/>
      <c r="AE38" s="335"/>
      <c r="AF38" s="335"/>
      <c r="AG38" s="249"/>
      <c r="AH38" s="249"/>
      <c r="AI38" s="249"/>
      <c r="AJ38" s="249"/>
      <c r="AK38" s="249"/>
      <c r="AL38" s="249"/>
      <c r="AM38" s="249"/>
      <c r="AN38" s="249"/>
      <c r="AO38" s="249"/>
      <c r="AP38" s="249"/>
    </row>
    <row r="39" spans="1:42" x14ac:dyDescent="0.25">
      <c r="A39" s="344"/>
      <c r="B39" s="344"/>
      <c r="C39" s="344"/>
      <c r="D39" s="344"/>
      <c r="E39" s="344"/>
      <c r="F39" s="344"/>
      <c r="G39" s="344"/>
      <c r="H39" s="344"/>
      <c r="I39" s="335"/>
      <c r="J39" s="335"/>
      <c r="K39" s="335"/>
      <c r="L39" s="335"/>
      <c r="M39" s="335"/>
      <c r="N39" s="345"/>
      <c r="O39" s="335"/>
      <c r="P39" s="335"/>
      <c r="Q39" s="335"/>
      <c r="R39" s="335"/>
      <c r="S39" s="335"/>
      <c r="T39" s="346"/>
      <c r="U39" s="346"/>
      <c r="V39" s="346"/>
      <c r="W39" s="335"/>
      <c r="X39" s="335"/>
      <c r="Y39" s="335"/>
      <c r="Z39" s="335"/>
      <c r="AA39" s="345"/>
      <c r="AB39" s="335"/>
      <c r="AC39" s="335"/>
      <c r="AD39" s="335"/>
      <c r="AE39" s="335"/>
      <c r="AF39" s="335"/>
      <c r="AG39" s="249"/>
      <c r="AH39" s="249"/>
      <c r="AI39" s="249"/>
      <c r="AJ39" s="249"/>
      <c r="AK39" s="249"/>
      <c r="AL39" s="249"/>
      <c r="AM39" s="249"/>
      <c r="AN39" s="249"/>
      <c r="AO39" s="249"/>
      <c r="AP39" s="249"/>
    </row>
    <row r="40" spans="1:42" x14ac:dyDescent="0.25">
      <c r="A40" s="344"/>
      <c r="B40" s="344"/>
      <c r="C40" s="344"/>
      <c r="D40" s="344"/>
      <c r="E40" s="344"/>
      <c r="F40" s="344"/>
      <c r="G40" s="344"/>
      <c r="H40" s="344"/>
      <c r="I40" s="335"/>
      <c r="J40" s="335"/>
      <c r="K40" s="335"/>
      <c r="L40" s="335"/>
      <c r="M40" s="335"/>
      <c r="N40" s="345"/>
      <c r="O40" s="335"/>
      <c r="P40" s="335"/>
      <c r="Q40" s="335"/>
      <c r="R40" s="335"/>
      <c r="S40" s="335"/>
      <c r="T40" s="346"/>
      <c r="U40" s="346"/>
      <c r="V40" s="346"/>
      <c r="W40" s="335"/>
      <c r="X40" s="335"/>
      <c r="Y40" s="335"/>
      <c r="Z40" s="335"/>
      <c r="AA40" s="345"/>
      <c r="AB40" s="335"/>
      <c r="AC40" s="335"/>
      <c r="AD40" s="335"/>
      <c r="AE40" s="335"/>
      <c r="AF40" s="335"/>
      <c r="AG40" s="249"/>
      <c r="AH40" s="249"/>
      <c r="AI40" s="249"/>
      <c r="AJ40" s="249"/>
      <c r="AK40" s="249"/>
      <c r="AL40" s="249"/>
      <c r="AM40" s="249"/>
      <c r="AN40" s="249"/>
      <c r="AO40" s="249"/>
      <c r="AP40" s="249"/>
    </row>
    <row r="41" spans="1:42" x14ac:dyDescent="0.25">
      <c r="A41" s="344"/>
      <c r="B41" s="344"/>
      <c r="C41" s="344"/>
      <c r="D41" s="344"/>
      <c r="E41" s="344"/>
      <c r="F41" s="344"/>
      <c r="G41" s="344"/>
      <c r="H41" s="344"/>
      <c r="I41" s="335"/>
      <c r="J41" s="335"/>
      <c r="K41" s="335"/>
      <c r="L41" s="335"/>
      <c r="M41" s="335"/>
      <c r="N41" s="345"/>
      <c r="O41" s="335"/>
      <c r="P41" s="335"/>
      <c r="Q41" s="335"/>
      <c r="R41" s="335"/>
      <c r="S41" s="335"/>
      <c r="T41" s="346"/>
      <c r="U41" s="346"/>
      <c r="V41" s="346"/>
      <c r="W41" s="335"/>
      <c r="X41" s="335"/>
      <c r="Y41" s="335"/>
      <c r="Z41" s="335"/>
      <c r="AA41" s="345"/>
      <c r="AB41" s="335"/>
      <c r="AC41" s="335"/>
      <c r="AD41" s="335"/>
      <c r="AE41" s="335"/>
      <c r="AF41" s="335"/>
      <c r="AG41" s="249"/>
      <c r="AH41" s="249"/>
      <c r="AI41" s="249"/>
      <c r="AJ41" s="249"/>
      <c r="AK41" s="249"/>
      <c r="AL41" s="249"/>
      <c r="AM41" s="249"/>
      <c r="AN41" s="249"/>
      <c r="AO41" s="249"/>
      <c r="AP41" s="249"/>
    </row>
    <row r="42" spans="1:42" x14ac:dyDescent="0.25">
      <c r="A42" s="344"/>
      <c r="B42" s="344"/>
      <c r="C42" s="344"/>
      <c r="D42" s="344"/>
      <c r="E42" s="344"/>
      <c r="F42" s="344"/>
      <c r="G42" s="344"/>
      <c r="H42" s="344"/>
      <c r="I42" s="335"/>
      <c r="J42" s="335"/>
      <c r="K42" s="335"/>
      <c r="L42" s="335"/>
      <c r="M42" s="335"/>
      <c r="N42" s="345"/>
      <c r="O42" s="335"/>
      <c r="P42" s="335"/>
      <c r="Q42" s="335"/>
      <c r="R42" s="335"/>
      <c r="S42" s="335"/>
      <c r="T42" s="346"/>
      <c r="U42" s="346"/>
      <c r="V42" s="346"/>
      <c r="W42" s="335"/>
      <c r="X42" s="335"/>
      <c r="Y42" s="335"/>
      <c r="Z42" s="335"/>
      <c r="AA42" s="345"/>
      <c r="AB42" s="335"/>
      <c r="AC42" s="335"/>
      <c r="AD42" s="335"/>
      <c r="AE42" s="335"/>
      <c r="AF42" s="335"/>
      <c r="AG42" s="249"/>
      <c r="AH42" s="249"/>
      <c r="AI42" s="249"/>
      <c r="AJ42" s="249"/>
      <c r="AK42" s="249"/>
      <c r="AL42" s="249"/>
      <c r="AM42" s="249"/>
      <c r="AN42" s="249"/>
      <c r="AO42" s="249"/>
      <c r="AP42" s="249"/>
    </row>
    <row r="43" spans="1:42" x14ac:dyDescent="0.25">
      <c r="A43" s="344"/>
      <c r="B43" s="344"/>
      <c r="C43" s="344"/>
      <c r="D43" s="344"/>
      <c r="E43" s="344"/>
      <c r="F43" s="344"/>
      <c r="G43" s="344"/>
      <c r="H43" s="344"/>
      <c r="I43" s="335"/>
      <c r="J43" s="335"/>
      <c r="K43" s="335"/>
      <c r="L43" s="335"/>
      <c r="M43" s="335"/>
      <c r="N43" s="345"/>
      <c r="O43" s="335"/>
      <c r="P43" s="335"/>
      <c r="Q43" s="335"/>
      <c r="R43" s="335"/>
      <c r="S43" s="335"/>
      <c r="T43" s="346"/>
      <c r="U43" s="346"/>
      <c r="V43" s="346"/>
      <c r="W43" s="335"/>
      <c r="X43" s="335"/>
      <c r="Y43" s="335"/>
      <c r="Z43" s="335"/>
      <c r="AA43" s="345"/>
      <c r="AB43" s="335"/>
      <c r="AC43" s="335"/>
      <c r="AD43" s="335"/>
      <c r="AE43" s="335"/>
      <c r="AF43" s="335"/>
      <c r="AG43" s="249"/>
      <c r="AH43" s="249"/>
      <c r="AI43" s="249"/>
      <c r="AJ43" s="249"/>
      <c r="AK43" s="249"/>
      <c r="AL43" s="249"/>
      <c r="AM43" s="249"/>
      <c r="AN43" s="249"/>
      <c r="AO43" s="249"/>
      <c r="AP43" s="249"/>
    </row>
    <row r="44" spans="1:42" x14ac:dyDescent="0.25">
      <c r="A44" s="344"/>
      <c r="B44" s="344"/>
      <c r="C44" s="344"/>
      <c r="D44" s="344"/>
      <c r="E44" s="344"/>
      <c r="F44" s="344"/>
      <c r="G44" s="344"/>
      <c r="H44" s="344"/>
      <c r="I44" s="335"/>
      <c r="J44" s="335"/>
      <c r="K44" s="335"/>
      <c r="L44" s="335"/>
      <c r="M44" s="335"/>
      <c r="N44" s="345"/>
      <c r="O44" s="335"/>
      <c r="P44" s="335"/>
      <c r="Q44" s="335"/>
      <c r="R44" s="335"/>
      <c r="S44" s="335"/>
      <c r="T44" s="346"/>
      <c r="U44" s="346"/>
      <c r="V44" s="346"/>
      <c r="W44" s="335"/>
      <c r="X44" s="335"/>
      <c r="Y44" s="335"/>
      <c r="Z44" s="335"/>
      <c r="AA44" s="345"/>
      <c r="AB44" s="335"/>
      <c r="AC44" s="335"/>
      <c r="AD44" s="335"/>
      <c r="AE44" s="335"/>
      <c r="AF44" s="335"/>
      <c r="AG44" s="249"/>
      <c r="AH44" s="249"/>
      <c r="AI44" s="249"/>
      <c r="AJ44" s="249"/>
      <c r="AK44" s="249"/>
      <c r="AL44" s="249"/>
      <c r="AM44" s="249"/>
      <c r="AN44" s="249"/>
      <c r="AO44" s="249"/>
      <c r="AP44" s="249"/>
    </row>
    <row r="45" spans="1:42" x14ac:dyDescent="0.25">
      <c r="A45" s="344"/>
      <c r="B45" s="344"/>
      <c r="C45" s="344"/>
      <c r="D45" s="344"/>
      <c r="E45" s="344"/>
      <c r="F45" s="344"/>
      <c r="G45" s="344"/>
      <c r="H45" s="344"/>
      <c r="I45" s="335"/>
      <c r="J45" s="335"/>
      <c r="K45" s="335"/>
      <c r="L45" s="335"/>
      <c r="M45" s="335"/>
      <c r="N45" s="345"/>
      <c r="O45" s="335"/>
      <c r="P45" s="335"/>
      <c r="Q45" s="335"/>
      <c r="R45" s="335"/>
      <c r="S45" s="335"/>
      <c r="T45" s="346"/>
      <c r="U45" s="346"/>
      <c r="V45" s="346"/>
      <c r="W45" s="335"/>
      <c r="X45" s="335"/>
      <c r="Y45" s="335"/>
      <c r="Z45" s="335"/>
      <c r="AA45" s="345"/>
      <c r="AB45" s="335"/>
      <c r="AC45" s="335"/>
      <c r="AD45" s="335"/>
      <c r="AE45" s="335"/>
      <c r="AF45" s="335"/>
      <c r="AG45" s="249"/>
      <c r="AH45" s="249"/>
      <c r="AI45" s="249"/>
      <c r="AJ45" s="249"/>
      <c r="AK45" s="249"/>
      <c r="AL45" s="249"/>
      <c r="AM45" s="249"/>
      <c r="AN45" s="249"/>
      <c r="AO45" s="249"/>
      <c r="AP45" s="249"/>
    </row>
    <row r="46" spans="1:42" x14ac:dyDescent="0.25">
      <c r="A46" s="344"/>
      <c r="B46" s="344"/>
      <c r="C46" s="344"/>
      <c r="D46" s="344"/>
      <c r="E46" s="344"/>
      <c r="F46" s="344"/>
      <c r="G46" s="344"/>
      <c r="H46" s="344"/>
      <c r="I46" s="335"/>
      <c r="J46" s="335"/>
      <c r="K46" s="335"/>
      <c r="L46" s="335"/>
      <c r="M46" s="335"/>
      <c r="N46" s="345"/>
      <c r="O46" s="335"/>
      <c r="P46" s="335"/>
      <c r="Q46" s="335"/>
      <c r="R46" s="335"/>
      <c r="S46" s="335"/>
      <c r="T46" s="346"/>
      <c r="U46" s="346"/>
      <c r="V46" s="346"/>
      <c r="W46" s="335"/>
      <c r="X46" s="335"/>
      <c r="Y46" s="335"/>
      <c r="Z46" s="335"/>
      <c r="AA46" s="345"/>
      <c r="AB46" s="335"/>
      <c r="AC46" s="335"/>
      <c r="AD46" s="335"/>
      <c r="AE46" s="335"/>
      <c r="AF46" s="335"/>
      <c r="AG46" s="249"/>
      <c r="AH46" s="249"/>
      <c r="AI46" s="249"/>
      <c r="AJ46" s="249"/>
      <c r="AK46" s="249"/>
      <c r="AL46" s="249"/>
      <c r="AM46" s="249"/>
      <c r="AN46" s="249"/>
      <c r="AO46" s="249"/>
      <c r="AP46" s="249"/>
    </row>
    <row r="47" spans="1:42" x14ac:dyDescent="0.25">
      <c r="A47" s="344"/>
      <c r="B47" s="344"/>
      <c r="C47" s="344"/>
      <c r="D47" s="344"/>
      <c r="E47" s="344"/>
      <c r="F47" s="344"/>
      <c r="G47" s="344"/>
      <c r="H47" s="344"/>
      <c r="I47" s="335"/>
      <c r="J47" s="335"/>
      <c r="K47" s="335"/>
      <c r="L47" s="335"/>
      <c r="M47" s="335"/>
      <c r="N47" s="345"/>
      <c r="O47" s="335"/>
      <c r="P47" s="335"/>
      <c r="Q47" s="335"/>
      <c r="R47" s="335"/>
      <c r="S47" s="335"/>
      <c r="T47" s="346"/>
      <c r="U47" s="346"/>
      <c r="V47" s="346"/>
      <c r="W47" s="335"/>
      <c r="X47" s="335"/>
      <c r="Y47" s="335"/>
      <c r="Z47" s="335"/>
      <c r="AA47" s="345"/>
      <c r="AB47" s="335"/>
      <c r="AC47" s="335"/>
      <c r="AD47" s="335"/>
      <c r="AE47" s="335"/>
      <c r="AF47" s="335"/>
      <c r="AG47" s="249"/>
      <c r="AH47" s="249"/>
      <c r="AI47" s="249"/>
      <c r="AJ47" s="249"/>
      <c r="AK47" s="249"/>
      <c r="AL47" s="249"/>
      <c r="AM47" s="249"/>
      <c r="AN47" s="249"/>
      <c r="AO47" s="249"/>
      <c r="AP47" s="249"/>
    </row>
    <row r="48" spans="1:42" x14ac:dyDescent="0.25">
      <c r="A48" s="344"/>
      <c r="B48" s="344"/>
      <c r="C48" s="344"/>
      <c r="D48" s="344"/>
      <c r="E48" s="344"/>
      <c r="F48" s="344"/>
      <c r="G48" s="344"/>
      <c r="H48" s="344"/>
      <c r="I48" s="335"/>
      <c r="J48" s="335"/>
      <c r="K48" s="335"/>
      <c r="L48" s="335"/>
      <c r="M48" s="335"/>
      <c r="N48" s="345"/>
      <c r="O48" s="335"/>
      <c r="P48" s="335"/>
      <c r="Q48" s="335"/>
      <c r="R48" s="335"/>
      <c r="S48" s="335"/>
      <c r="T48" s="346"/>
      <c r="U48" s="346"/>
      <c r="V48" s="346"/>
      <c r="W48" s="335"/>
      <c r="X48" s="335"/>
      <c r="Y48" s="335"/>
      <c r="Z48" s="335"/>
      <c r="AA48" s="345"/>
      <c r="AB48" s="335"/>
      <c r="AC48" s="335"/>
      <c r="AD48" s="335"/>
      <c r="AE48" s="335"/>
      <c r="AF48" s="335"/>
      <c r="AG48" s="249"/>
      <c r="AH48" s="249"/>
      <c r="AI48" s="249"/>
      <c r="AJ48" s="249"/>
      <c r="AK48" s="249"/>
      <c r="AL48" s="249"/>
      <c r="AM48" s="249"/>
      <c r="AN48" s="249"/>
      <c r="AO48" s="249"/>
      <c r="AP48" s="249"/>
    </row>
    <row r="49" spans="1:42" x14ac:dyDescent="0.25">
      <c r="A49" s="344"/>
      <c r="B49" s="344"/>
      <c r="C49" s="344"/>
      <c r="D49" s="344"/>
      <c r="E49" s="344"/>
      <c r="F49" s="344"/>
      <c r="G49" s="344"/>
      <c r="H49" s="344"/>
      <c r="I49" s="335"/>
      <c r="J49" s="335"/>
      <c r="K49" s="335"/>
      <c r="L49" s="335"/>
      <c r="M49" s="335"/>
      <c r="N49" s="345"/>
      <c r="O49" s="335"/>
      <c r="P49" s="335"/>
      <c r="Q49" s="335"/>
      <c r="R49" s="335"/>
      <c r="S49" s="335"/>
      <c r="T49" s="346"/>
      <c r="U49" s="346"/>
      <c r="V49" s="346"/>
      <c r="W49" s="335"/>
      <c r="X49" s="335"/>
      <c r="Y49" s="335"/>
      <c r="Z49" s="335"/>
      <c r="AA49" s="345"/>
      <c r="AB49" s="335"/>
      <c r="AC49" s="335"/>
      <c r="AD49" s="335"/>
      <c r="AE49" s="335"/>
      <c r="AF49" s="335"/>
      <c r="AG49" s="249"/>
      <c r="AH49" s="249"/>
      <c r="AI49" s="249"/>
      <c r="AJ49" s="249"/>
      <c r="AK49" s="249"/>
      <c r="AL49" s="249"/>
      <c r="AM49" s="249"/>
      <c r="AN49" s="249"/>
      <c r="AO49" s="249"/>
      <c r="AP49" s="249"/>
    </row>
    <row r="50" spans="1:42" x14ac:dyDescent="0.25">
      <c r="A50" s="344"/>
      <c r="B50" s="344"/>
      <c r="C50" s="344"/>
      <c r="D50" s="344"/>
      <c r="E50" s="344"/>
      <c r="F50" s="344"/>
      <c r="G50" s="344"/>
      <c r="H50" s="344"/>
      <c r="I50" s="335"/>
      <c r="J50" s="335"/>
      <c r="K50" s="335"/>
      <c r="L50" s="335"/>
      <c r="M50" s="335"/>
      <c r="N50" s="345"/>
      <c r="O50" s="335"/>
      <c r="P50" s="335"/>
      <c r="Q50" s="335"/>
      <c r="R50" s="335"/>
      <c r="S50" s="335"/>
      <c r="T50" s="346"/>
      <c r="U50" s="346"/>
      <c r="V50" s="346"/>
      <c r="W50" s="335"/>
      <c r="X50" s="335"/>
      <c r="Y50" s="335"/>
      <c r="Z50" s="335"/>
      <c r="AA50" s="345"/>
      <c r="AB50" s="335"/>
      <c r="AC50" s="335"/>
      <c r="AD50" s="335"/>
      <c r="AE50" s="335"/>
      <c r="AF50" s="335"/>
      <c r="AG50" s="249"/>
      <c r="AH50" s="249"/>
      <c r="AI50" s="249"/>
      <c r="AJ50" s="249"/>
      <c r="AK50" s="249"/>
      <c r="AL50" s="249"/>
      <c r="AM50" s="249"/>
      <c r="AN50" s="249"/>
      <c r="AO50" s="249"/>
      <c r="AP50" s="249"/>
    </row>
    <row r="51" spans="1:42" x14ac:dyDescent="0.25">
      <c r="A51" s="344"/>
      <c r="B51" s="344"/>
      <c r="C51" s="344"/>
      <c r="D51" s="344"/>
      <c r="E51" s="344"/>
      <c r="F51" s="344"/>
      <c r="G51" s="344"/>
      <c r="H51" s="344"/>
      <c r="I51" s="335"/>
      <c r="J51" s="335"/>
      <c r="K51" s="335"/>
      <c r="L51" s="335"/>
      <c r="M51" s="335"/>
      <c r="N51" s="345"/>
      <c r="O51" s="335"/>
      <c r="P51" s="335"/>
      <c r="Q51" s="335"/>
      <c r="R51" s="335"/>
      <c r="S51" s="335"/>
      <c r="T51" s="346"/>
      <c r="U51" s="346"/>
      <c r="V51" s="346"/>
      <c r="W51" s="335"/>
      <c r="X51" s="335"/>
      <c r="Y51" s="335"/>
      <c r="Z51" s="335"/>
      <c r="AA51" s="345"/>
      <c r="AB51" s="335"/>
      <c r="AC51" s="335"/>
      <c r="AD51" s="335"/>
      <c r="AE51" s="335"/>
      <c r="AF51" s="335"/>
      <c r="AG51" s="249"/>
      <c r="AH51" s="249"/>
      <c r="AI51" s="249"/>
      <c r="AJ51" s="249"/>
      <c r="AK51" s="249"/>
      <c r="AL51" s="249"/>
      <c r="AM51" s="249"/>
      <c r="AN51" s="249"/>
      <c r="AO51" s="249"/>
      <c r="AP51" s="249"/>
    </row>
    <row r="52" spans="1:42" x14ac:dyDescent="0.25">
      <c r="A52" s="344"/>
      <c r="B52" s="344"/>
      <c r="C52" s="344"/>
      <c r="D52" s="344"/>
      <c r="E52" s="344"/>
      <c r="F52" s="344"/>
      <c r="G52" s="344"/>
      <c r="H52" s="344"/>
      <c r="I52" s="335"/>
      <c r="J52" s="335"/>
      <c r="K52" s="335"/>
      <c r="L52" s="335"/>
      <c r="M52" s="335"/>
      <c r="N52" s="345"/>
      <c r="O52" s="335"/>
      <c r="P52" s="335"/>
      <c r="Q52" s="335"/>
      <c r="R52" s="335"/>
      <c r="S52" s="335"/>
      <c r="T52" s="346"/>
      <c r="U52" s="346"/>
      <c r="V52" s="346"/>
      <c r="W52" s="335"/>
      <c r="X52" s="335"/>
      <c r="Y52" s="335"/>
      <c r="Z52" s="335"/>
      <c r="AA52" s="345"/>
      <c r="AB52" s="335"/>
      <c r="AC52" s="335"/>
      <c r="AD52" s="335"/>
      <c r="AE52" s="335"/>
      <c r="AF52" s="335"/>
      <c r="AG52" s="249"/>
      <c r="AH52" s="249"/>
      <c r="AI52" s="249"/>
      <c r="AJ52" s="249"/>
      <c r="AK52" s="249"/>
      <c r="AL52" s="249"/>
      <c r="AM52" s="249"/>
      <c r="AN52" s="249"/>
      <c r="AO52" s="249"/>
      <c r="AP52" s="249"/>
    </row>
    <row r="53" spans="1:42" x14ac:dyDescent="0.25">
      <c r="A53" s="344"/>
      <c r="B53" s="344"/>
      <c r="C53" s="344"/>
      <c r="D53" s="344"/>
      <c r="E53" s="344"/>
      <c r="F53" s="344"/>
      <c r="G53" s="344"/>
      <c r="H53" s="344"/>
      <c r="I53" s="335"/>
      <c r="J53" s="335"/>
      <c r="K53" s="335"/>
      <c r="L53" s="335"/>
      <c r="M53" s="335"/>
      <c r="N53" s="345"/>
      <c r="O53" s="335"/>
      <c r="P53" s="335"/>
      <c r="Q53" s="335"/>
      <c r="R53" s="335"/>
      <c r="S53" s="335"/>
      <c r="T53" s="346"/>
      <c r="U53" s="346"/>
      <c r="V53" s="346"/>
      <c r="W53" s="335"/>
      <c r="X53" s="335"/>
      <c r="Y53" s="335"/>
      <c r="Z53" s="335"/>
      <c r="AA53" s="345"/>
      <c r="AB53" s="335"/>
      <c r="AC53" s="335"/>
      <c r="AD53" s="335"/>
      <c r="AE53" s="335"/>
      <c r="AF53" s="335"/>
      <c r="AG53" s="249"/>
      <c r="AH53" s="249"/>
      <c r="AI53" s="249"/>
      <c r="AJ53" s="249"/>
      <c r="AK53" s="249"/>
      <c r="AL53" s="249"/>
      <c r="AM53" s="249"/>
      <c r="AN53" s="249"/>
      <c r="AO53" s="249"/>
      <c r="AP53" s="249"/>
    </row>
    <row r="54" spans="1:42" x14ac:dyDescent="0.25">
      <c r="A54" s="344"/>
      <c r="B54" s="344"/>
      <c r="C54" s="344"/>
      <c r="D54" s="344"/>
      <c r="E54" s="344"/>
      <c r="F54" s="344"/>
      <c r="G54" s="344"/>
      <c r="H54" s="344"/>
      <c r="I54" s="335"/>
      <c r="J54" s="335"/>
      <c r="K54" s="335"/>
      <c r="L54" s="335"/>
      <c r="M54" s="335"/>
      <c r="N54" s="345"/>
      <c r="O54" s="335"/>
      <c r="P54" s="335"/>
      <c r="Q54" s="335"/>
      <c r="R54" s="335"/>
      <c r="S54" s="335"/>
      <c r="T54" s="346"/>
      <c r="U54" s="346"/>
      <c r="V54" s="346"/>
      <c r="W54" s="335"/>
      <c r="X54" s="335"/>
      <c r="Y54" s="335"/>
      <c r="Z54" s="335"/>
      <c r="AA54" s="345"/>
      <c r="AB54" s="335"/>
      <c r="AC54" s="335"/>
      <c r="AD54" s="335"/>
      <c r="AE54" s="335"/>
      <c r="AF54" s="335"/>
      <c r="AG54" s="249"/>
      <c r="AH54" s="249"/>
      <c r="AI54" s="249"/>
      <c r="AJ54" s="249"/>
      <c r="AK54" s="249"/>
      <c r="AL54" s="249"/>
      <c r="AM54" s="249"/>
      <c r="AN54" s="249"/>
      <c r="AO54" s="249"/>
      <c r="AP54" s="249"/>
    </row>
    <row r="55" spans="1:42" x14ac:dyDescent="0.25">
      <c r="A55" s="344"/>
      <c r="B55" s="344"/>
      <c r="C55" s="344"/>
      <c r="D55" s="344"/>
      <c r="E55" s="344"/>
      <c r="F55" s="344"/>
      <c r="G55" s="344"/>
      <c r="H55" s="344"/>
      <c r="I55" s="335"/>
      <c r="J55" s="335"/>
      <c r="K55" s="335"/>
      <c r="L55" s="335"/>
      <c r="M55" s="335"/>
      <c r="N55" s="345"/>
      <c r="O55" s="335"/>
      <c r="P55" s="335"/>
      <c r="Q55" s="335"/>
      <c r="R55" s="335"/>
      <c r="S55" s="335"/>
      <c r="T55" s="346"/>
      <c r="U55" s="346"/>
      <c r="V55" s="346"/>
      <c r="W55" s="335"/>
      <c r="X55" s="335"/>
      <c r="Y55" s="335"/>
      <c r="Z55" s="335"/>
      <c r="AA55" s="345"/>
      <c r="AB55" s="335"/>
      <c r="AC55" s="335"/>
      <c r="AD55" s="335"/>
      <c r="AE55" s="335"/>
      <c r="AF55" s="335"/>
      <c r="AG55" s="249"/>
      <c r="AH55" s="249"/>
      <c r="AI55" s="249"/>
      <c r="AJ55" s="249"/>
      <c r="AK55" s="249"/>
      <c r="AL55" s="249"/>
      <c r="AM55" s="249"/>
      <c r="AN55" s="249"/>
      <c r="AO55" s="249"/>
      <c r="AP55" s="249"/>
    </row>
    <row r="56" spans="1:42" x14ac:dyDescent="0.25">
      <c r="A56" s="347"/>
      <c r="B56" s="347"/>
      <c r="C56" s="347"/>
      <c r="D56" s="347"/>
      <c r="E56" s="347"/>
      <c r="F56" s="347"/>
      <c r="G56" s="347"/>
      <c r="H56" s="347"/>
      <c r="I56" s="348"/>
      <c r="J56" s="348"/>
      <c r="K56" s="348"/>
      <c r="L56" s="348"/>
      <c r="M56" s="348"/>
      <c r="N56" s="349"/>
      <c r="O56" s="348"/>
      <c r="P56" s="348"/>
      <c r="Q56" s="348"/>
      <c r="R56" s="348"/>
      <c r="S56" s="348"/>
      <c r="T56" s="350"/>
      <c r="U56" s="350"/>
      <c r="V56" s="350"/>
      <c r="W56" s="348"/>
      <c r="X56" s="348"/>
      <c r="Y56" s="348"/>
      <c r="Z56" s="348"/>
      <c r="AA56" s="349"/>
      <c r="AB56" s="348"/>
      <c r="AC56" s="348"/>
      <c r="AD56" s="348"/>
      <c r="AE56" s="348"/>
      <c r="AF56" s="348"/>
      <c r="AG56" s="269"/>
      <c r="AH56" s="269"/>
      <c r="AI56" s="269"/>
      <c r="AJ56" s="269"/>
      <c r="AK56" s="269"/>
      <c r="AL56" s="269"/>
      <c r="AM56" s="269"/>
      <c r="AN56" s="269"/>
      <c r="AO56" s="269"/>
      <c r="AP56" s="269"/>
    </row>
    <row r="57" spans="1:42" x14ac:dyDescent="0.25">
      <c r="A57" s="351"/>
      <c r="B57" s="351"/>
      <c r="C57" s="351"/>
      <c r="D57" s="351"/>
      <c r="E57" s="351"/>
      <c r="F57" s="351"/>
      <c r="G57" s="351"/>
      <c r="H57" s="351"/>
      <c r="I57" s="339"/>
      <c r="J57" s="339"/>
      <c r="K57" s="339"/>
      <c r="L57" s="339"/>
      <c r="M57" s="339"/>
      <c r="N57" s="352"/>
      <c r="O57" s="339"/>
      <c r="P57" s="339"/>
      <c r="Q57" s="339"/>
      <c r="R57" s="339"/>
      <c r="S57" s="339"/>
      <c r="T57" s="353"/>
      <c r="U57" s="353"/>
      <c r="V57" s="353"/>
      <c r="W57" s="339"/>
      <c r="X57" s="339"/>
      <c r="Y57" s="339"/>
      <c r="Z57" s="339"/>
      <c r="AA57" s="352"/>
      <c r="AB57" s="339"/>
      <c r="AC57" s="339"/>
      <c r="AD57" s="339"/>
      <c r="AE57" s="339"/>
      <c r="AF57" s="339"/>
      <c r="AG57" s="124"/>
      <c r="AH57" s="124"/>
      <c r="AI57" s="124"/>
      <c r="AJ57" s="124"/>
      <c r="AK57" s="124"/>
      <c r="AL57" s="124"/>
      <c r="AM57" s="124"/>
      <c r="AN57" s="124"/>
      <c r="AO57" s="124"/>
      <c r="AP57" s="124"/>
    </row>
    <row r="58" spans="1:42" x14ac:dyDescent="0.25">
      <c r="A58" s="351"/>
      <c r="B58" s="351"/>
      <c r="C58" s="351"/>
      <c r="D58" s="351"/>
      <c r="E58" s="351"/>
      <c r="F58" s="351"/>
      <c r="G58" s="351"/>
      <c r="H58" s="351"/>
      <c r="I58" s="339"/>
      <c r="J58" s="339"/>
      <c r="K58" s="339"/>
      <c r="L58" s="339"/>
      <c r="M58" s="339"/>
      <c r="N58" s="352"/>
      <c r="O58" s="339"/>
      <c r="P58" s="339"/>
      <c r="Q58" s="339"/>
      <c r="R58" s="339"/>
      <c r="S58" s="339"/>
      <c r="T58" s="353"/>
      <c r="U58" s="353"/>
      <c r="V58" s="353"/>
      <c r="W58" s="339"/>
      <c r="X58" s="339"/>
      <c r="Y58" s="339"/>
      <c r="Z58" s="339"/>
      <c r="AA58" s="352"/>
      <c r="AB58" s="339"/>
      <c r="AC58" s="339"/>
      <c r="AD58" s="339"/>
      <c r="AE58" s="339"/>
      <c r="AF58" s="339"/>
      <c r="AG58" s="124"/>
      <c r="AH58" s="124"/>
      <c r="AI58" s="124"/>
      <c r="AJ58" s="124"/>
      <c r="AK58" s="124"/>
      <c r="AL58" s="124"/>
      <c r="AM58" s="124"/>
      <c r="AN58" s="124"/>
      <c r="AO58" s="124"/>
      <c r="AP58" s="124"/>
    </row>
    <row r="59" spans="1:42" x14ac:dyDescent="0.25">
      <c r="A59" s="351"/>
      <c r="B59" s="351"/>
      <c r="C59" s="351"/>
      <c r="D59" s="351"/>
      <c r="E59" s="351"/>
      <c r="F59" s="351"/>
      <c r="G59" s="351"/>
      <c r="H59" s="351"/>
      <c r="I59" s="339"/>
      <c r="J59" s="339"/>
      <c r="K59" s="339"/>
      <c r="L59" s="339"/>
      <c r="M59" s="339"/>
      <c r="N59" s="352"/>
      <c r="O59" s="339"/>
      <c r="P59" s="339"/>
      <c r="Q59" s="339"/>
      <c r="R59" s="339"/>
      <c r="S59" s="339"/>
      <c r="T59" s="353"/>
      <c r="U59" s="353"/>
      <c r="V59" s="353"/>
      <c r="W59" s="339"/>
      <c r="X59" s="339"/>
      <c r="Y59" s="339"/>
      <c r="Z59" s="339"/>
      <c r="AA59" s="352"/>
      <c r="AB59" s="339"/>
      <c r="AC59" s="339"/>
      <c r="AD59" s="339"/>
      <c r="AE59" s="339"/>
      <c r="AF59" s="339"/>
      <c r="AG59" s="124"/>
      <c r="AH59" s="124"/>
      <c r="AI59" s="124"/>
      <c r="AJ59" s="124"/>
      <c r="AK59" s="124"/>
      <c r="AL59" s="124"/>
      <c r="AM59" s="124"/>
      <c r="AN59" s="124"/>
      <c r="AO59" s="124"/>
      <c r="AP59" s="124"/>
    </row>
    <row r="60" spans="1:42" x14ac:dyDescent="0.25">
      <c r="A60" s="351"/>
      <c r="B60" s="351"/>
      <c r="C60" s="351"/>
      <c r="D60" s="351"/>
      <c r="E60" s="351"/>
      <c r="F60" s="351"/>
      <c r="G60" s="351"/>
      <c r="H60" s="351"/>
      <c r="I60" s="339"/>
      <c r="J60" s="339"/>
      <c r="K60" s="339"/>
      <c r="L60" s="339"/>
      <c r="M60" s="339"/>
      <c r="N60" s="352"/>
      <c r="O60" s="339"/>
      <c r="P60" s="339"/>
      <c r="Q60" s="339"/>
      <c r="R60" s="339"/>
      <c r="S60" s="339"/>
      <c r="T60" s="353"/>
      <c r="U60" s="353"/>
      <c r="V60" s="353"/>
      <c r="W60" s="339"/>
      <c r="X60" s="339"/>
      <c r="Y60" s="339"/>
      <c r="Z60" s="339"/>
      <c r="AA60" s="352"/>
      <c r="AB60" s="339"/>
      <c r="AC60" s="339"/>
      <c r="AD60" s="339"/>
      <c r="AE60" s="339"/>
      <c r="AF60" s="339"/>
      <c r="AG60" s="124"/>
      <c r="AH60" s="124"/>
      <c r="AI60" s="124"/>
      <c r="AJ60" s="124"/>
      <c r="AK60" s="124"/>
      <c r="AL60" s="124"/>
      <c r="AM60" s="124"/>
      <c r="AN60" s="124"/>
      <c r="AO60" s="124"/>
      <c r="AP60" s="124"/>
    </row>
    <row r="61" spans="1:42" x14ac:dyDescent="0.25">
      <c r="A61" s="351"/>
      <c r="B61" s="351"/>
      <c r="C61" s="351"/>
      <c r="D61" s="351"/>
      <c r="E61" s="351"/>
      <c r="F61" s="351"/>
      <c r="G61" s="351"/>
      <c r="H61" s="351"/>
      <c r="I61" s="339"/>
      <c r="J61" s="339"/>
      <c r="K61" s="339"/>
      <c r="L61" s="339"/>
      <c r="M61" s="339"/>
      <c r="N61" s="352"/>
      <c r="O61" s="339"/>
      <c r="P61" s="339"/>
      <c r="Q61" s="339"/>
      <c r="R61" s="339"/>
      <c r="S61" s="339"/>
      <c r="T61" s="353"/>
      <c r="U61" s="353"/>
      <c r="V61" s="353"/>
      <c r="W61" s="339"/>
      <c r="X61" s="339"/>
      <c r="Y61" s="339"/>
      <c r="Z61" s="339"/>
      <c r="AA61" s="352"/>
      <c r="AB61" s="339"/>
      <c r="AC61" s="339"/>
      <c r="AD61" s="339"/>
      <c r="AE61" s="339"/>
      <c r="AF61" s="339"/>
      <c r="AG61" s="124"/>
      <c r="AH61" s="124"/>
      <c r="AI61" s="124"/>
      <c r="AJ61" s="124"/>
      <c r="AK61" s="124"/>
      <c r="AL61" s="124"/>
      <c r="AM61" s="124"/>
      <c r="AN61" s="124"/>
      <c r="AO61" s="124"/>
      <c r="AP61" s="124"/>
    </row>
    <row r="62" spans="1:42" x14ac:dyDescent="0.25">
      <c r="A62" s="351"/>
      <c r="B62" s="351"/>
      <c r="C62" s="351"/>
      <c r="D62" s="351"/>
      <c r="E62" s="351"/>
      <c r="F62" s="351"/>
      <c r="G62" s="351"/>
      <c r="H62" s="351"/>
      <c r="I62" s="339"/>
      <c r="J62" s="339"/>
      <c r="K62" s="339"/>
      <c r="L62" s="339"/>
      <c r="M62" s="339"/>
      <c r="N62" s="352"/>
      <c r="O62" s="339"/>
      <c r="P62" s="339"/>
      <c r="Q62" s="339"/>
      <c r="R62" s="339"/>
      <c r="S62" s="339"/>
      <c r="T62" s="353"/>
      <c r="U62" s="353"/>
      <c r="V62" s="353"/>
      <c r="W62" s="339"/>
      <c r="X62" s="339"/>
      <c r="Y62" s="339"/>
      <c r="Z62" s="339"/>
      <c r="AA62" s="352"/>
      <c r="AB62" s="339"/>
      <c r="AC62" s="339"/>
      <c r="AD62" s="339"/>
      <c r="AE62" s="339"/>
      <c r="AF62" s="339"/>
      <c r="AG62" s="124"/>
      <c r="AH62" s="124"/>
      <c r="AI62" s="124"/>
      <c r="AJ62" s="124"/>
      <c r="AK62" s="124"/>
      <c r="AL62" s="124"/>
      <c r="AM62" s="124"/>
      <c r="AN62" s="124"/>
      <c r="AO62" s="124"/>
      <c r="AP62" s="124"/>
    </row>
    <row r="63" spans="1:42" x14ac:dyDescent="0.25">
      <c r="A63" s="351"/>
      <c r="B63" s="351"/>
      <c r="C63" s="351"/>
      <c r="D63" s="351"/>
      <c r="E63" s="351"/>
      <c r="F63" s="351"/>
      <c r="G63" s="351"/>
      <c r="H63" s="351"/>
      <c r="I63" s="339"/>
      <c r="J63" s="339"/>
      <c r="K63" s="339"/>
      <c r="L63" s="339"/>
      <c r="M63" s="339"/>
      <c r="N63" s="352"/>
      <c r="O63" s="339"/>
      <c r="P63" s="339"/>
      <c r="Q63" s="339"/>
      <c r="R63" s="339"/>
      <c r="S63" s="339"/>
      <c r="T63" s="353"/>
      <c r="U63" s="353"/>
      <c r="V63" s="353"/>
      <c r="W63" s="339"/>
      <c r="X63" s="339"/>
      <c r="Y63" s="339"/>
      <c r="Z63" s="339"/>
      <c r="AA63" s="352"/>
      <c r="AB63" s="339"/>
      <c r="AC63" s="339"/>
      <c r="AD63" s="339"/>
      <c r="AE63" s="339"/>
      <c r="AF63" s="339"/>
      <c r="AG63" s="124"/>
      <c r="AH63" s="124"/>
      <c r="AI63" s="124"/>
      <c r="AJ63" s="124"/>
      <c r="AK63" s="124"/>
      <c r="AL63" s="124"/>
      <c r="AM63" s="124"/>
      <c r="AN63" s="124"/>
      <c r="AO63" s="124"/>
      <c r="AP63" s="124"/>
    </row>
    <row r="64" spans="1:42" x14ac:dyDescent="0.25">
      <c r="A64" s="351" t="e">
        <f>#REF!</f>
        <v>#REF!</v>
      </c>
      <c r="B64" s="351" t="e">
        <f>#REF!</f>
        <v>#REF!</v>
      </c>
      <c r="C64" s="351" t="e">
        <f>#REF!</f>
        <v>#REF!</v>
      </c>
      <c r="D64" s="351" t="e">
        <f>#REF!</f>
        <v>#REF!</v>
      </c>
      <c r="E64" s="351" t="e">
        <f>#REF!</f>
        <v>#REF!</v>
      </c>
      <c r="F64" s="351" t="e">
        <f>#REF!</f>
        <v>#REF!</v>
      </c>
      <c r="G64" s="351" t="e">
        <f>#REF!</f>
        <v>#REF!</v>
      </c>
      <c r="H64" s="351" t="e">
        <f>#REF!</f>
        <v>#REF!</v>
      </c>
      <c r="I64" s="339"/>
      <c r="J64" s="339"/>
      <c r="K64" s="339"/>
      <c r="L64" s="339"/>
      <c r="M64" s="339"/>
      <c r="N64" s="352" t="e">
        <f t="shared" ref="N64:P98" si="2">H64+K64</f>
        <v>#REF!</v>
      </c>
      <c r="O64" s="339">
        <f t="shared" si="2"/>
        <v>0</v>
      </c>
      <c r="P64" s="339">
        <f t="shared" si="2"/>
        <v>0</v>
      </c>
      <c r="Q64" s="339"/>
      <c r="R64" s="339"/>
      <c r="S64" s="339">
        <f t="shared" ref="S64:S127" si="3">Q64+R64</f>
        <v>0</v>
      </c>
      <c r="T64" s="353" t="e">
        <f>#REF!</f>
        <v>#REF!</v>
      </c>
      <c r="U64" s="353" t="e">
        <f>#REF!</f>
        <v>#REF!</v>
      </c>
      <c r="V64" s="353" t="e">
        <f>#REF!</f>
        <v>#REF!</v>
      </c>
      <c r="W64" s="339"/>
      <c r="X64" s="339"/>
      <c r="Y64" s="339"/>
      <c r="Z64" s="339"/>
      <c r="AA64" s="352" t="e">
        <f>#REF!</f>
        <v>#REF!</v>
      </c>
      <c r="AB64" s="339"/>
      <c r="AC64" s="339"/>
      <c r="AD64" s="339"/>
      <c r="AE64" s="339" t="e">
        <f>#REF!</f>
        <v>#REF!</v>
      </c>
      <c r="AF64" s="339" t="e">
        <f>#REF!</f>
        <v>#REF!</v>
      </c>
      <c r="AG64" s="124" t="e">
        <f>#REF!</f>
        <v>#REF!</v>
      </c>
      <c r="AH64" s="124" t="e">
        <f>#REF!</f>
        <v>#REF!</v>
      </c>
      <c r="AI64" s="124" t="e">
        <f>#REF!</f>
        <v>#REF!</v>
      </c>
      <c r="AJ64" s="124" t="e">
        <f>#REF!</f>
        <v>#REF!</v>
      </c>
      <c r="AK64" s="124" t="e">
        <f>#REF!</f>
        <v>#REF!</v>
      </c>
      <c r="AL64" s="124" t="e">
        <f>#REF!</f>
        <v>#REF!</v>
      </c>
      <c r="AM64" s="124" t="e">
        <f>#REF!</f>
        <v>#REF!</v>
      </c>
      <c r="AN64" s="124" t="e">
        <f>#REF!</f>
        <v>#REF!</v>
      </c>
      <c r="AO64" s="124" t="e">
        <f>#REF!</f>
        <v>#REF!</v>
      </c>
      <c r="AP64" s="124" t="e">
        <f>#REF!</f>
        <v>#REF!</v>
      </c>
    </row>
    <row r="65" spans="1:42" x14ac:dyDescent="0.25">
      <c r="A65" s="351" t="e">
        <f>#REF!</f>
        <v>#REF!</v>
      </c>
      <c r="B65" s="351" t="e">
        <f>#REF!</f>
        <v>#REF!</v>
      </c>
      <c r="C65" s="351" t="e">
        <f>#REF!</f>
        <v>#REF!</v>
      </c>
      <c r="D65" s="351" t="e">
        <f>#REF!</f>
        <v>#REF!</v>
      </c>
      <c r="E65" s="351" t="e">
        <f>#REF!</f>
        <v>#REF!</v>
      </c>
      <c r="F65" s="351" t="e">
        <f>#REF!</f>
        <v>#REF!</v>
      </c>
      <c r="G65" s="351" t="e">
        <f>#REF!</f>
        <v>#REF!</v>
      </c>
      <c r="H65" s="351" t="e">
        <f>#REF!</f>
        <v>#REF!</v>
      </c>
      <c r="I65" s="339"/>
      <c r="J65" s="339"/>
      <c r="K65" s="339"/>
      <c r="L65" s="339"/>
      <c r="M65" s="339"/>
      <c r="N65" s="352" t="e">
        <f t="shared" si="2"/>
        <v>#REF!</v>
      </c>
      <c r="O65" s="339">
        <f t="shared" si="2"/>
        <v>0</v>
      </c>
      <c r="P65" s="339">
        <f t="shared" si="2"/>
        <v>0</v>
      </c>
      <c r="Q65" s="339"/>
      <c r="R65" s="339"/>
      <c r="S65" s="339">
        <f t="shared" si="3"/>
        <v>0</v>
      </c>
      <c r="T65" s="353" t="e">
        <f>#REF!</f>
        <v>#REF!</v>
      </c>
      <c r="U65" s="353" t="e">
        <f>#REF!</f>
        <v>#REF!</v>
      </c>
      <c r="V65" s="353" t="e">
        <f>#REF!</f>
        <v>#REF!</v>
      </c>
      <c r="W65" s="339"/>
      <c r="X65" s="339"/>
      <c r="Y65" s="339"/>
      <c r="Z65" s="339"/>
      <c r="AA65" s="352" t="e">
        <f>#REF!</f>
        <v>#REF!</v>
      </c>
      <c r="AB65" s="339"/>
      <c r="AC65" s="339"/>
      <c r="AD65" s="339"/>
      <c r="AE65" s="339" t="e">
        <f>#REF!</f>
        <v>#REF!</v>
      </c>
      <c r="AF65" s="339" t="e">
        <f>#REF!</f>
        <v>#REF!</v>
      </c>
      <c r="AG65" s="124" t="e">
        <f>#REF!</f>
        <v>#REF!</v>
      </c>
      <c r="AH65" s="124" t="e">
        <f>#REF!</f>
        <v>#REF!</v>
      </c>
      <c r="AI65" s="124" t="e">
        <f>#REF!</f>
        <v>#REF!</v>
      </c>
      <c r="AJ65" s="124" t="e">
        <f>#REF!</f>
        <v>#REF!</v>
      </c>
      <c r="AK65" s="124" t="e">
        <f>#REF!</f>
        <v>#REF!</v>
      </c>
      <c r="AL65" s="124" t="e">
        <f>#REF!</f>
        <v>#REF!</v>
      </c>
      <c r="AM65" s="124" t="e">
        <f>#REF!</f>
        <v>#REF!</v>
      </c>
      <c r="AN65" s="124" t="e">
        <f>#REF!</f>
        <v>#REF!</v>
      </c>
      <c r="AO65" s="124" t="e">
        <f>#REF!</f>
        <v>#REF!</v>
      </c>
      <c r="AP65" s="124" t="e">
        <f>#REF!</f>
        <v>#REF!</v>
      </c>
    </row>
    <row r="66" spans="1:42" x14ac:dyDescent="0.25">
      <c r="A66" s="351" t="e">
        <f>#REF!</f>
        <v>#REF!</v>
      </c>
      <c r="B66" s="351" t="e">
        <f>#REF!</f>
        <v>#REF!</v>
      </c>
      <c r="C66" s="351" t="e">
        <f>#REF!</f>
        <v>#REF!</v>
      </c>
      <c r="D66" s="351" t="e">
        <f>#REF!</f>
        <v>#REF!</v>
      </c>
      <c r="E66" s="351" t="e">
        <f>#REF!</f>
        <v>#REF!</v>
      </c>
      <c r="F66" s="351" t="e">
        <f>#REF!</f>
        <v>#REF!</v>
      </c>
      <c r="G66" s="351" t="e">
        <f>#REF!</f>
        <v>#REF!</v>
      </c>
      <c r="H66" s="351" t="e">
        <f>#REF!</f>
        <v>#REF!</v>
      </c>
      <c r="I66" s="339"/>
      <c r="J66" s="339"/>
      <c r="K66" s="339"/>
      <c r="L66" s="339"/>
      <c r="M66" s="339"/>
      <c r="N66" s="352" t="e">
        <f t="shared" si="2"/>
        <v>#REF!</v>
      </c>
      <c r="O66" s="339">
        <f t="shared" si="2"/>
        <v>0</v>
      </c>
      <c r="P66" s="339">
        <f t="shared" si="2"/>
        <v>0</v>
      </c>
      <c r="Q66" s="339"/>
      <c r="R66" s="339"/>
      <c r="S66" s="339">
        <f t="shared" si="3"/>
        <v>0</v>
      </c>
      <c r="T66" s="353" t="e">
        <f>#REF!</f>
        <v>#REF!</v>
      </c>
      <c r="U66" s="353" t="e">
        <f>#REF!</f>
        <v>#REF!</v>
      </c>
      <c r="V66" s="353" t="e">
        <f>#REF!</f>
        <v>#REF!</v>
      </c>
      <c r="W66" s="339"/>
      <c r="X66" s="339"/>
      <c r="Y66" s="339"/>
      <c r="Z66" s="339"/>
      <c r="AA66" s="352" t="e">
        <f>#REF!</f>
        <v>#REF!</v>
      </c>
      <c r="AB66" s="339"/>
      <c r="AC66" s="339"/>
      <c r="AD66" s="339"/>
      <c r="AE66" s="339" t="e">
        <f>#REF!</f>
        <v>#REF!</v>
      </c>
      <c r="AF66" s="339" t="e">
        <f>#REF!</f>
        <v>#REF!</v>
      </c>
      <c r="AG66" s="124" t="e">
        <f>#REF!</f>
        <v>#REF!</v>
      </c>
      <c r="AH66" s="124" t="e">
        <f>#REF!</f>
        <v>#REF!</v>
      </c>
      <c r="AI66" s="124" t="e">
        <f>#REF!</f>
        <v>#REF!</v>
      </c>
      <c r="AJ66" s="124" t="e">
        <f>#REF!</f>
        <v>#REF!</v>
      </c>
      <c r="AK66" s="124" t="e">
        <f>#REF!</f>
        <v>#REF!</v>
      </c>
      <c r="AL66" s="124" t="e">
        <f>#REF!</f>
        <v>#REF!</v>
      </c>
      <c r="AM66" s="124" t="e">
        <f>#REF!</f>
        <v>#REF!</v>
      </c>
      <c r="AN66" s="124" t="e">
        <f>#REF!</f>
        <v>#REF!</v>
      </c>
      <c r="AO66" s="124" t="e">
        <f>#REF!</f>
        <v>#REF!</v>
      </c>
      <c r="AP66" s="124" t="e">
        <f>#REF!</f>
        <v>#REF!</v>
      </c>
    </row>
    <row r="67" spans="1:42" x14ac:dyDescent="0.25">
      <c r="A67" s="351" t="e">
        <f>#REF!</f>
        <v>#REF!</v>
      </c>
      <c r="B67" s="351" t="e">
        <f>#REF!</f>
        <v>#REF!</v>
      </c>
      <c r="C67" s="351" t="e">
        <f>#REF!</f>
        <v>#REF!</v>
      </c>
      <c r="D67" s="351" t="e">
        <f>#REF!</f>
        <v>#REF!</v>
      </c>
      <c r="E67" s="351" t="e">
        <f>#REF!</f>
        <v>#REF!</v>
      </c>
      <c r="F67" s="351" t="e">
        <f>#REF!</f>
        <v>#REF!</v>
      </c>
      <c r="G67" s="351" t="e">
        <f>#REF!</f>
        <v>#REF!</v>
      </c>
      <c r="H67" s="351" t="e">
        <f>#REF!</f>
        <v>#REF!</v>
      </c>
      <c r="I67" s="339"/>
      <c r="J67" s="339"/>
      <c r="K67" s="339"/>
      <c r="L67" s="339"/>
      <c r="M67" s="339"/>
      <c r="N67" s="352" t="e">
        <f t="shared" si="2"/>
        <v>#REF!</v>
      </c>
      <c r="O67" s="339">
        <f t="shared" si="2"/>
        <v>0</v>
      </c>
      <c r="P67" s="339">
        <f t="shared" si="2"/>
        <v>0</v>
      </c>
      <c r="Q67" s="339"/>
      <c r="R67" s="339"/>
      <c r="S67" s="339">
        <f t="shared" si="3"/>
        <v>0</v>
      </c>
      <c r="T67" s="353" t="e">
        <f>#REF!</f>
        <v>#REF!</v>
      </c>
      <c r="U67" s="353" t="e">
        <f>#REF!</f>
        <v>#REF!</v>
      </c>
      <c r="V67" s="353" t="e">
        <f>#REF!</f>
        <v>#REF!</v>
      </c>
      <c r="W67" s="339"/>
      <c r="X67" s="339"/>
      <c r="Y67" s="339"/>
      <c r="Z67" s="339"/>
      <c r="AA67" s="352" t="e">
        <f>#REF!</f>
        <v>#REF!</v>
      </c>
      <c r="AB67" s="339"/>
      <c r="AC67" s="339"/>
      <c r="AD67" s="339"/>
      <c r="AE67" s="339" t="e">
        <f>#REF!</f>
        <v>#REF!</v>
      </c>
      <c r="AF67" s="339" t="e">
        <f>#REF!</f>
        <v>#REF!</v>
      </c>
      <c r="AG67" s="124" t="e">
        <f>#REF!</f>
        <v>#REF!</v>
      </c>
      <c r="AH67" s="124" t="e">
        <f>#REF!</f>
        <v>#REF!</v>
      </c>
      <c r="AI67" s="124" t="e">
        <f>#REF!</f>
        <v>#REF!</v>
      </c>
      <c r="AJ67" s="124" t="e">
        <f>#REF!</f>
        <v>#REF!</v>
      </c>
      <c r="AK67" s="124" t="e">
        <f>#REF!</f>
        <v>#REF!</v>
      </c>
      <c r="AL67" s="124" t="e">
        <f>#REF!</f>
        <v>#REF!</v>
      </c>
      <c r="AM67" s="124" t="e">
        <f>#REF!</f>
        <v>#REF!</v>
      </c>
      <c r="AN67" s="124" t="e">
        <f>#REF!</f>
        <v>#REF!</v>
      </c>
      <c r="AO67" s="124" t="e">
        <f>#REF!</f>
        <v>#REF!</v>
      </c>
      <c r="AP67" s="124" t="e">
        <f>#REF!</f>
        <v>#REF!</v>
      </c>
    </row>
    <row r="68" spans="1:42" x14ac:dyDescent="0.25">
      <c r="A68" s="351" t="e">
        <f>#REF!</f>
        <v>#REF!</v>
      </c>
      <c r="B68" s="351" t="e">
        <f>#REF!</f>
        <v>#REF!</v>
      </c>
      <c r="C68" s="351" t="e">
        <f>#REF!</f>
        <v>#REF!</v>
      </c>
      <c r="D68" s="351" t="e">
        <f>#REF!</f>
        <v>#REF!</v>
      </c>
      <c r="E68" s="351" t="e">
        <f>#REF!</f>
        <v>#REF!</v>
      </c>
      <c r="F68" s="351" t="e">
        <f>#REF!</f>
        <v>#REF!</v>
      </c>
      <c r="G68" s="351" t="e">
        <f>#REF!</f>
        <v>#REF!</v>
      </c>
      <c r="H68" s="351" t="e">
        <f>#REF!</f>
        <v>#REF!</v>
      </c>
      <c r="I68" s="339"/>
      <c r="J68" s="339"/>
      <c r="K68" s="339"/>
      <c r="L68" s="339"/>
      <c r="M68" s="339"/>
      <c r="N68" s="352" t="e">
        <f t="shared" si="2"/>
        <v>#REF!</v>
      </c>
      <c r="O68" s="339">
        <f t="shared" si="2"/>
        <v>0</v>
      </c>
      <c r="P68" s="339">
        <f t="shared" si="2"/>
        <v>0</v>
      </c>
      <c r="Q68" s="339"/>
      <c r="R68" s="339"/>
      <c r="S68" s="339">
        <f t="shared" si="3"/>
        <v>0</v>
      </c>
      <c r="T68" s="353" t="e">
        <f>#REF!</f>
        <v>#REF!</v>
      </c>
      <c r="U68" s="353" t="e">
        <f>#REF!</f>
        <v>#REF!</v>
      </c>
      <c r="V68" s="353" t="e">
        <f>#REF!</f>
        <v>#REF!</v>
      </c>
      <c r="W68" s="339"/>
      <c r="X68" s="339"/>
      <c r="Y68" s="339"/>
      <c r="Z68" s="339"/>
      <c r="AA68" s="352" t="e">
        <f>#REF!</f>
        <v>#REF!</v>
      </c>
      <c r="AB68" s="339"/>
      <c r="AC68" s="339"/>
      <c r="AD68" s="339"/>
      <c r="AE68" s="339" t="e">
        <f>#REF!</f>
        <v>#REF!</v>
      </c>
      <c r="AF68" s="339" t="e">
        <f>#REF!</f>
        <v>#REF!</v>
      </c>
      <c r="AG68" s="124" t="e">
        <f>#REF!</f>
        <v>#REF!</v>
      </c>
      <c r="AH68" s="124" t="e">
        <f>#REF!</f>
        <v>#REF!</v>
      </c>
      <c r="AI68" s="124" t="e">
        <f>#REF!</f>
        <v>#REF!</v>
      </c>
      <c r="AJ68" s="124" t="e">
        <f>#REF!</f>
        <v>#REF!</v>
      </c>
      <c r="AK68" s="124" t="e">
        <f>#REF!</f>
        <v>#REF!</v>
      </c>
      <c r="AL68" s="124" t="e">
        <f>#REF!</f>
        <v>#REF!</v>
      </c>
      <c r="AM68" s="124" t="e">
        <f>#REF!</f>
        <v>#REF!</v>
      </c>
      <c r="AN68" s="124" t="e">
        <f>#REF!</f>
        <v>#REF!</v>
      </c>
      <c r="AO68" s="124" t="e">
        <f>#REF!</f>
        <v>#REF!</v>
      </c>
      <c r="AP68" s="124" t="e">
        <f>#REF!</f>
        <v>#REF!</v>
      </c>
    </row>
    <row r="69" spans="1:42" x14ac:dyDescent="0.25">
      <c r="A69" s="351" t="e">
        <f>#REF!</f>
        <v>#REF!</v>
      </c>
      <c r="B69" s="351" t="e">
        <f>#REF!</f>
        <v>#REF!</v>
      </c>
      <c r="C69" s="351" t="e">
        <f>#REF!</f>
        <v>#REF!</v>
      </c>
      <c r="D69" s="351" t="e">
        <f>#REF!</f>
        <v>#REF!</v>
      </c>
      <c r="E69" s="351" t="e">
        <f>#REF!</f>
        <v>#REF!</v>
      </c>
      <c r="F69" s="351" t="e">
        <f>#REF!</f>
        <v>#REF!</v>
      </c>
      <c r="G69" s="351" t="e">
        <f>#REF!</f>
        <v>#REF!</v>
      </c>
      <c r="H69" s="351" t="e">
        <f>#REF!</f>
        <v>#REF!</v>
      </c>
      <c r="I69" s="339"/>
      <c r="J69" s="339"/>
      <c r="K69" s="339"/>
      <c r="L69" s="339"/>
      <c r="M69" s="339"/>
      <c r="N69" s="352" t="e">
        <f t="shared" si="2"/>
        <v>#REF!</v>
      </c>
      <c r="O69" s="339">
        <f t="shared" si="2"/>
        <v>0</v>
      </c>
      <c r="P69" s="339">
        <f t="shared" si="2"/>
        <v>0</v>
      </c>
      <c r="Q69" s="339"/>
      <c r="R69" s="339"/>
      <c r="S69" s="339">
        <f t="shared" si="3"/>
        <v>0</v>
      </c>
      <c r="T69" s="353" t="e">
        <f>#REF!</f>
        <v>#REF!</v>
      </c>
      <c r="U69" s="353" t="e">
        <f>#REF!</f>
        <v>#REF!</v>
      </c>
      <c r="V69" s="353" t="e">
        <f>#REF!</f>
        <v>#REF!</v>
      </c>
      <c r="W69" s="339"/>
      <c r="X69" s="339"/>
      <c r="Y69" s="339"/>
      <c r="Z69" s="339"/>
      <c r="AA69" s="352" t="e">
        <f>#REF!</f>
        <v>#REF!</v>
      </c>
      <c r="AB69" s="339"/>
      <c r="AC69" s="339"/>
      <c r="AD69" s="339"/>
      <c r="AE69" s="339" t="e">
        <f>#REF!</f>
        <v>#REF!</v>
      </c>
      <c r="AF69" s="339" t="e">
        <f>#REF!</f>
        <v>#REF!</v>
      </c>
      <c r="AG69" s="124" t="e">
        <f>#REF!</f>
        <v>#REF!</v>
      </c>
      <c r="AH69" s="124" t="e">
        <f>#REF!</f>
        <v>#REF!</v>
      </c>
      <c r="AI69" s="124" t="e">
        <f>#REF!</f>
        <v>#REF!</v>
      </c>
      <c r="AJ69" s="124" t="e">
        <f>#REF!</f>
        <v>#REF!</v>
      </c>
      <c r="AK69" s="124" t="e">
        <f>#REF!</f>
        <v>#REF!</v>
      </c>
      <c r="AL69" s="124" t="e">
        <f>#REF!</f>
        <v>#REF!</v>
      </c>
      <c r="AM69" s="124" t="e">
        <f>#REF!</f>
        <v>#REF!</v>
      </c>
      <c r="AN69" s="124" t="e">
        <f>#REF!</f>
        <v>#REF!</v>
      </c>
      <c r="AO69" s="124" t="e">
        <f>#REF!</f>
        <v>#REF!</v>
      </c>
      <c r="AP69" s="124" t="e">
        <f>#REF!</f>
        <v>#REF!</v>
      </c>
    </row>
    <row r="70" spans="1:42" x14ac:dyDescent="0.25">
      <c r="A70" s="351" t="e">
        <f>#REF!</f>
        <v>#REF!</v>
      </c>
      <c r="B70" s="351" t="e">
        <f>#REF!</f>
        <v>#REF!</v>
      </c>
      <c r="C70" s="351" t="e">
        <f>#REF!</f>
        <v>#REF!</v>
      </c>
      <c r="D70" s="351" t="e">
        <f>#REF!</f>
        <v>#REF!</v>
      </c>
      <c r="E70" s="351" t="e">
        <f>#REF!</f>
        <v>#REF!</v>
      </c>
      <c r="F70" s="351" t="e">
        <f>#REF!</f>
        <v>#REF!</v>
      </c>
      <c r="G70" s="351" t="e">
        <f>#REF!</f>
        <v>#REF!</v>
      </c>
      <c r="H70" s="351" t="e">
        <f>#REF!</f>
        <v>#REF!</v>
      </c>
      <c r="I70" s="339"/>
      <c r="J70" s="339"/>
      <c r="K70" s="339"/>
      <c r="L70" s="339"/>
      <c r="M70" s="339"/>
      <c r="N70" s="352" t="e">
        <f t="shared" si="2"/>
        <v>#REF!</v>
      </c>
      <c r="O70" s="339">
        <f t="shared" si="2"/>
        <v>0</v>
      </c>
      <c r="P70" s="339">
        <f t="shared" si="2"/>
        <v>0</v>
      </c>
      <c r="Q70" s="339"/>
      <c r="R70" s="339"/>
      <c r="S70" s="339">
        <f t="shared" si="3"/>
        <v>0</v>
      </c>
      <c r="T70" s="353" t="e">
        <f>#REF!</f>
        <v>#REF!</v>
      </c>
      <c r="U70" s="353" t="e">
        <f>#REF!</f>
        <v>#REF!</v>
      </c>
      <c r="V70" s="353" t="e">
        <f>#REF!</f>
        <v>#REF!</v>
      </c>
      <c r="W70" s="339"/>
      <c r="X70" s="339"/>
      <c r="Y70" s="339"/>
      <c r="Z70" s="339"/>
      <c r="AA70" s="352" t="e">
        <f>#REF!</f>
        <v>#REF!</v>
      </c>
      <c r="AB70" s="339"/>
      <c r="AC70" s="339"/>
      <c r="AD70" s="339"/>
      <c r="AE70" s="339" t="e">
        <f>#REF!</f>
        <v>#REF!</v>
      </c>
      <c r="AF70" s="339" t="e">
        <f>#REF!</f>
        <v>#REF!</v>
      </c>
      <c r="AG70" s="124" t="e">
        <f>#REF!</f>
        <v>#REF!</v>
      </c>
      <c r="AH70" s="124" t="e">
        <f>#REF!</f>
        <v>#REF!</v>
      </c>
      <c r="AI70" s="124" t="e">
        <f>#REF!</f>
        <v>#REF!</v>
      </c>
      <c r="AJ70" s="124" t="e">
        <f>#REF!</f>
        <v>#REF!</v>
      </c>
      <c r="AK70" s="124" t="e">
        <f>#REF!</f>
        <v>#REF!</v>
      </c>
      <c r="AL70" s="124" t="e">
        <f>#REF!</f>
        <v>#REF!</v>
      </c>
      <c r="AM70" s="124" t="e">
        <f>#REF!</f>
        <v>#REF!</v>
      </c>
      <c r="AN70" s="124" t="e">
        <f>#REF!</f>
        <v>#REF!</v>
      </c>
      <c r="AO70" s="124" t="e">
        <f>#REF!</f>
        <v>#REF!</v>
      </c>
      <c r="AP70" s="124" t="e">
        <f>#REF!</f>
        <v>#REF!</v>
      </c>
    </row>
    <row r="71" spans="1:42" x14ac:dyDescent="0.25">
      <c r="A71" s="351" t="e">
        <f>#REF!</f>
        <v>#REF!</v>
      </c>
      <c r="B71" s="351" t="e">
        <f>#REF!</f>
        <v>#REF!</v>
      </c>
      <c r="C71" s="351" t="e">
        <f>#REF!</f>
        <v>#REF!</v>
      </c>
      <c r="D71" s="351" t="e">
        <f>#REF!</f>
        <v>#REF!</v>
      </c>
      <c r="E71" s="351" t="e">
        <f>#REF!</f>
        <v>#REF!</v>
      </c>
      <c r="F71" s="351" t="e">
        <f>#REF!</f>
        <v>#REF!</v>
      </c>
      <c r="G71" s="351" t="e">
        <f>#REF!</f>
        <v>#REF!</v>
      </c>
      <c r="H71" s="351" t="e">
        <f>#REF!</f>
        <v>#REF!</v>
      </c>
      <c r="I71" s="339"/>
      <c r="J71" s="339"/>
      <c r="K71" s="339"/>
      <c r="L71" s="339"/>
      <c r="M71" s="339"/>
      <c r="N71" s="352" t="e">
        <f t="shared" si="2"/>
        <v>#REF!</v>
      </c>
      <c r="O71" s="339">
        <f t="shared" si="2"/>
        <v>0</v>
      </c>
      <c r="P71" s="339">
        <f t="shared" si="2"/>
        <v>0</v>
      </c>
      <c r="Q71" s="339"/>
      <c r="R71" s="339"/>
      <c r="S71" s="339">
        <f t="shared" si="3"/>
        <v>0</v>
      </c>
      <c r="T71" s="353" t="e">
        <f>#REF!</f>
        <v>#REF!</v>
      </c>
      <c r="U71" s="353" t="e">
        <f>#REF!</f>
        <v>#REF!</v>
      </c>
      <c r="V71" s="353" t="e">
        <f>#REF!</f>
        <v>#REF!</v>
      </c>
      <c r="W71" s="339"/>
      <c r="X71" s="339"/>
      <c r="Y71" s="339"/>
      <c r="Z71" s="339"/>
      <c r="AA71" s="352" t="e">
        <f>#REF!</f>
        <v>#REF!</v>
      </c>
      <c r="AB71" s="339"/>
      <c r="AC71" s="339"/>
      <c r="AD71" s="339"/>
      <c r="AE71" s="339" t="e">
        <f>#REF!</f>
        <v>#REF!</v>
      </c>
      <c r="AF71" s="339" t="e">
        <f>#REF!</f>
        <v>#REF!</v>
      </c>
      <c r="AG71" s="124" t="e">
        <f>#REF!</f>
        <v>#REF!</v>
      </c>
      <c r="AH71" s="124" t="e">
        <f>#REF!</f>
        <v>#REF!</v>
      </c>
      <c r="AI71" s="124" t="e">
        <f>#REF!</f>
        <v>#REF!</v>
      </c>
      <c r="AJ71" s="124" t="e">
        <f>#REF!</f>
        <v>#REF!</v>
      </c>
      <c r="AK71" s="124" t="e">
        <f>#REF!</f>
        <v>#REF!</v>
      </c>
      <c r="AL71" s="124" t="e">
        <f>#REF!</f>
        <v>#REF!</v>
      </c>
      <c r="AM71" s="124" t="e">
        <f>#REF!</f>
        <v>#REF!</v>
      </c>
      <c r="AN71" s="124" t="e">
        <f>#REF!</f>
        <v>#REF!</v>
      </c>
      <c r="AO71" s="124" t="e">
        <f>#REF!</f>
        <v>#REF!</v>
      </c>
      <c r="AP71" s="124" t="e">
        <f>#REF!</f>
        <v>#REF!</v>
      </c>
    </row>
    <row r="72" spans="1:42" x14ac:dyDescent="0.25">
      <c r="A72" s="351" t="e">
        <f>#REF!</f>
        <v>#REF!</v>
      </c>
      <c r="B72" s="351" t="e">
        <f>#REF!</f>
        <v>#REF!</v>
      </c>
      <c r="C72" s="351" t="e">
        <f>#REF!</f>
        <v>#REF!</v>
      </c>
      <c r="D72" s="351" t="e">
        <f>#REF!</f>
        <v>#REF!</v>
      </c>
      <c r="E72" s="351" t="e">
        <f>#REF!</f>
        <v>#REF!</v>
      </c>
      <c r="F72" s="351" t="e">
        <f>#REF!</f>
        <v>#REF!</v>
      </c>
      <c r="G72" s="351" t="e">
        <f>#REF!</f>
        <v>#REF!</v>
      </c>
      <c r="H72" s="351" t="e">
        <f>#REF!</f>
        <v>#REF!</v>
      </c>
      <c r="I72" s="339"/>
      <c r="J72" s="339"/>
      <c r="K72" s="339"/>
      <c r="L72" s="339"/>
      <c r="M72" s="339"/>
      <c r="N72" s="352" t="e">
        <f t="shared" si="2"/>
        <v>#REF!</v>
      </c>
      <c r="O72" s="339">
        <f t="shared" si="2"/>
        <v>0</v>
      </c>
      <c r="P72" s="339">
        <f t="shared" si="2"/>
        <v>0</v>
      </c>
      <c r="Q72" s="339"/>
      <c r="R72" s="339"/>
      <c r="S72" s="339">
        <f t="shared" si="3"/>
        <v>0</v>
      </c>
      <c r="T72" s="353" t="e">
        <f>#REF!</f>
        <v>#REF!</v>
      </c>
      <c r="U72" s="353" t="e">
        <f>#REF!</f>
        <v>#REF!</v>
      </c>
      <c r="V72" s="353" t="e">
        <f>#REF!</f>
        <v>#REF!</v>
      </c>
      <c r="W72" s="339"/>
      <c r="X72" s="339"/>
      <c r="Y72" s="339"/>
      <c r="Z72" s="339"/>
      <c r="AA72" s="352" t="e">
        <f>#REF!</f>
        <v>#REF!</v>
      </c>
      <c r="AB72" s="339"/>
      <c r="AC72" s="339"/>
      <c r="AD72" s="339"/>
      <c r="AE72" s="339" t="e">
        <f>#REF!</f>
        <v>#REF!</v>
      </c>
      <c r="AF72" s="339" t="e">
        <f>#REF!</f>
        <v>#REF!</v>
      </c>
      <c r="AG72" s="124" t="e">
        <f>#REF!</f>
        <v>#REF!</v>
      </c>
      <c r="AH72" s="124" t="e">
        <f>#REF!</f>
        <v>#REF!</v>
      </c>
      <c r="AI72" s="124" t="e">
        <f>#REF!</f>
        <v>#REF!</v>
      </c>
      <c r="AJ72" s="124" t="e">
        <f>#REF!</f>
        <v>#REF!</v>
      </c>
      <c r="AK72" s="124" t="e">
        <f>#REF!</f>
        <v>#REF!</v>
      </c>
      <c r="AL72" s="124" t="e">
        <f>#REF!</f>
        <v>#REF!</v>
      </c>
      <c r="AM72" s="124" t="e">
        <f>#REF!</f>
        <v>#REF!</v>
      </c>
      <c r="AN72" s="124" t="e">
        <f>#REF!</f>
        <v>#REF!</v>
      </c>
      <c r="AO72" s="124" t="e">
        <f>#REF!</f>
        <v>#REF!</v>
      </c>
      <c r="AP72" s="124" t="e">
        <f>#REF!</f>
        <v>#REF!</v>
      </c>
    </row>
    <row r="73" spans="1:42" x14ac:dyDescent="0.25">
      <c r="A73" s="351" t="e">
        <f>#REF!</f>
        <v>#REF!</v>
      </c>
      <c r="B73" s="351" t="e">
        <f>#REF!</f>
        <v>#REF!</v>
      </c>
      <c r="C73" s="351" t="e">
        <f>#REF!</f>
        <v>#REF!</v>
      </c>
      <c r="D73" s="351" t="e">
        <f>#REF!</f>
        <v>#REF!</v>
      </c>
      <c r="E73" s="351" t="e">
        <f>#REF!</f>
        <v>#REF!</v>
      </c>
      <c r="F73" s="351" t="e">
        <f>#REF!</f>
        <v>#REF!</v>
      </c>
      <c r="G73" s="351" t="e">
        <f>#REF!</f>
        <v>#REF!</v>
      </c>
      <c r="H73" s="351" t="e">
        <f>#REF!</f>
        <v>#REF!</v>
      </c>
      <c r="I73" s="339"/>
      <c r="J73" s="339"/>
      <c r="K73" s="339"/>
      <c r="L73" s="339"/>
      <c r="M73" s="339"/>
      <c r="N73" s="352" t="e">
        <f t="shared" si="2"/>
        <v>#REF!</v>
      </c>
      <c r="O73" s="339">
        <f t="shared" si="2"/>
        <v>0</v>
      </c>
      <c r="P73" s="339">
        <f t="shared" si="2"/>
        <v>0</v>
      </c>
      <c r="Q73" s="339"/>
      <c r="R73" s="339"/>
      <c r="S73" s="339">
        <f t="shared" si="3"/>
        <v>0</v>
      </c>
      <c r="T73" s="353" t="e">
        <f>#REF!</f>
        <v>#REF!</v>
      </c>
      <c r="U73" s="353" t="e">
        <f>#REF!</f>
        <v>#REF!</v>
      </c>
      <c r="V73" s="353" t="e">
        <f>#REF!</f>
        <v>#REF!</v>
      </c>
      <c r="W73" s="339"/>
      <c r="X73" s="339"/>
      <c r="Y73" s="339"/>
      <c r="Z73" s="339"/>
      <c r="AA73" s="352" t="e">
        <f>#REF!</f>
        <v>#REF!</v>
      </c>
      <c r="AB73" s="339"/>
      <c r="AC73" s="339"/>
      <c r="AD73" s="339"/>
      <c r="AE73" s="339" t="e">
        <f>#REF!</f>
        <v>#REF!</v>
      </c>
      <c r="AF73" s="339" t="e">
        <f>#REF!</f>
        <v>#REF!</v>
      </c>
      <c r="AG73" s="124" t="e">
        <f>#REF!</f>
        <v>#REF!</v>
      </c>
      <c r="AH73" s="124" t="e">
        <f>#REF!</f>
        <v>#REF!</v>
      </c>
      <c r="AI73" s="124" t="e">
        <f>#REF!</f>
        <v>#REF!</v>
      </c>
      <c r="AJ73" s="124" t="e">
        <f>#REF!</f>
        <v>#REF!</v>
      </c>
      <c r="AK73" s="124" t="e">
        <f>#REF!</f>
        <v>#REF!</v>
      </c>
      <c r="AL73" s="124" t="e">
        <f>#REF!</f>
        <v>#REF!</v>
      </c>
      <c r="AM73" s="124" t="e">
        <f>#REF!</f>
        <v>#REF!</v>
      </c>
      <c r="AN73" s="124" t="e">
        <f>#REF!</f>
        <v>#REF!</v>
      </c>
      <c r="AO73" s="124" t="e">
        <f>#REF!</f>
        <v>#REF!</v>
      </c>
      <c r="AP73" s="124" t="e">
        <f>#REF!</f>
        <v>#REF!</v>
      </c>
    </row>
    <row r="74" spans="1:42" x14ac:dyDescent="0.25">
      <c r="A74" s="351" t="e">
        <f>#REF!</f>
        <v>#REF!</v>
      </c>
      <c r="B74" s="351" t="e">
        <f>#REF!</f>
        <v>#REF!</v>
      </c>
      <c r="C74" s="351" t="e">
        <f>#REF!</f>
        <v>#REF!</v>
      </c>
      <c r="D74" s="351" t="e">
        <f>#REF!</f>
        <v>#REF!</v>
      </c>
      <c r="E74" s="351" t="e">
        <f>#REF!</f>
        <v>#REF!</v>
      </c>
      <c r="F74" s="351" t="e">
        <f>#REF!</f>
        <v>#REF!</v>
      </c>
      <c r="G74" s="351" t="e">
        <f>#REF!</f>
        <v>#REF!</v>
      </c>
      <c r="H74" s="351" t="e">
        <f>#REF!</f>
        <v>#REF!</v>
      </c>
      <c r="I74" s="339"/>
      <c r="J74" s="339"/>
      <c r="K74" s="339"/>
      <c r="L74" s="339"/>
      <c r="M74" s="339"/>
      <c r="N74" s="352" t="e">
        <f t="shared" si="2"/>
        <v>#REF!</v>
      </c>
      <c r="O74" s="339">
        <f t="shared" si="2"/>
        <v>0</v>
      </c>
      <c r="P74" s="339">
        <f t="shared" si="2"/>
        <v>0</v>
      </c>
      <c r="Q74" s="339"/>
      <c r="R74" s="339"/>
      <c r="S74" s="339">
        <f t="shared" si="3"/>
        <v>0</v>
      </c>
      <c r="T74" s="353" t="e">
        <f>#REF!</f>
        <v>#REF!</v>
      </c>
      <c r="U74" s="353" t="e">
        <f>#REF!</f>
        <v>#REF!</v>
      </c>
      <c r="V74" s="353" t="e">
        <f>#REF!</f>
        <v>#REF!</v>
      </c>
      <c r="W74" s="339"/>
      <c r="X74" s="339"/>
      <c r="Y74" s="339"/>
      <c r="Z74" s="339"/>
      <c r="AA74" s="352" t="e">
        <f>#REF!</f>
        <v>#REF!</v>
      </c>
      <c r="AB74" s="339"/>
      <c r="AC74" s="339"/>
      <c r="AD74" s="339"/>
      <c r="AE74" s="339" t="e">
        <f>#REF!</f>
        <v>#REF!</v>
      </c>
      <c r="AF74" s="339" t="e">
        <f>#REF!</f>
        <v>#REF!</v>
      </c>
      <c r="AG74" s="124" t="e">
        <f>#REF!</f>
        <v>#REF!</v>
      </c>
      <c r="AH74" s="124" t="e">
        <f>#REF!</f>
        <v>#REF!</v>
      </c>
      <c r="AI74" s="124" t="e">
        <f>#REF!</f>
        <v>#REF!</v>
      </c>
      <c r="AJ74" s="124" t="e">
        <f>#REF!</f>
        <v>#REF!</v>
      </c>
      <c r="AK74" s="124" t="e">
        <f>#REF!</f>
        <v>#REF!</v>
      </c>
      <c r="AL74" s="124" t="e">
        <f>#REF!</f>
        <v>#REF!</v>
      </c>
      <c r="AM74" s="124" t="e">
        <f>#REF!</f>
        <v>#REF!</v>
      </c>
      <c r="AN74" s="124" t="e">
        <f>#REF!</f>
        <v>#REF!</v>
      </c>
      <c r="AO74" s="124" t="e">
        <f>#REF!</f>
        <v>#REF!</v>
      </c>
      <c r="AP74" s="124" t="e">
        <f>#REF!</f>
        <v>#REF!</v>
      </c>
    </row>
    <row r="75" spans="1:42" x14ac:dyDescent="0.25">
      <c r="A75" s="351" t="e">
        <f>#REF!</f>
        <v>#REF!</v>
      </c>
      <c r="B75" s="351" t="e">
        <f>#REF!</f>
        <v>#REF!</v>
      </c>
      <c r="C75" s="351" t="e">
        <f>#REF!</f>
        <v>#REF!</v>
      </c>
      <c r="D75" s="351" t="e">
        <f>#REF!</f>
        <v>#REF!</v>
      </c>
      <c r="E75" s="351" t="e">
        <f>#REF!</f>
        <v>#REF!</v>
      </c>
      <c r="F75" s="351" t="e">
        <f>#REF!</f>
        <v>#REF!</v>
      </c>
      <c r="G75" s="351" t="e">
        <f>#REF!</f>
        <v>#REF!</v>
      </c>
      <c r="H75" s="351" t="e">
        <f>#REF!</f>
        <v>#REF!</v>
      </c>
      <c r="I75" s="339"/>
      <c r="J75" s="339"/>
      <c r="K75" s="339"/>
      <c r="L75" s="339"/>
      <c r="M75" s="339"/>
      <c r="N75" s="352" t="e">
        <f t="shared" si="2"/>
        <v>#REF!</v>
      </c>
      <c r="O75" s="339">
        <f t="shared" si="2"/>
        <v>0</v>
      </c>
      <c r="P75" s="339">
        <f t="shared" si="2"/>
        <v>0</v>
      </c>
      <c r="Q75" s="339"/>
      <c r="R75" s="339"/>
      <c r="S75" s="339">
        <f t="shared" si="3"/>
        <v>0</v>
      </c>
      <c r="T75" s="353" t="e">
        <f>#REF!</f>
        <v>#REF!</v>
      </c>
      <c r="U75" s="353" t="e">
        <f>#REF!</f>
        <v>#REF!</v>
      </c>
      <c r="V75" s="353" t="e">
        <f>#REF!</f>
        <v>#REF!</v>
      </c>
      <c r="W75" s="339"/>
      <c r="X75" s="339"/>
      <c r="Y75" s="339"/>
      <c r="Z75" s="339"/>
      <c r="AA75" s="352" t="e">
        <f>#REF!</f>
        <v>#REF!</v>
      </c>
      <c r="AB75" s="339"/>
      <c r="AC75" s="339"/>
      <c r="AD75" s="339"/>
      <c r="AE75" s="339" t="e">
        <f>#REF!</f>
        <v>#REF!</v>
      </c>
      <c r="AF75" s="339" t="e">
        <f>#REF!</f>
        <v>#REF!</v>
      </c>
      <c r="AG75" s="124" t="e">
        <f>#REF!</f>
        <v>#REF!</v>
      </c>
      <c r="AH75" s="124" t="e">
        <f>#REF!</f>
        <v>#REF!</v>
      </c>
      <c r="AI75" s="124" t="e">
        <f>#REF!</f>
        <v>#REF!</v>
      </c>
      <c r="AJ75" s="124" t="e">
        <f>#REF!</f>
        <v>#REF!</v>
      </c>
      <c r="AK75" s="124" t="e">
        <f>#REF!</f>
        <v>#REF!</v>
      </c>
      <c r="AL75" s="124" t="e">
        <f>#REF!</f>
        <v>#REF!</v>
      </c>
      <c r="AM75" s="124" t="e">
        <f>#REF!</f>
        <v>#REF!</v>
      </c>
      <c r="AN75" s="124" t="e">
        <f>#REF!</f>
        <v>#REF!</v>
      </c>
      <c r="AO75" s="124" t="e">
        <f>#REF!</f>
        <v>#REF!</v>
      </c>
      <c r="AP75" s="124" t="e">
        <f>#REF!</f>
        <v>#REF!</v>
      </c>
    </row>
    <row r="76" spans="1:42" x14ac:dyDescent="0.25">
      <c r="A76" s="351" t="e">
        <f>#REF!</f>
        <v>#REF!</v>
      </c>
      <c r="B76" s="351" t="e">
        <f>#REF!</f>
        <v>#REF!</v>
      </c>
      <c r="C76" s="351" t="e">
        <f>#REF!</f>
        <v>#REF!</v>
      </c>
      <c r="D76" s="351" t="e">
        <f>#REF!</f>
        <v>#REF!</v>
      </c>
      <c r="E76" s="351" t="e">
        <f>#REF!</f>
        <v>#REF!</v>
      </c>
      <c r="F76" s="351" t="e">
        <f>#REF!</f>
        <v>#REF!</v>
      </c>
      <c r="G76" s="351" t="e">
        <f>#REF!</f>
        <v>#REF!</v>
      </c>
      <c r="H76" s="351" t="e">
        <f>#REF!</f>
        <v>#REF!</v>
      </c>
      <c r="I76" s="339"/>
      <c r="J76" s="339"/>
      <c r="K76" s="339"/>
      <c r="L76" s="339"/>
      <c r="M76" s="339"/>
      <c r="N76" s="352" t="e">
        <f t="shared" si="2"/>
        <v>#REF!</v>
      </c>
      <c r="O76" s="339">
        <f t="shared" si="2"/>
        <v>0</v>
      </c>
      <c r="P76" s="339">
        <f t="shared" si="2"/>
        <v>0</v>
      </c>
      <c r="Q76" s="339"/>
      <c r="R76" s="339"/>
      <c r="S76" s="339">
        <f t="shared" si="3"/>
        <v>0</v>
      </c>
      <c r="T76" s="353" t="e">
        <f>#REF!</f>
        <v>#REF!</v>
      </c>
      <c r="U76" s="353" t="e">
        <f>#REF!</f>
        <v>#REF!</v>
      </c>
      <c r="V76" s="353" t="e">
        <f>#REF!</f>
        <v>#REF!</v>
      </c>
      <c r="W76" s="339"/>
      <c r="X76" s="339"/>
      <c r="Y76" s="339"/>
      <c r="Z76" s="339"/>
      <c r="AA76" s="352" t="e">
        <f>#REF!</f>
        <v>#REF!</v>
      </c>
      <c r="AB76" s="339"/>
      <c r="AC76" s="339"/>
      <c r="AD76" s="339"/>
      <c r="AE76" s="339" t="e">
        <f>#REF!</f>
        <v>#REF!</v>
      </c>
      <c r="AF76" s="339" t="e">
        <f>#REF!</f>
        <v>#REF!</v>
      </c>
      <c r="AG76" s="124" t="e">
        <f>#REF!</f>
        <v>#REF!</v>
      </c>
      <c r="AH76" s="124" t="e">
        <f>#REF!</f>
        <v>#REF!</v>
      </c>
      <c r="AI76" s="124" t="e">
        <f>#REF!</f>
        <v>#REF!</v>
      </c>
      <c r="AJ76" s="124" t="e">
        <f>#REF!</f>
        <v>#REF!</v>
      </c>
      <c r="AK76" s="124" t="e">
        <f>#REF!</f>
        <v>#REF!</v>
      </c>
      <c r="AL76" s="124" t="e">
        <f>#REF!</f>
        <v>#REF!</v>
      </c>
      <c r="AM76" s="124" t="e">
        <f>#REF!</f>
        <v>#REF!</v>
      </c>
      <c r="AN76" s="124" t="e">
        <f>#REF!</f>
        <v>#REF!</v>
      </c>
      <c r="AO76" s="124" t="e">
        <f>#REF!</f>
        <v>#REF!</v>
      </c>
      <c r="AP76" s="124" t="e">
        <f>#REF!</f>
        <v>#REF!</v>
      </c>
    </row>
    <row r="77" spans="1:42" x14ac:dyDescent="0.25">
      <c r="A77" s="351" t="e">
        <f>#REF!</f>
        <v>#REF!</v>
      </c>
      <c r="B77" s="351" t="e">
        <f>#REF!</f>
        <v>#REF!</v>
      </c>
      <c r="C77" s="351" t="e">
        <f>#REF!</f>
        <v>#REF!</v>
      </c>
      <c r="D77" s="351" t="e">
        <f>#REF!</f>
        <v>#REF!</v>
      </c>
      <c r="E77" s="351" t="e">
        <f>#REF!</f>
        <v>#REF!</v>
      </c>
      <c r="F77" s="351" t="e">
        <f>#REF!</f>
        <v>#REF!</v>
      </c>
      <c r="G77" s="351" t="e">
        <f>#REF!</f>
        <v>#REF!</v>
      </c>
      <c r="H77" s="351" t="e">
        <f>#REF!</f>
        <v>#REF!</v>
      </c>
      <c r="I77" s="339"/>
      <c r="J77" s="339"/>
      <c r="K77" s="339"/>
      <c r="L77" s="339"/>
      <c r="M77" s="339"/>
      <c r="N77" s="352" t="e">
        <f t="shared" si="2"/>
        <v>#REF!</v>
      </c>
      <c r="O77" s="339">
        <f t="shared" si="2"/>
        <v>0</v>
      </c>
      <c r="P77" s="339">
        <f t="shared" si="2"/>
        <v>0</v>
      </c>
      <c r="Q77" s="339"/>
      <c r="R77" s="339"/>
      <c r="S77" s="339">
        <f t="shared" si="3"/>
        <v>0</v>
      </c>
      <c r="T77" s="353" t="e">
        <f>#REF!</f>
        <v>#REF!</v>
      </c>
      <c r="U77" s="353" t="e">
        <f>#REF!</f>
        <v>#REF!</v>
      </c>
      <c r="V77" s="353" t="e">
        <f>#REF!</f>
        <v>#REF!</v>
      </c>
      <c r="W77" s="339"/>
      <c r="X77" s="339"/>
      <c r="Y77" s="339"/>
      <c r="Z77" s="339"/>
      <c r="AA77" s="352" t="e">
        <f>#REF!</f>
        <v>#REF!</v>
      </c>
      <c r="AB77" s="339"/>
      <c r="AC77" s="339"/>
      <c r="AD77" s="339"/>
      <c r="AE77" s="339" t="e">
        <f>#REF!</f>
        <v>#REF!</v>
      </c>
      <c r="AF77" s="339" t="e">
        <f>#REF!</f>
        <v>#REF!</v>
      </c>
      <c r="AG77" s="124" t="e">
        <f>#REF!</f>
        <v>#REF!</v>
      </c>
      <c r="AH77" s="124" t="e">
        <f>#REF!</f>
        <v>#REF!</v>
      </c>
      <c r="AI77" s="124" t="e">
        <f>#REF!</f>
        <v>#REF!</v>
      </c>
      <c r="AJ77" s="124" t="e">
        <f>#REF!</f>
        <v>#REF!</v>
      </c>
      <c r="AK77" s="124" t="e">
        <f>#REF!</f>
        <v>#REF!</v>
      </c>
      <c r="AL77" s="124" t="e">
        <f>#REF!</f>
        <v>#REF!</v>
      </c>
      <c r="AM77" s="124" t="e">
        <f>#REF!</f>
        <v>#REF!</v>
      </c>
      <c r="AN77" s="124" t="e">
        <f>#REF!</f>
        <v>#REF!</v>
      </c>
      <c r="AO77" s="124" t="e">
        <f>#REF!</f>
        <v>#REF!</v>
      </c>
      <c r="AP77" s="124" t="e">
        <f>#REF!</f>
        <v>#REF!</v>
      </c>
    </row>
    <row r="78" spans="1:42" x14ac:dyDescent="0.25">
      <c r="A78" s="351" t="e">
        <f>#REF!</f>
        <v>#REF!</v>
      </c>
      <c r="B78" s="351" t="e">
        <f>#REF!</f>
        <v>#REF!</v>
      </c>
      <c r="C78" s="351" t="e">
        <f>#REF!</f>
        <v>#REF!</v>
      </c>
      <c r="D78" s="351" t="e">
        <f>#REF!</f>
        <v>#REF!</v>
      </c>
      <c r="E78" s="351" t="e">
        <f>#REF!</f>
        <v>#REF!</v>
      </c>
      <c r="F78" s="351" t="e">
        <f>#REF!</f>
        <v>#REF!</v>
      </c>
      <c r="G78" s="351" t="e">
        <f>#REF!</f>
        <v>#REF!</v>
      </c>
      <c r="H78" s="351" t="e">
        <f>#REF!</f>
        <v>#REF!</v>
      </c>
      <c r="I78" s="339"/>
      <c r="J78" s="339"/>
      <c r="K78" s="339"/>
      <c r="L78" s="339"/>
      <c r="M78" s="339"/>
      <c r="N78" s="352" t="e">
        <f t="shared" si="2"/>
        <v>#REF!</v>
      </c>
      <c r="O78" s="339">
        <f t="shared" si="2"/>
        <v>0</v>
      </c>
      <c r="P78" s="339">
        <f t="shared" si="2"/>
        <v>0</v>
      </c>
      <c r="Q78" s="339"/>
      <c r="R78" s="339"/>
      <c r="S78" s="339">
        <f t="shared" si="3"/>
        <v>0</v>
      </c>
      <c r="T78" s="353" t="e">
        <f>#REF!</f>
        <v>#REF!</v>
      </c>
      <c r="U78" s="353" t="e">
        <f>#REF!</f>
        <v>#REF!</v>
      </c>
      <c r="V78" s="353" t="e">
        <f>#REF!</f>
        <v>#REF!</v>
      </c>
      <c r="W78" s="339"/>
      <c r="X78" s="339"/>
      <c r="Y78" s="339"/>
      <c r="Z78" s="339"/>
      <c r="AA78" s="352" t="e">
        <f>#REF!</f>
        <v>#REF!</v>
      </c>
      <c r="AB78" s="339"/>
      <c r="AC78" s="339"/>
      <c r="AD78" s="339"/>
      <c r="AE78" s="339" t="e">
        <f>#REF!</f>
        <v>#REF!</v>
      </c>
      <c r="AF78" s="339" t="e">
        <f>#REF!</f>
        <v>#REF!</v>
      </c>
      <c r="AG78" s="124" t="e">
        <f>#REF!</f>
        <v>#REF!</v>
      </c>
      <c r="AH78" s="124" t="e">
        <f>#REF!</f>
        <v>#REF!</v>
      </c>
      <c r="AI78" s="124" t="e">
        <f>#REF!</f>
        <v>#REF!</v>
      </c>
      <c r="AJ78" s="124" t="e">
        <f>#REF!</f>
        <v>#REF!</v>
      </c>
      <c r="AK78" s="124" t="e">
        <f>#REF!</f>
        <v>#REF!</v>
      </c>
      <c r="AL78" s="124" t="e">
        <f>#REF!</f>
        <v>#REF!</v>
      </c>
      <c r="AM78" s="124" t="e">
        <f>#REF!</f>
        <v>#REF!</v>
      </c>
      <c r="AN78" s="124" t="e">
        <f>#REF!</f>
        <v>#REF!</v>
      </c>
      <c r="AO78" s="124" t="e">
        <f>#REF!</f>
        <v>#REF!</v>
      </c>
      <c r="AP78" s="124" t="e">
        <f>#REF!</f>
        <v>#REF!</v>
      </c>
    </row>
    <row r="79" spans="1:42" x14ac:dyDescent="0.25">
      <c r="A79" s="351" t="e">
        <f>#REF!</f>
        <v>#REF!</v>
      </c>
      <c r="B79" s="351" t="e">
        <f>#REF!</f>
        <v>#REF!</v>
      </c>
      <c r="C79" s="351" t="e">
        <f>#REF!</f>
        <v>#REF!</v>
      </c>
      <c r="D79" s="351" t="e">
        <f>#REF!</f>
        <v>#REF!</v>
      </c>
      <c r="E79" s="351" t="e">
        <f>#REF!</f>
        <v>#REF!</v>
      </c>
      <c r="F79" s="351" t="e">
        <f>#REF!</f>
        <v>#REF!</v>
      </c>
      <c r="G79" s="351" t="e">
        <f>#REF!</f>
        <v>#REF!</v>
      </c>
      <c r="H79" s="351" t="e">
        <f>#REF!</f>
        <v>#REF!</v>
      </c>
      <c r="I79" s="339"/>
      <c r="J79" s="339"/>
      <c r="K79" s="339"/>
      <c r="L79" s="339"/>
      <c r="M79" s="339"/>
      <c r="N79" s="352" t="e">
        <f t="shared" si="2"/>
        <v>#REF!</v>
      </c>
      <c r="O79" s="339">
        <f t="shared" si="2"/>
        <v>0</v>
      </c>
      <c r="P79" s="339">
        <f t="shared" si="2"/>
        <v>0</v>
      </c>
      <c r="Q79" s="339"/>
      <c r="R79" s="339"/>
      <c r="S79" s="339">
        <f t="shared" si="3"/>
        <v>0</v>
      </c>
      <c r="T79" s="353" t="e">
        <f>#REF!</f>
        <v>#REF!</v>
      </c>
      <c r="U79" s="353" t="e">
        <f>#REF!</f>
        <v>#REF!</v>
      </c>
      <c r="V79" s="353" t="e">
        <f>#REF!</f>
        <v>#REF!</v>
      </c>
      <c r="W79" s="339"/>
      <c r="X79" s="339"/>
      <c r="Y79" s="339"/>
      <c r="Z79" s="339"/>
      <c r="AA79" s="352" t="e">
        <f>#REF!</f>
        <v>#REF!</v>
      </c>
      <c r="AB79" s="339"/>
      <c r="AC79" s="339"/>
      <c r="AD79" s="339"/>
      <c r="AE79" s="339" t="e">
        <f>#REF!</f>
        <v>#REF!</v>
      </c>
      <c r="AF79" s="339" t="e">
        <f>#REF!</f>
        <v>#REF!</v>
      </c>
      <c r="AG79" s="124" t="e">
        <f>#REF!</f>
        <v>#REF!</v>
      </c>
      <c r="AH79" s="124" t="e">
        <f>#REF!</f>
        <v>#REF!</v>
      </c>
      <c r="AI79" s="124" t="e">
        <f>#REF!</f>
        <v>#REF!</v>
      </c>
      <c r="AJ79" s="124" t="e">
        <f>#REF!</f>
        <v>#REF!</v>
      </c>
      <c r="AK79" s="124" t="e">
        <f>#REF!</f>
        <v>#REF!</v>
      </c>
      <c r="AL79" s="124" t="e">
        <f>#REF!</f>
        <v>#REF!</v>
      </c>
      <c r="AM79" s="124" t="e">
        <f>#REF!</f>
        <v>#REF!</v>
      </c>
      <c r="AN79" s="124" t="e">
        <f>#REF!</f>
        <v>#REF!</v>
      </c>
      <c r="AO79" s="124" t="e">
        <f>#REF!</f>
        <v>#REF!</v>
      </c>
      <c r="AP79" s="124" t="e">
        <f>#REF!</f>
        <v>#REF!</v>
      </c>
    </row>
    <row r="80" spans="1:42" x14ac:dyDescent="0.25">
      <c r="A80" s="351" t="e">
        <f>#REF!</f>
        <v>#REF!</v>
      </c>
      <c r="B80" s="351" t="e">
        <f>#REF!</f>
        <v>#REF!</v>
      </c>
      <c r="C80" s="351" t="e">
        <f>#REF!</f>
        <v>#REF!</v>
      </c>
      <c r="D80" s="351" t="e">
        <f>#REF!</f>
        <v>#REF!</v>
      </c>
      <c r="E80" s="351" t="e">
        <f>#REF!</f>
        <v>#REF!</v>
      </c>
      <c r="F80" s="351" t="e">
        <f>#REF!</f>
        <v>#REF!</v>
      </c>
      <c r="G80" s="351" t="e">
        <f>#REF!</f>
        <v>#REF!</v>
      </c>
      <c r="H80" s="351" t="e">
        <f>#REF!</f>
        <v>#REF!</v>
      </c>
      <c r="I80" s="339"/>
      <c r="J80" s="339"/>
      <c r="K80" s="339"/>
      <c r="L80" s="339"/>
      <c r="M80" s="339"/>
      <c r="N80" s="352" t="e">
        <f t="shared" si="2"/>
        <v>#REF!</v>
      </c>
      <c r="O80" s="339">
        <f t="shared" si="2"/>
        <v>0</v>
      </c>
      <c r="P80" s="339">
        <f t="shared" si="2"/>
        <v>0</v>
      </c>
      <c r="Q80" s="339"/>
      <c r="R80" s="339"/>
      <c r="S80" s="339">
        <f t="shared" si="3"/>
        <v>0</v>
      </c>
      <c r="T80" s="353" t="e">
        <f>#REF!</f>
        <v>#REF!</v>
      </c>
      <c r="U80" s="353" t="e">
        <f>#REF!</f>
        <v>#REF!</v>
      </c>
      <c r="V80" s="353" t="e">
        <f>#REF!</f>
        <v>#REF!</v>
      </c>
      <c r="W80" s="339"/>
      <c r="X80" s="339"/>
      <c r="Y80" s="339"/>
      <c r="Z80" s="339"/>
      <c r="AA80" s="352" t="e">
        <f>#REF!</f>
        <v>#REF!</v>
      </c>
      <c r="AB80" s="339"/>
      <c r="AC80" s="339"/>
      <c r="AD80" s="339"/>
      <c r="AE80" s="339" t="e">
        <f>#REF!</f>
        <v>#REF!</v>
      </c>
      <c r="AF80" s="339" t="e">
        <f>#REF!</f>
        <v>#REF!</v>
      </c>
      <c r="AG80" s="124" t="e">
        <f>#REF!</f>
        <v>#REF!</v>
      </c>
      <c r="AH80" s="124" t="e">
        <f>#REF!</f>
        <v>#REF!</v>
      </c>
      <c r="AI80" s="124" t="e">
        <f>#REF!</f>
        <v>#REF!</v>
      </c>
      <c r="AJ80" s="124" t="e">
        <f>#REF!</f>
        <v>#REF!</v>
      </c>
      <c r="AK80" s="124" t="e">
        <f>#REF!</f>
        <v>#REF!</v>
      </c>
      <c r="AL80" s="124" t="e">
        <f>#REF!</f>
        <v>#REF!</v>
      </c>
      <c r="AM80" s="124" t="e">
        <f>#REF!</f>
        <v>#REF!</v>
      </c>
      <c r="AN80" s="124" t="e">
        <f>#REF!</f>
        <v>#REF!</v>
      </c>
      <c r="AO80" s="124" t="e">
        <f>#REF!</f>
        <v>#REF!</v>
      </c>
      <c r="AP80" s="124" t="e">
        <f>#REF!</f>
        <v>#REF!</v>
      </c>
    </row>
    <row r="81" spans="1:42" x14ac:dyDescent="0.25">
      <c r="A81" s="351" t="e">
        <f>#REF!</f>
        <v>#REF!</v>
      </c>
      <c r="B81" s="351" t="e">
        <f>#REF!</f>
        <v>#REF!</v>
      </c>
      <c r="C81" s="351" t="e">
        <f>#REF!</f>
        <v>#REF!</v>
      </c>
      <c r="D81" s="351" t="e">
        <f>#REF!</f>
        <v>#REF!</v>
      </c>
      <c r="E81" s="351" t="e">
        <f>#REF!</f>
        <v>#REF!</v>
      </c>
      <c r="F81" s="351" t="e">
        <f>#REF!</f>
        <v>#REF!</v>
      </c>
      <c r="G81" s="351" t="e">
        <f>#REF!</f>
        <v>#REF!</v>
      </c>
      <c r="H81" s="351" t="e">
        <f>#REF!</f>
        <v>#REF!</v>
      </c>
      <c r="I81" s="339"/>
      <c r="J81" s="339"/>
      <c r="K81" s="339"/>
      <c r="L81" s="339"/>
      <c r="M81" s="339"/>
      <c r="N81" s="352" t="e">
        <f t="shared" si="2"/>
        <v>#REF!</v>
      </c>
      <c r="O81" s="339">
        <f t="shared" si="2"/>
        <v>0</v>
      </c>
      <c r="P81" s="339">
        <f t="shared" si="2"/>
        <v>0</v>
      </c>
      <c r="Q81" s="339"/>
      <c r="R81" s="339"/>
      <c r="S81" s="339">
        <f t="shared" si="3"/>
        <v>0</v>
      </c>
      <c r="T81" s="353" t="e">
        <f>#REF!</f>
        <v>#REF!</v>
      </c>
      <c r="U81" s="353" t="e">
        <f>#REF!</f>
        <v>#REF!</v>
      </c>
      <c r="V81" s="353" t="e">
        <f>#REF!</f>
        <v>#REF!</v>
      </c>
      <c r="W81" s="339"/>
      <c r="X81" s="339"/>
      <c r="Y81" s="339"/>
      <c r="Z81" s="339"/>
      <c r="AA81" s="352" t="e">
        <f>#REF!</f>
        <v>#REF!</v>
      </c>
      <c r="AB81" s="339"/>
      <c r="AC81" s="339"/>
      <c r="AD81" s="339"/>
      <c r="AE81" s="339" t="e">
        <f>#REF!</f>
        <v>#REF!</v>
      </c>
      <c r="AF81" s="339" t="e">
        <f>#REF!</f>
        <v>#REF!</v>
      </c>
      <c r="AG81" s="124" t="e">
        <f>#REF!</f>
        <v>#REF!</v>
      </c>
      <c r="AH81" s="124" t="e">
        <f>#REF!</f>
        <v>#REF!</v>
      </c>
      <c r="AI81" s="124" t="e">
        <f>#REF!</f>
        <v>#REF!</v>
      </c>
      <c r="AJ81" s="124" t="e">
        <f>#REF!</f>
        <v>#REF!</v>
      </c>
      <c r="AK81" s="124" t="e">
        <f>#REF!</f>
        <v>#REF!</v>
      </c>
      <c r="AL81" s="124" t="e">
        <f>#REF!</f>
        <v>#REF!</v>
      </c>
      <c r="AM81" s="124" t="e">
        <f>#REF!</f>
        <v>#REF!</v>
      </c>
      <c r="AN81" s="124" t="e">
        <f>#REF!</f>
        <v>#REF!</v>
      </c>
      <c r="AO81" s="124" t="e">
        <f>#REF!</f>
        <v>#REF!</v>
      </c>
      <c r="AP81" s="124" t="e">
        <f>#REF!</f>
        <v>#REF!</v>
      </c>
    </row>
    <row r="82" spans="1:42" x14ac:dyDescent="0.25">
      <c r="A82" s="351" t="e">
        <f>#REF!</f>
        <v>#REF!</v>
      </c>
      <c r="B82" s="351" t="e">
        <f>#REF!</f>
        <v>#REF!</v>
      </c>
      <c r="C82" s="351" t="e">
        <f>#REF!</f>
        <v>#REF!</v>
      </c>
      <c r="D82" s="351" t="e">
        <f>#REF!</f>
        <v>#REF!</v>
      </c>
      <c r="E82" s="351" t="e">
        <f>#REF!</f>
        <v>#REF!</v>
      </c>
      <c r="F82" s="351" t="e">
        <f>#REF!</f>
        <v>#REF!</v>
      </c>
      <c r="G82" s="351" t="e">
        <f>#REF!</f>
        <v>#REF!</v>
      </c>
      <c r="H82" s="351" t="e">
        <f>#REF!</f>
        <v>#REF!</v>
      </c>
      <c r="I82" s="339"/>
      <c r="J82" s="339"/>
      <c r="K82" s="339"/>
      <c r="L82" s="339"/>
      <c r="M82" s="339"/>
      <c r="N82" s="352" t="e">
        <f t="shared" si="2"/>
        <v>#REF!</v>
      </c>
      <c r="O82" s="339">
        <f t="shared" si="2"/>
        <v>0</v>
      </c>
      <c r="P82" s="339">
        <f t="shared" si="2"/>
        <v>0</v>
      </c>
      <c r="Q82" s="339"/>
      <c r="R82" s="339"/>
      <c r="S82" s="339">
        <f t="shared" si="3"/>
        <v>0</v>
      </c>
      <c r="T82" s="353" t="e">
        <f>#REF!</f>
        <v>#REF!</v>
      </c>
      <c r="U82" s="353" t="e">
        <f>#REF!</f>
        <v>#REF!</v>
      </c>
      <c r="V82" s="353" t="e">
        <f>#REF!</f>
        <v>#REF!</v>
      </c>
      <c r="W82" s="339"/>
      <c r="X82" s="339"/>
      <c r="Y82" s="339"/>
      <c r="Z82" s="339"/>
      <c r="AA82" s="352" t="e">
        <f>#REF!</f>
        <v>#REF!</v>
      </c>
      <c r="AB82" s="339"/>
      <c r="AC82" s="339"/>
      <c r="AD82" s="339"/>
      <c r="AE82" s="339" t="e">
        <f>#REF!</f>
        <v>#REF!</v>
      </c>
      <c r="AF82" s="339" t="e">
        <f>#REF!</f>
        <v>#REF!</v>
      </c>
      <c r="AG82" s="124" t="e">
        <f>#REF!</f>
        <v>#REF!</v>
      </c>
      <c r="AH82" s="124" t="e">
        <f>#REF!</f>
        <v>#REF!</v>
      </c>
      <c r="AI82" s="124" t="e">
        <f>#REF!</f>
        <v>#REF!</v>
      </c>
      <c r="AJ82" s="124" t="e">
        <f>#REF!</f>
        <v>#REF!</v>
      </c>
      <c r="AK82" s="124" t="e">
        <f>#REF!</f>
        <v>#REF!</v>
      </c>
      <c r="AL82" s="124" t="e">
        <f>#REF!</f>
        <v>#REF!</v>
      </c>
      <c r="AM82" s="124" t="e">
        <f>#REF!</f>
        <v>#REF!</v>
      </c>
      <c r="AN82" s="124" t="e">
        <f>#REF!</f>
        <v>#REF!</v>
      </c>
      <c r="AO82" s="124" t="e">
        <f>#REF!</f>
        <v>#REF!</v>
      </c>
      <c r="AP82" s="124" t="e">
        <f>#REF!</f>
        <v>#REF!</v>
      </c>
    </row>
    <row r="83" spans="1:42" x14ac:dyDescent="0.25">
      <c r="A83" s="351" t="e">
        <f>#REF!</f>
        <v>#REF!</v>
      </c>
      <c r="B83" s="351" t="e">
        <f>#REF!</f>
        <v>#REF!</v>
      </c>
      <c r="C83" s="351" t="e">
        <f>#REF!</f>
        <v>#REF!</v>
      </c>
      <c r="D83" s="351" t="e">
        <f>#REF!</f>
        <v>#REF!</v>
      </c>
      <c r="E83" s="351" t="e">
        <f>#REF!</f>
        <v>#REF!</v>
      </c>
      <c r="F83" s="351" t="e">
        <f>#REF!</f>
        <v>#REF!</v>
      </c>
      <c r="G83" s="351" t="e">
        <f>#REF!</f>
        <v>#REF!</v>
      </c>
      <c r="H83" s="351" t="e">
        <f>#REF!</f>
        <v>#REF!</v>
      </c>
      <c r="I83" s="339"/>
      <c r="J83" s="339"/>
      <c r="K83" s="339"/>
      <c r="L83" s="339"/>
      <c r="M83" s="339"/>
      <c r="N83" s="352" t="e">
        <f t="shared" si="2"/>
        <v>#REF!</v>
      </c>
      <c r="O83" s="339">
        <f t="shared" si="2"/>
        <v>0</v>
      </c>
      <c r="P83" s="339">
        <f t="shared" si="2"/>
        <v>0</v>
      </c>
      <c r="Q83" s="339"/>
      <c r="R83" s="339"/>
      <c r="S83" s="339">
        <f t="shared" si="3"/>
        <v>0</v>
      </c>
      <c r="T83" s="353" t="e">
        <f>#REF!</f>
        <v>#REF!</v>
      </c>
      <c r="U83" s="353" t="e">
        <f>#REF!</f>
        <v>#REF!</v>
      </c>
      <c r="V83" s="353" t="e">
        <f>#REF!</f>
        <v>#REF!</v>
      </c>
      <c r="W83" s="339"/>
      <c r="X83" s="339"/>
      <c r="Y83" s="339"/>
      <c r="Z83" s="339"/>
      <c r="AA83" s="352" t="e">
        <f>#REF!</f>
        <v>#REF!</v>
      </c>
      <c r="AB83" s="339"/>
      <c r="AC83" s="339"/>
      <c r="AD83" s="339"/>
      <c r="AE83" s="339" t="e">
        <f>#REF!</f>
        <v>#REF!</v>
      </c>
      <c r="AF83" s="339" t="e">
        <f>#REF!</f>
        <v>#REF!</v>
      </c>
      <c r="AG83" s="124" t="e">
        <f>#REF!</f>
        <v>#REF!</v>
      </c>
      <c r="AH83" s="124" t="e">
        <f>#REF!</f>
        <v>#REF!</v>
      </c>
      <c r="AI83" s="124" t="e">
        <f>#REF!</f>
        <v>#REF!</v>
      </c>
      <c r="AJ83" s="124" t="e">
        <f>#REF!</f>
        <v>#REF!</v>
      </c>
      <c r="AK83" s="124" t="e">
        <f>#REF!</f>
        <v>#REF!</v>
      </c>
      <c r="AL83" s="124" t="e">
        <f>#REF!</f>
        <v>#REF!</v>
      </c>
      <c r="AM83" s="124" t="e">
        <f>#REF!</f>
        <v>#REF!</v>
      </c>
      <c r="AN83" s="124" t="e">
        <f>#REF!</f>
        <v>#REF!</v>
      </c>
      <c r="AO83" s="124" t="e">
        <f>#REF!</f>
        <v>#REF!</v>
      </c>
      <c r="AP83" s="124" t="e">
        <f>#REF!</f>
        <v>#REF!</v>
      </c>
    </row>
    <row r="84" spans="1:42" x14ac:dyDescent="0.25">
      <c r="A84" s="351" t="e">
        <f>#REF!</f>
        <v>#REF!</v>
      </c>
      <c r="B84" s="351" t="e">
        <f>#REF!</f>
        <v>#REF!</v>
      </c>
      <c r="C84" s="351" t="e">
        <f>#REF!</f>
        <v>#REF!</v>
      </c>
      <c r="D84" s="351" t="e">
        <f>#REF!</f>
        <v>#REF!</v>
      </c>
      <c r="E84" s="351" t="e">
        <f>#REF!</f>
        <v>#REF!</v>
      </c>
      <c r="F84" s="351" t="e">
        <f>#REF!</f>
        <v>#REF!</v>
      </c>
      <c r="G84" s="351" t="e">
        <f>#REF!</f>
        <v>#REF!</v>
      </c>
      <c r="H84" s="351" t="e">
        <f>#REF!</f>
        <v>#REF!</v>
      </c>
      <c r="I84" s="339"/>
      <c r="J84" s="339"/>
      <c r="K84" s="339"/>
      <c r="L84" s="339"/>
      <c r="M84" s="339"/>
      <c r="N84" s="352" t="e">
        <f t="shared" si="2"/>
        <v>#REF!</v>
      </c>
      <c r="O84" s="339">
        <f t="shared" si="2"/>
        <v>0</v>
      </c>
      <c r="P84" s="339">
        <f t="shared" si="2"/>
        <v>0</v>
      </c>
      <c r="Q84" s="339"/>
      <c r="R84" s="339"/>
      <c r="S84" s="339">
        <f t="shared" si="3"/>
        <v>0</v>
      </c>
      <c r="T84" s="353" t="e">
        <f>#REF!</f>
        <v>#REF!</v>
      </c>
      <c r="U84" s="353" t="e">
        <f>#REF!</f>
        <v>#REF!</v>
      </c>
      <c r="V84" s="353" t="e">
        <f>#REF!</f>
        <v>#REF!</v>
      </c>
      <c r="W84" s="339"/>
      <c r="X84" s="339"/>
      <c r="Y84" s="339"/>
      <c r="Z84" s="339"/>
      <c r="AA84" s="352" t="e">
        <f>#REF!</f>
        <v>#REF!</v>
      </c>
      <c r="AB84" s="339"/>
      <c r="AC84" s="339"/>
      <c r="AD84" s="339"/>
      <c r="AE84" s="339" t="e">
        <f>#REF!</f>
        <v>#REF!</v>
      </c>
      <c r="AF84" s="339" t="e">
        <f>#REF!</f>
        <v>#REF!</v>
      </c>
      <c r="AG84" s="124" t="e">
        <f>#REF!</f>
        <v>#REF!</v>
      </c>
      <c r="AH84" s="124" t="e">
        <f>#REF!</f>
        <v>#REF!</v>
      </c>
      <c r="AI84" s="124" t="e">
        <f>#REF!</f>
        <v>#REF!</v>
      </c>
      <c r="AJ84" s="124" t="e">
        <f>#REF!</f>
        <v>#REF!</v>
      </c>
      <c r="AK84" s="124" t="e">
        <f>#REF!</f>
        <v>#REF!</v>
      </c>
      <c r="AL84" s="124" t="e">
        <f>#REF!</f>
        <v>#REF!</v>
      </c>
      <c r="AM84" s="124" t="e">
        <f>#REF!</f>
        <v>#REF!</v>
      </c>
      <c r="AN84" s="124" t="e">
        <f>#REF!</f>
        <v>#REF!</v>
      </c>
      <c r="AO84" s="124" t="e">
        <f>#REF!</f>
        <v>#REF!</v>
      </c>
      <c r="AP84" s="124" t="e">
        <f>#REF!</f>
        <v>#REF!</v>
      </c>
    </row>
    <row r="85" spans="1:42" x14ac:dyDescent="0.25">
      <c r="A85" s="351" t="e">
        <f>#REF!</f>
        <v>#REF!</v>
      </c>
      <c r="B85" s="351" t="e">
        <f>#REF!</f>
        <v>#REF!</v>
      </c>
      <c r="C85" s="351" t="e">
        <f>#REF!</f>
        <v>#REF!</v>
      </c>
      <c r="D85" s="351" t="e">
        <f>#REF!</f>
        <v>#REF!</v>
      </c>
      <c r="E85" s="351" t="e">
        <f>#REF!</f>
        <v>#REF!</v>
      </c>
      <c r="F85" s="351" t="e">
        <f>#REF!</f>
        <v>#REF!</v>
      </c>
      <c r="G85" s="351" t="e">
        <f>#REF!</f>
        <v>#REF!</v>
      </c>
      <c r="H85" s="351" t="e">
        <f>#REF!</f>
        <v>#REF!</v>
      </c>
      <c r="I85" s="339"/>
      <c r="J85" s="339"/>
      <c r="K85" s="339"/>
      <c r="L85" s="339"/>
      <c r="M85" s="339"/>
      <c r="N85" s="352" t="e">
        <f t="shared" si="2"/>
        <v>#REF!</v>
      </c>
      <c r="O85" s="339">
        <f t="shared" si="2"/>
        <v>0</v>
      </c>
      <c r="P85" s="339">
        <f t="shared" si="2"/>
        <v>0</v>
      </c>
      <c r="Q85" s="339"/>
      <c r="R85" s="339"/>
      <c r="S85" s="339">
        <f t="shared" si="3"/>
        <v>0</v>
      </c>
      <c r="T85" s="353" t="e">
        <f>#REF!</f>
        <v>#REF!</v>
      </c>
      <c r="U85" s="353" t="e">
        <f>#REF!</f>
        <v>#REF!</v>
      </c>
      <c r="V85" s="353" t="e">
        <f>#REF!</f>
        <v>#REF!</v>
      </c>
      <c r="W85" s="339"/>
      <c r="X85" s="339"/>
      <c r="Y85" s="339"/>
      <c r="Z85" s="339"/>
      <c r="AA85" s="352" t="e">
        <f>#REF!</f>
        <v>#REF!</v>
      </c>
      <c r="AB85" s="339"/>
      <c r="AC85" s="339"/>
      <c r="AD85" s="339"/>
      <c r="AE85" s="339" t="e">
        <f>#REF!</f>
        <v>#REF!</v>
      </c>
      <c r="AF85" s="339" t="e">
        <f>#REF!</f>
        <v>#REF!</v>
      </c>
      <c r="AG85" s="124" t="e">
        <f>#REF!</f>
        <v>#REF!</v>
      </c>
      <c r="AH85" s="124" t="e">
        <f>#REF!</f>
        <v>#REF!</v>
      </c>
      <c r="AI85" s="124" t="e">
        <f>#REF!</f>
        <v>#REF!</v>
      </c>
      <c r="AJ85" s="124" t="e">
        <f>#REF!</f>
        <v>#REF!</v>
      </c>
      <c r="AK85" s="124" t="e">
        <f>#REF!</f>
        <v>#REF!</v>
      </c>
      <c r="AL85" s="124" t="e">
        <f>#REF!</f>
        <v>#REF!</v>
      </c>
      <c r="AM85" s="124" t="e">
        <f>#REF!</f>
        <v>#REF!</v>
      </c>
      <c r="AN85" s="124" t="e">
        <f>#REF!</f>
        <v>#REF!</v>
      </c>
      <c r="AO85" s="124" t="e">
        <f>#REF!</f>
        <v>#REF!</v>
      </c>
      <c r="AP85" s="124" t="e">
        <f>#REF!</f>
        <v>#REF!</v>
      </c>
    </row>
    <row r="86" spans="1:42" x14ac:dyDescent="0.25">
      <c r="A86" s="351" t="e">
        <f>#REF!</f>
        <v>#REF!</v>
      </c>
      <c r="B86" s="351" t="e">
        <f>#REF!</f>
        <v>#REF!</v>
      </c>
      <c r="C86" s="351" t="e">
        <f>#REF!</f>
        <v>#REF!</v>
      </c>
      <c r="D86" s="351" t="e">
        <f>#REF!</f>
        <v>#REF!</v>
      </c>
      <c r="E86" s="351" t="e">
        <f>#REF!</f>
        <v>#REF!</v>
      </c>
      <c r="F86" s="351" t="e">
        <f>#REF!</f>
        <v>#REF!</v>
      </c>
      <c r="G86" s="351" t="e">
        <f>#REF!</f>
        <v>#REF!</v>
      </c>
      <c r="H86" s="351" t="e">
        <f>#REF!</f>
        <v>#REF!</v>
      </c>
      <c r="I86" s="339"/>
      <c r="J86" s="339"/>
      <c r="K86" s="339"/>
      <c r="L86" s="339"/>
      <c r="M86" s="339"/>
      <c r="N86" s="352" t="e">
        <f t="shared" si="2"/>
        <v>#REF!</v>
      </c>
      <c r="O86" s="339">
        <f t="shared" si="2"/>
        <v>0</v>
      </c>
      <c r="P86" s="339">
        <f t="shared" si="2"/>
        <v>0</v>
      </c>
      <c r="Q86" s="339"/>
      <c r="R86" s="339"/>
      <c r="S86" s="339">
        <f t="shared" si="3"/>
        <v>0</v>
      </c>
      <c r="T86" s="353" t="e">
        <f>#REF!</f>
        <v>#REF!</v>
      </c>
      <c r="U86" s="353" t="e">
        <f>#REF!</f>
        <v>#REF!</v>
      </c>
      <c r="V86" s="353" t="e">
        <f>#REF!</f>
        <v>#REF!</v>
      </c>
      <c r="W86" s="339"/>
      <c r="X86" s="339"/>
      <c r="Y86" s="339"/>
      <c r="Z86" s="339"/>
      <c r="AA86" s="352" t="e">
        <f>#REF!</f>
        <v>#REF!</v>
      </c>
      <c r="AB86" s="339"/>
      <c r="AC86" s="339"/>
      <c r="AD86" s="339"/>
      <c r="AE86" s="339" t="e">
        <f>#REF!</f>
        <v>#REF!</v>
      </c>
      <c r="AF86" s="339" t="e">
        <f>#REF!</f>
        <v>#REF!</v>
      </c>
      <c r="AG86" s="124" t="e">
        <f>#REF!</f>
        <v>#REF!</v>
      </c>
      <c r="AH86" s="124" t="e">
        <f>#REF!</f>
        <v>#REF!</v>
      </c>
      <c r="AI86" s="124" t="e">
        <f>#REF!</f>
        <v>#REF!</v>
      </c>
      <c r="AJ86" s="124" t="e">
        <f>#REF!</f>
        <v>#REF!</v>
      </c>
      <c r="AK86" s="124" t="e">
        <f>#REF!</f>
        <v>#REF!</v>
      </c>
      <c r="AL86" s="124" t="e">
        <f>#REF!</f>
        <v>#REF!</v>
      </c>
      <c r="AM86" s="124" t="e">
        <f>#REF!</f>
        <v>#REF!</v>
      </c>
      <c r="AN86" s="124" t="e">
        <f>#REF!</f>
        <v>#REF!</v>
      </c>
      <c r="AO86" s="124" t="e">
        <f>#REF!</f>
        <v>#REF!</v>
      </c>
      <c r="AP86" s="124" t="e">
        <f>#REF!</f>
        <v>#REF!</v>
      </c>
    </row>
    <row r="87" spans="1:42" x14ac:dyDescent="0.25">
      <c r="A87" s="351" t="e">
        <f>#REF!</f>
        <v>#REF!</v>
      </c>
      <c r="B87" s="351" t="e">
        <f>#REF!</f>
        <v>#REF!</v>
      </c>
      <c r="C87" s="351" t="e">
        <f>#REF!</f>
        <v>#REF!</v>
      </c>
      <c r="D87" s="351" t="e">
        <f>#REF!</f>
        <v>#REF!</v>
      </c>
      <c r="E87" s="351" t="e">
        <f>#REF!</f>
        <v>#REF!</v>
      </c>
      <c r="F87" s="351" t="e">
        <f>#REF!</f>
        <v>#REF!</v>
      </c>
      <c r="G87" s="351" t="e">
        <f>#REF!</f>
        <v>#REF!</v>
      </c>
      <c r="H87" s="351" t="e">
        <f>#REF!</f>
        <v>#REF!</v>
      </c>
      <c r="I87" s="339"/>
      <c r="J87" s="339"/>
      <c r="K87" s="339"/>
      <c r="L87" s="339"/>
      <c r="M87" s="339"/>
      <c r="N87" s="352" t="e">
        <f t="shared" si="2"/>
        <v>#REF!</v>
      </c>
      <c r="O87" s="339">
        <f t="shared" si="2"/>
        <v>0</v>
      </c>
      <c r="P87" s="339">
        <f t="shared" si="2"/>
        <v>0</v>
      </c>
      <c r="Q87" s="339"/>
      <c r="R87" s="339"/>
      <c r="S87" s="339">
        <f t="shared" si="3"/>
        <v>0</v>
      </c>
      <c r="T87" s="353" t="e">
        <f>#REF!</f>
        <v>#REF!</v>
      </c>
      <c r="U87" s="353" t="e">
        <f>#REF!</f>
        <v>#REF!</v>
      </c>
      <c r="V87" s="353" t="e">
        <f>#REF!</f>
        <v>#REF!</v>
      </c>
      <c r="W87" s="339"/>
      <c r="X87" s="339"/>
      <c r="Y87" s="339"/>
      <c r="Z87" s="339"/>
      <c r="AA87" s="352" t="e">
        <f>#REF!</f>
        <v>#REF!</v>
      </c>
      <c r="AB87" s="339"/>
      <c r="AC87" s="339"/>
      <c r="AD87" s="339"/>
      <c r="AE87" s="339" t="e">
        <f>#REF!</f>
        <v>#REF!</v>
      </c>
      <c r="AF87" s="339" t="e">
        <f>#REF!</f>
        <v>#REF!</v>
      </c>
      <c r="AG87" s="124" t="e">
        <f>#REF!</f>
        <v>#REF!</v>
      </c>
      <c r="AH87" s="124" t="e">
        <f>#REF!</f>
        <v>#REF!</v>
      </c>
      <c r="AI87" s="124" t="e">
        <f>#REF!</f>
        <v>#REF!</v>
      </c>
      <c r="AJ87" s="124" t="e">
        <f>#REF!</f>
        <v>#REF!</v>
      </c>
      <c r="AK87" s="124" t="e">
        <f>#REF!</f>
        <v>#REF!</v>
      </c>
      <c r="AL87" s="124" t="e">
        <f>#REF!</f>
        <v>#REF!</v>
      </c>
      <c r="AM87" s="124" t="e">
        <f>#REF!</f>
        <v>#REF!</v>
      </c>
      <c r="AN87" s="124" t="e">
        <f>#REF!</f>
        <v>#REF!</v>
      </c>
      <c r="AO87" s="124" t="e">
        <f>#REF!</f>
        <v>#REF!</v>
      </c>
      <c r="AP87" s="124" t="e">
        <f>#REF!</f>
        <v>#REF!</v>
      </c>
    </row>
    <row r="88" spans="1:42" x14ac:dyDescent="0.25">
      <c r="A88" s="351" t="e">
        <f>#REF!</f>
        <v>#REF!</v>
      </c>
      <c r="B88" s="351" t="e">
        <f>#REF!</f>
        <v>#REF!</v>
      </c>
      <c r="C88" s="351" t="e">
        <f>#REF!</f>
        <v>#REF!</v>
      </c>
      <c r="D88" s="351" t="e">
        <f>#REF!</f>
        <v>#REF!</v>
      </c>
      <c r="E88" s="351" t="e">
        <f>#REF!</f>
        <v>#REF!</v>
      </c>
      <c r="F88" s="351" t="e">
        <f>#REF!</f>
        <v>#REF!</v>
      </c>
      <c r="G88" s="351" t="e">
        <f>#REF!</f>
        <v>#REF!</v>
      </c>
      <c r="H88" s="351" t="e">
        <f>#REF!</f>
        <v>#REF!</v>
      </c>
      <c r="I88" s="339"/>
      <c r="J88" s="339"/>
      <c r="K88" s="339"/>
      <c r="L88" s="339"/>
      <c r="M88" s="339"/>
      <c r="N88" s="352" t="e">
        <f t="shared" si="2"/>
        <v>#REF!</v>
      </c>
      <c r="O88" s="339">
        <f t="shared" si="2"/>
        <v>0</v>
      </c>
      <c r="P88" s="339">
        <f t="shared" si="2"/>
        <v>0</v>
      </c>
      <c r="Q88" s="339"/>
      <c r="R88" s="339"/>
      <c r="S88" s="339">
        <f t="shared" si="3"/>
        <v>0</v>
      </c>
      <c r="T88" s="353" t="e">
        <f>#REF!</f>
        <v>#REF!</v>
      </c>
      <c r="U88" s="353" t="e">
        <f>#REF!</f>
        <v>#REF!</v>
      </c>
      <c r="V88" s="353" t="e">
        <f>#REF!</f>
        <v>#REF!</v>
      </c>
      <c r="W88" s="339"/>
      <c r="X88" s="339"/>
      <c r="Y88" s="339"/>
      <c r="Z88" s="339"/>
      <c r="AA88" s="352" t="e">
        <f>#REF!</f>
        <v>#REF!</v>
      </c>
      <c r="AB88" s="339"/>
      <c r="AC88" s="339"/>
      <c r="AD88" s="339"/>
      <c r="AE88" s="339" t="e">
        <f>#REF!</f>
        <v>#REF!</v>
      </c>
      <c r="AF88" s="339" t="e">
        <f>#REF!</f>
        <v>#REF!</v>
      </c>
      <c r="AG88" s="124" t="e">
        <f>#REF!</f>
        <v>#REF!</v>
      </c>
      <c r="AH88" s="124" t="e">
        <f>#REF!</f>
        <v>#REF!</v>
      </c>
      <c r="AI88" s="124" t="e">
        <f>#REF!</f>
        <v>#REF!</v>
      </c>
      <c r="AJ88" s="124" t="e">
        <f>#REF!</f>
        <v>#REF!</v>
      </c>
      <c r="AK88" s="124" t="e">
        <f>#REF!</f>
        <v>#REF!</v>
      </c>
      <c r="AL88" s="124" t="e">
        <f>#REF!</f>
        <v>#REF!</v>
      </c>
      <c r="AM88" s="124" t="e">
        <f>#REF!</f>
        <v>#REF!</v>
      </c>
      <c r="AN88" s="124" t="e">
        <f>#REF!</f>
        <v>#REF!</v>
      </c>
      <c r="AO88" s="124" t="e">
        <f>#REF!</f>
        <v>#REF!</v>
      </c>
      <c r="AP88" s="124" t="e">
        <f>#REF!</f>
        <v>#REF!</v>
      </c>
    </row>
    <row r="89" spans="1:42" x14ac:dyDescent="0.25">
      <c r="A89" s="351" t="e">
        <f>#REF!</f>
        <v>#REF!</v>
      </c>
      <c r="B89" s="351" t="e">
        <f>#REF!</f>
        <v>#REF!</v>
      </c>
      <c r="C89" s="351" t="e">
        <f>#REF!</f>
        <v>#REF!</v>
      </c>
      <c r="D89" s="351" t="e">
        <f>#REF!</f>
        <v>#REF!</v>
      </c>
      <c r="E89" s="351" t="e">
        <f>#REF!</f>
        <v>#REF!</v>
      </c>
      <c r="F89" s="351" t="e">
        <f>#REF!</f>
        <v>#REF!</v>
      </c>
      <c r="G89" s="351" t="e">
        <f>#REF!</f>
        <v>#REF!</v>
      </c>
      <c r="H89" s="351" t="e">
        <f>#REF!</f>
        <v>#REF!</v>
      </c>
      <c r="I89" s="339"/>
      <c r="J89" s="339"/>
      <c r="K89" s="339"/>
      <c r="L89" s="339"/>
      <c r="M89" s="339"/>
      <c r="N89" s="352" t="e">
        <f t="shared" si="2"/>
        <v>#REF!</v>
      </c>
      <c r="O89" s="339">
        <f t="shared" si="2"/>
        <v>0</v>
      </c>
      <c r="P89" s="339">
        <f t="shared" si="2"/>
        <v>0</v>
      </c>
      <c r="Q89" s="339"/>
      <c r="R89" s="339"/>
      <c r="S89" s="339">
        <f t="shared" si="3"/>
        <v>0</v>
      </c>
      <c r="T89" s="353" t="e">
        <f>#REF!</f>
        <v>#REF!</v>
      </c>
      <c r="U89" s="353" t="e">
        <f>#REF!</f>
        <v>#REF!</v>
      </c>
      <c r="V89" s="353" t="e">
        <f>#REF!</f>
        <v>#REF!</v>
      </c>
      <c r="W89" s="339"/>
      <c r="X89" s="339"/>
      <c r="Y89" s="339"/>
      <c r="Z89" s="339"/>
      <c r="AA89" s="352" t="e">
        <f>#REF!</f>
        <v>#REF!</v>
      </c>
      <c r="AB89" s="339"/>
      <c r="AC89" s="339"/>
      <c r="AD89" s="339"/>
      <c r="AE89" s="339" t="e">
        <f>#REF!</f>
        <v>#REF!</v>
      </c>
      <c r="AF89" s="339" t="e">
        <f>#REF!</f>
        <v>#REF!</v>
      </c>
      <c r="AG89" s="124" t="e">
        <f>#REF!</f>
        <v>#REF!</v>
      </c>
      <c r="AH89" s="124" t="e">
        <f>#REF!</f>
        <v>#REF!</v>
      </c>
      <c r="AI89" s="124" t="e">
        <f>#REF!</f>
        <v>#REF!</v>
      </c>
      <c r="AJ89" s="124" t="e">
        <f>#REF!</f>
        <v>#REF!</v>
      </c>
      <c r="AK89" s="124" t="e">
        <f>#REF!</f>
        <v>#REF!</v>
      </c>
      <c r="AL89" s="124" t="e">
        <f>#REF!</f>
        <v>#REF!</v>
      </c>
      <c r="AM89" s="124" t="e">
        <f>#REF!</f>
        <v>#REF!</v>
      </c>
      <c r="AN89" s="124" t="e">
        <f>#REF!</f>
        <v>#REF!</v>
      </c>
      <c r="AO89" s="124" t="e">
        <f>#REF!</f>
        <v>#REF!</v>
      </c>
      <c r="AP89" s="124" t="e">
        <f>#REF!</f>
        <v>#REF!</v>
      </c>
    </row>
    <row r="90" spans="1:42" x14ac:dyDescent="0.25">
      <c r="A90" s="351" t="e">
        <f>#REF!</f>
        <v>#REF!</v>
      </c>
      <c r="B90" s="351" t="e">
        <f>#REF!</f>
        <v>#REF!</v>
      </c>
      <c r="C90" s="351" t="e">
        <f>#REF!</f>
        <v>#REF!</v>
      </c>
      <c r="D90" s="351" t="e">
        <f>#REF!</f>
        <v>#REF!</v>
      </c>
      <c r="E90" s="351" t="e">
        <f>#REF!</f>
        <v>#REF!</v>
      </c>
      <c r="F90" s="351" t="e">
        <f>#REF!</f>
        <v>#REF!</v>
      </c>
      <c r="G90" s="351" t="e">
        <f>#REF!</f>
        <v>#REF!</v>
      </c>
      <c r="H90" s="351" t="e">
        <f>#REF!</f>
        <v>#REF!</v>
      </c>
      <c r="I90" s="339"/>
      <c r="J90" s="339"/>
      <c r="K90" s="339"/>
      <c r="L90" s="339"/>
      <c r="M90" s="339"/>
      <c r="N90" s="352" t="e">
        <f t="shared" si="2"/>
        <v>#REF!</v>
      </c>
      <c r="O90" s="339">
        <f t="shared" si="2"/>
        <v>0</v>
      </c>
      <c r="P90" s="339">
        <f t="shared" si="2"/>
        <v>0</v>
      </c>
      <c r="Q90" s="339"/>
      <c r="R90" s="339"/>
      <c r="S90" s="339">
        <f t="shared" si="3"/>
        <v>0</v>
      </c>
      <c r="T90" s="353" t="e">
        <f>#REF!</f>
        <v>#REF!</v>
      </c>
      <c r="U90" s="353" t="e">
        <f>#REF!</f>
        <v>#REF!</v>
      </c>
      <c r="V90" s="353" t="e">
        <f>#REF!</f>
        <v>#REF!</v>
      </c>
      <c r="W90" s="339"/>
      <c r="X90" s="339"/>
      <c r="Y90" s="339"/>
      <c r="Z90" s="339"/>
      <c r="AA90" s="352" t="e">
        <f>#REF!</f>
        <v>#REF!</v>
      </c>
      <c r="AB90" s="339"/>
      <c r="AC90" s="339"/>
      <c r="AD90" s="339"/>
      <c r="AE90" s="339" t="e">
        <f>#REF!</f>
        <v>#REF!</v>
      </c>
      <c r="AF90" s="339" t="e">
        <f>#REF!</f>
        <v>#REF!</v>
      </c>
      <c r="AG90" s="124" t="e">
        <f>#REF!</f>
        <v>#REF!</v>
      </c>
      <c r="AH90" s="124" t="e">
        <f>#REF!</f>
        <v>#REF!</v>
      </c>
      <c r="AI90" s="124" t="e">
        <f>#REF!</f>
        <v>#REF!</v>
      </c>
      <c r="AJ90" s="124" t="e">
        <f>#REF!</f>
        <v>#REF!</v>
      </c>
      <c r="AK90" s="124" t="e">
        <f>#REF!</f>
        <v>#REF!</v>
      </c>
      <c r="AL90" s="124" t="e">
        <f>#REF!</f>
        <v>#REF!</v>
      </c>
      <c r="AM90" s="124" t="e">
        <f>#REF!</f>
        <v>#REF!</v>
      </c>
      <c r="AN90" s="124" t="e">
        <f>#REF!</f>
        <v>#REF!</v>
      </c>
      <c r="AO90" s="124" t="e">
        <f>#REF!</f>
        <v>#REF!</v>
      </c>
      <c r="AP90" s="124" t="e">
        <f>#REF!</f>
        <v>#REF!</v>
      </c>
    </row>
    <row r="91" spans="1:42" x14ac:dyDescent="0.25">
      <c r="A91" s="351" t="e">
        <f>#REF!</f>
        <v>#REF!</v>
      </c>
      <c r="B91" s="351" t="e">
        <f>#REF!</f>
        <v>#REF!</v>
      </c>
      <c r="C91" s="351" t="e">
        <f>#REF!</f>
        <v>#REF!</v>
      </c>
      <c r="D91" s="351" t="e">
        <f>#REF!</f>
        <v>#REF!</v>
      </c>
      <c r="E91" s="351" t="e">
        <f>#REF!</f>
        <v>#REF!</v>
      </c>
      <c r="F91" s="351" t="e">
        <f>#REF!</f>
        <v>#REF!</v>
      </c>
      <c r="G91" s="351" t="e">
        <f>#REF!</f>
        <v>#REF!</v>
      </c>
      <c r="H91" s="351" t="e">
        <f>#REF!</f>
        <v>#REF!</v>
      </c>
      <c r="I91" s="339"/>
      <c r="J91" s="339"/>
      <c r="K91" s="339"/>
      <c r="L91" s="339"/>
      <c r="M91" s="339"/>
      <c r="N91" s="352" t="e">
        <f t="shared" si="2"/>
        <v>#REF!</v>
      </c>
      <c r="O91" s="339">
        <f t="shared" si="2"/>
        <v>0</v>
      </c>
      <c r="P91" s="339">
        <f t="shared" si="2"/>
        <v>0</v>
      </c>
      <c r="Q91" s="339"/>
      <c r="R91" s="339"/>
      <c r="S91" s="339">
        <f t="shared" si="3"/>
        <v>0</v>
      </c>
      <c r="T91" s="353" t="e">
        <f>#REF!</f>
        <v>#REF!</v>
      </c>
      <c r="U91" s="353" t="e">
        <f>#REF!</f>
        <v>#REF!</v>
      </c>
      <c r="V91" s="353" t="e">
        <f>#REF!</f>
        <v>#REF!</v>
      </c>
      <c r="W91" s="339"/>
      <c r="X91" s="339"/>
      <c r="Y91" s="339"/>
      <c r="Z91" s="339"/>
      <c r="AA91" s="352" t="e">
        <f>#REF!</f>
        <v>#REF!</v>
      </c>
      <c r="AB91" s="339"/>
      <c r="AC91" s="339"/>
      <c r="AD91" s="339"/>
      <c r="AE91" s="339" t="e">
        <f>#REF!</f>
        <v>#REF!</v>
      </c>
      <c r="AF91" s="339" t="e">
        <f>#REF!</f>
        <v>#REF!</v>
      </c>
      <c r="AG91" s="124" t="e">
        <f>#REF!</f>
        <v>#REF!</v>
      </c>
      <c r="AH91" s="124" t="e">
        <f>#REF!</f>
        <v>#REF!</v>
      </c>
      <c r="AI91" s="124" t="e">
        <f>#REF!</f>
        <v>#REF!</v>
      </c>
      <c r="AJ91" s="124" t="e">
        <f>#REF!</f>
        <v>#REF!</v>
      </c>
      <c r="AK91" s="124" t="e">
        <f>#REF!</f>
        <v>#REF!</v>
      </c>
      <c r="AL91" s="124" t="e">
        <f>#REF!</f>
        <v>#REF!</v>
      </c>
      <c r="AM91" s="124" t="e">
        <f>#REF!</f>
        <v>#REF!</v>
      </c>
      <c r="AN91" s="124" t="e">
        <f>#REF!</f>
        <v>#REF!</v>
      </c>
      <c r="AO91" s="124" t="e">
        <f>#REF!</f>
        <v>#REF!</v>
      </c>
      <c r="AP91" s="124" t="e">
        <f>#REF!</f>
        <v>#REF!</v>
      </c>
    </row>
    <row r="92" spans="1:42" x14ac:dyDescent="0.25">
      <c r="A92" s="351" t="e">
        <f>#REF!</f>
        <v>#REF!</v>
      </c>
      <c r="B92" s="351" t="e">
        <f>#REF!</f>
        <v>#REF!</v>
      </c>
      <c r="C92" s="351" t="e">
        <f>#REF!</f>
        <v>#REF!</v>
      </c>
      <c r="D92" s="351" t="e">
        <f>#REF!</f>
        <v>#REF!</v>
      </c>
      <c r="E92" s="351" t="e">
        <f>#REF!</f>
        <v>#REF!</v>
      </c>
      <c r="F92" s="351" t="e">
        <f>#REF!</f>
        <v>#REF!</v>
      </c>
      <c r="G92" s="351" t="e">
        <f>#REF!</f>
        <v>#REF!</v>
      </c>
      <c r="H92" s="351" t="e">
        <f>#REF!</f>
        <v>#REF!</v>
      </c>
      <c r="I92" s="339"/>
      <c r="J92" s="339"/>
      <c r="K92" s="339"/>
      <c r="L92" s="339"/>
      <c r="M92" s="339"/>
      <c r="N92" s="352" t="e">
        <f t="shared" si="2"/>
        <v>#REF!</v>
      </c>
      <c r="O92" s="339">
        <f t="shared" si="2"/>
        <v>0</v>
      </c>
      <c r="P92" s="339">
        <f t="shared" si="2"/>
        <v>0</v>
      </c>
      <c r="Q92" s="339"/>
      <c r="R92" s="339"/>
      <c r="S92" s="339">
        <f t="shared" si="3"/>
        <v>0</v>
      </c>
      <c r="T92" s="353" t="e">
        <f>#REF!</f>
        <v>#REF!</v>
      </c>
      <c r="U92" s="353" t="e">
        <f>#REF!</f>
        <v>#REF!</v>
      </c>
      <c r="V92" s="353" t="e">
        <f>#REF!</f>
        <v>#REF!</v>
      </c>
      <c r="W92" s="339"/>
      <c r="X92" s="339"/>
      <c r="Y92" s="339"/>
      <c r="Z92" s="339"/>
      <c r="AA92" s="352" t="e">
        <f>#REF!</f>
        <v>#REF!</v>
      </c>
      <c r="AB92" s="339"/>
      <c r="AC92" s="339"/>
      <c r="AD92" s="339"/>
      <c r="AE92" s="339" t="e">
        <f>#REF!</f>
        <v>#REF!</v>
      </c>
      <c r="AF92" s="339" t="e">
        <f>#REF!</f>
        <v>#REF!</v>
      </c>
      <c r="AG92" s="124" t="e">
        <f>#REF!</f>
        <v>#REF!</v>
      </c>
      <c r="AH92" s="124" t="e">
        <f>#REF!</f>
        <v>#REF!</v>
      </c>
      <c r="AI92" s="124" t="e">
        <f>#REF!</f>
        <v>#REF!</v>
      </c>
      <c r="AJ92" s="124" t="e">
        <f>#REF!</f>
        <v>#REF!</v>
      </c>
      <c r="AK92" s="124" t="e">
        <f>#REF!</f>
        <v>#REF!</v>
      </c>
      <c r="AL92" s="124" t="e">
        <f>#REF!</f>
        <v>#REF!</v>
      </c>
      <c r="AM92" s="124" t="e">
        <f>#REF!</f>
        <v>#REF!</v>
      </c>
      <c r="AN92" s="124" t="e">
        <f>#REF!</f>
        <v>#REF!</v>
      </c>
      <c r="AO92" s="124" t="e">
        <f>#REF!</f>
        <v>#REF!</v>
      </c>
      <c r="AP92" s="124" t="e">
        <f>#REF!</f>
        <v>#REF!</v>
      </c>
    </row>
    <row r="93" spans="1:42" x14ac:dyDescent="0.25">
      <c r="A93" s="351" t="e">
        <f>#REF!</f>
        <v>#REF!</v>
      </c>
      <c r="B93" s="351" t="e">
        <f>#REF!</f>
        <v>#REF!</v>
      </c>
      <c r="C93" s="351" t="e">
        <f>#REF!</f>
        <v>#REF!</v>
      </c>
      <c r="D93" s="351" t="e">
        <f>#REF!</f>
        <v>#REF!</v>
      </c>
      <c r="E93" s="351" t="e">
        <f>#REF!</f>
        <v>#REF!</v>
      </c>
      <c r="F93" s="351" t="e">
        <f>#REF!</f>
        <v>#REF!</v>
      </c>
      <c r="G93" s="351" t="e">
        <f>#REF!</f>
        <v>#REF!</v>
      </c>
      <c r="H93" s="351" t="e">
        <f>#REF!</f>
        <v>#REF!</v>
      </c>
      <c r="I93" s="339"/>
      <c r="J93" s="339"/>
      <c r="K93" s="339"/>
      <c r="L93" s="339"/>
      <c r="M93" s="339"/>
      <c r="N93" s="352" t="e">
        <f t="shared" si="2"/>
        <v>#REF!</v>
      </c>
      <c r="O93" s="339">
        <f t="shared" si="2"/>
        <v>0</v>
      </c>
      <c r="P93" s="339">
        <f t="shared" si="2"/>
        <v>0</v>
      </c>
      <c r="Q93" s="339"/>
      <c r="R93" s="339"/>
      <c r="S93" s="339">
        <f t="shared" si="3"/>
        <v>0</v>
      </c>
      <c r="T93" s="353" t="e">
        <f>#REF!</f>
        <v>#REF!</v>
      </c>
      <c r="U93" s="353" t="e">
        <f>#REF!</f>
        <v>#REF!</v>
      </c>
      <c r="V93" s="353" t="e">
        <f>#REF!</f>
        <v>#REF!</v>
      </c>
      <c r="W93" s="339"/>
      <c r="X93" s="339"/>
      <c r="Y93" s="339"/>
      <c r="Z93" s="339"/>
      <c r="AA93" s="352" t="e">
        <f>#REF!</f>
        <v>#REF!</v>
      </c>
      <c r="AB93" s="339"/>
      <c r="AC93" s="339"/>
      <c r="AD93" s="339"/>
      <c r="AE93" s="339" t="e">
        <f>#REF!</f>
        <v>#REF!</v>
      </c>
      <c r="AF93" s="339" t="e">
        <f>#REF!</f>
        <v>#REF!</v>
      </c>
      <c r="AG93" s="124" t="e">
        <f>#REF!</f>
        <v>#REF!</v>
      </c>
      <c r="AH93" s="124" t="e">
        <f>#REF!</f>
        <v>#REF!</v>
      </c>
      <c r="AI93" s="124" t="e">
        <f>#REF!</f>
        <v>#REF!</v>
      </c>
      <c r="AJ93" s="124" t="e">
        <f>#REF!</f>
        <v>#REF!</v>
      </c>
      <c r="AK93" s="124" t="e">
        <f>#REF!</f>
        <v>#REF!</v>
      </c>
      <c r="AL93" s="124" t="e">
        <f>#REF!</f>
        <v>#REF!</v>
      </c>
      <c r="AM93" s="124" t="e">
        <f>#REF!</f>
        <v>#REF!</v>
      </c>
      <c r="AN93" s="124" t="e">
        <f>#REF!</f>
        <v>#REF!</v>
      </c>
      <c r="AO93" s="124" t="e">
        <f>#REF!</f>
        <v>#REF!</v>
      </c>
      <c r="AP93" s="124" t="e">
        <f>#REF!</f>
        <v>#REF!</v>
      </c>
    </row>
    <row r="94" spans="1:42" x14ac:dyDescent="0.25">
      <c r="A94" s="351" t="e">
        <f>#REF!</f>
        <v>#REF!</v>
      </c>
      <c r="B94" s="351" t="e">
        <f>#REF!</f>
        <v>#REF!</v>
      </c>
      <c r="C94" s="351" t="e">
        <f>#REF!</f>
        <v>#REF!</v>
      </c>
      <c r="D94" s="351" t="e">
        <f>#REF!</f>
        <v>#REF!</v>
      </c>
      <c r="E94" s="351" t="e">
        <f>#REF!</f>
        <v>#REF!</v>
      </c>
      <c r="F94" s="351" t="e">
        <f>#REF!</f>
        <v>#REF!</v>
      </c>
      <c r="G94" s="351" t="e">
        <f>#REF!</f>
        <v>#REF!</v>
      </c>
      <c r="H94" s="351" t="e">
        <f>#REF!</f>
        <v>#REF!</v>
      </c>
      <c r="I94" s="339"/>
      <c r="J94" s="339"/>
      <c r="K94" s="339"/>
      <c r="L94" s="339"/>
      <c r="M94" s="339"/>
      <c r="N94" s="352" t="e">
        <f t="shared" si="2"/>
        <v>#REF!</v>
      </c>
      <c r="O94" s="339">
        <f t="shared" si="2"/>
        <v>0</v>
      </c>
      <c r="P94" s="339">
        <f t="shared" si="2"/>
        <v>0</v>
      </c>
      <c r="Q94" s="339"/>
      <c r="R94" s="339"/>
      <c r="S94" s="339">
        <f t="shared" si="3"/>
        <v>0</v>
      </c>
      <c r="T94" s="353" t="e">
        <f>#REF!</f>
        <v>#REF!</v>
      </c>
      <c r="U94" s="353" t="e">
        <f>#REF!</f>
        <v>#REF!</v>
      </c>
      <c r="V94" s="353" t="e">
        <f>#REF!</f>
        <v>#REF!</v>
      </c>
      <c r="W94" s="339"/>
      <c r="X94" s="339"/>
      <c r="Y94" s="339"/>
      <c r="Z94" s="339"/>
      <c r="AA94" s="352" t="e">
        <f>#REF!</f>
        <v>#REF!</v>
      </c>
      <c r="AB94" s="339"/>
      <c r="AC94" s="339"/>
      <c r="AD94" s="339"/>
      <c r="AE94" s="339" t="e">
        <f>#REF!</f>
        <v>#REF!</v>
      </c>
      <c r="AF94" s="339" t="e">
        <f>#REF!</f>
        <v>#REF!</v>
      </c>
      <c r="AG94" s="124" t="e">
        <f>#REF!</f>
        <v>#REF!</v>
      </c>
      <c r="AH94" s="124" t="e">
        <f>#REF!</f>
        <v>#REF!</v>
      </c>
      <c r="AI94" s="124" t="e">
        <f>#REF!</f>
        <v>#REF!</v>
      </c>
      <c r="AJ94" s="124" t="e">
        <f>#REF!</f>
        <v>#REF!</v>
      </c>
      <c r="AK94" s="124" t="e">
        <f>#REF!</f>
        <v>#REF!</v>
      </c>
      <c r="AL94" s="124" t="e">
        <f>#REF!</f>
        <v>#REF!</v>
      </c>
      <c r="AM94" s="124" t="e">
        <f>#REF!</f>
        <v>#REF!</v>
      </c>
      <c r="AN94" s="124" t="e">
        <f>#REF!</f>
        <v>#REF!</v>
      </c>
      <c r="AO94" s="124" t="e">
        <f>#REF!</f>
        <v>#REF!</v>
      </c>
      <c r="AP94" s="124" t="e">
        <f>#REF!</f>
        <v>#REF!</v>
      </c>
    </row>
    <row r="95" spans="1:42" x14ac:dyDescent="0.25">
      <c r="A95" s="351" t="e">
        <f>#REF!</f>
        <v>#REF!</v>
      </c>
      <c r="B95" s="351" t="e">
        <f>#REF!</f>
        <v>#REF!</v>
      </c>
      <c r="C95" s="351" t="e">
        <f>#REF!</f>
        <v>#REF!</v>
      </c>
      <c r="D95" s="351" t="e">
        <f>#REF!</f>
        <v>#REF!</v>
      </c>
      <c r="E95" s="351" t="e">
        <f>#REF!</f>
        <v>#REF!</v>
      </c>
      <c r="F95" s="351" t="e">
        <f>#REF!</f>
        <v>#REF!</v>
      </c>
      <c r="G95" s="351" t="e">
        <f>#REF!</f>
        <v>#REF!</v>
      </c>
      <c r="H95" s="351" t="e">
        <f>#REF!</f>
        <v>#REF!</v>
      </c>
      <c r="I95" s="339"/>
      <c r="J95" s="339"/>
      <c r="K95" s="339"/>
      <c r="L95" s="339"/>
      <c r="M95" s="339"/>
      <c r="N95" s="352" t="e">
        <f t="shared" si="2"/>
        <v>#REF!</v>
      </c>
      <c r="O95" s="339">
        <f t="shared" si="2"/>
        <v>0</v>
      </c>
      <c r="P95" s="339">
        <f t="shared" si="2"/>
        <v>0</v>
      </c>
      <c r="Q95" s="339"/>
      <c r="R95" s="339"/>
      <c r="S95" s="339">
        <f t="shared" si="3"/>
        <v>0</v>
      </c>
      <c r="T95" s="353" t="e">
        <f>#REF!</f>
        <v>#REF!</v>
      </c>
      <c r="U95" s="353" t="e">
        <f>#REF!</f>
        <v>#REF!</v>
      </c>
      <c r="V95" s="353" t="e">
        <f>#REF!</f>
        <v>#REF!</v>
      </c>
      <c r="W95" s="339"/>
      <c r="X95" s="339"/>
      <c r="Y95" s="339"/>
      <c r="Z95" s="339"/>
      <c r="AA95" s="352" t="e">
        <f>#REF!</f>
        <v>#REF!</v>
      </c>
      <c r="AB95" s="339"/>
      <c r="AC95" s="339"/>
      <c r="AD95" s="339"/>
      <c r="AE95" s="339" t="e">
        <f>#REF!</f>
        <v>#REF!</v>
      </c>
      <c r="AF95" s="339" t="e">
        <f>#REF!</f>
        <v>#REF!</v>
      </c>
      <c r="AG95" s="124" t="e">
        <f>#REF!</f>
        <v>#REF!</v>
      </c>
      <c r="AH95" s="124" t="e">
        <f>#REF!</f>
        <v>#REF!</v>
      </c>
      <c r="AI95" s="124" t="e">
        <f>#REF!</f>
        <v>#REF!</v>
      </c>
      <c r="AJ95" s="124" t="e">
        <f>#REF!</f>
        <v>#REF!</v>
      </c>
      <c r="AK95" s="124" t="e">
        <f>#REF!</f>
        <v>#REF!</v>
      </c>
      <c r="AL95" s="124" t="e">
        <f>#REF!</f>
        <v>#REF!</v>
      </c>
      <c r="AM95" s="124" t="e">
        <f>#REF!</f>
        <v>#REF!</v>
      </c>
      <c r="AN95" s="124" t="e">
        <f>#REF!</f>
        <v>#REF!</v>
      </c>
      <c r="AO95" s="124" t="e">
        <f>#REF!</f>
        <v>#REF!</v>
      </c>
      <c r="AP95" s="124" t="e">
        <f>#REF!</f>
        <v>#REF!</v>
      </c>
    </row>
    <row r="96" spans="1:42" x14ac:dyDescent="0.25">
      <c r="A96" s="351" t="e">
        <f>#REF!</f>
        <v>#REF!</v>
      </c>
      <c r="B96" s="351" t="e">
        <f>#REF!</f>
        <v>#REF!</v>
      </c>
      <c r="C96" s="351" t="e">
        <f>#REF!</f>
        <v>#REF!</v>
      </c>
      <c r="D96" s="351" t="e">
        <f>#REF!</f>
        <v>#REF!</v>
      </c>
      <c r="E96" s="351" t="e">
        <f>#REF!</f>
        <v>#REF!</v>
      </c>
      <c r="F96" s="351" t="e">
        <f>#REF!</f>
        <v>#REF!</v>
      </c>
      <c r="G96" s="351" t="e">
        <f>#REF!</f>
        <v>#REF!</v>
      </c>
      <c r="H96" s="351" t="e">
        <f>#REF!</f>
        <v>#REF!</v>
      </c>
      <c r="I96" s="339"/>
      <c r="J96" s="339"/>
      <c r="K96" s="339"/>
      <c r="L96" s="339"/>
      <c r="M96" s="339"/>
      <c r="N96" s="352" t="e">
        <f t="shared" si="2"/>
        <v>#REF!</v>
      </c>
      <c r="O96" s="339">
        <f t="shared" si="2"/>
        <v>0</v>
      </c>
      <c r="P96" s="339">
        <f t="shared" si="2"/>
        <v>0</v>
      </c>
      <c r="Q96" s="339"/>
      <c r="R96" s="339"/>
      <c r="S96" s="339">
        <f t="shared" si="3"/>
        <v>0</v>
      </c>
      <c r="T96" s="353" t="e">
        <f>#REF!</f>
        <v>#REF!</v>
      </c>
      <c r="U96" s="353" t="e">
        <f>#REF!</f>
        <v>#REF!</v>
      </c>
      <c r="V96" s="353" t="e">
        <f>#REF!</f>
        <v>#REF!</v>
      </c>
      <c r="W96" s="339"/>
      <c r="X96" s="339"/>
      <c r="Y96" s="339"/>
      <c r="Z96" s="339"/>
      <c r="AA96" s="352" t="e">
        <f>#REF!</f>
        <v>#REF!</v>
      </c>
      <c r="AB96" s="339"/>
      <c r="AC96" s="339"/>
      <c r="AD96" s="339"/>
      <c r="AE96" s="339" t="e">
        <f>#REF!</f>
        <v>#REF!</v>
      </c>
      <c r="AF96" s="339" t="e">
        <f>#REF!</f>
        <v>#REF!</v>
      </c>
      <c r="AG96" s="124" t="e">
        <f>#REF!</f>
        <v>#REF!</v>
      </c>
      <c r="AH96" s="124" t="e">
        <f>#REF!</f>
        <v>#REF!</v>
      </c>
      <c r="AI96" s="124" t="e">
        <f>#REF!</f>
        <v>#REF!</v>
      </c>
      <c r="AJ96" s="124" t="e">
        <f>#REF!</f>
        <v>#REF!</v>
      </c>
      <c r="AK96" s="124" t="e">
        <f>#REF!</f>
        <v>#REF!</v>
      </c>
      <c r="AL96" s="124" t="e">
        <f>#REF!</f>
        <v>#REF!</v>
      </c>
      <c r="AM96" s="124" t="e">
        <f>#REF!</f>
        <v>#REF!</v>
      </c>
      <c r="AN96" s="124" t="e">
        <f>#REF!</f>
        <v>#REF!</v>
      </c>
      <c r="AO96" s="124" t="e">
        <f>#REF!</f>
        <v>#REF!</v>
      </c>
      <c r="AP96" s="124" t="e">
        <f>#REF!</f>
        <v>#REF!</v>
      </c>
    </row>
    <row r="97" spans="1:42" x14ac:dyDescent="0.25">
      <c r="A97" s="351" t="e">
        <f>#REF!</f>
        <v>#REF!</v>
      </c>
      <c r="B97" s="351" t="e">
        <f>#REF!</f>
        <v>#REF!</v>
      </c>
      <c r="C97" s="351" t="e">
        <f>#REF!</f>
        <v>#REF!</v>
      </c>
      <c r="D97" s="351" t="e">
        <f>#REF!</f>
        <v>#REF!</v>
      </c>
      <c r="E97" s="351" t="e">
        <f>#REF!</f>
        <v>#REF!</v>
      </c>
      <c r="F97" s="351" t="e">
        <f>#REF!</f>
        <v>#REF!</v>
      </c>
      <c r="G97" s="351" t="e">
        <f>#REF!</f>
        <v>#REF!</v>
      </c>
      <c r="H97" s="351" t="e">
        <f>#REF!</f>
        <v>#REF!</v>
      </c>
      <c r="I97" s="339"/>
      <c r="J97" s="339"/>
      <c r="K97" s="339"/>
      <c r="L97" s="339"/>
      <c r="M97" s="339"/>
      <c r="N97" s="352" t="e">
        <f t="shared" si="2"/>
        <v>#REF!</v>
      </c>
      <c r="O97" s="339">
        <f t="shared" si="2"/>
        <v>0</v>
      </c>
      <c r="P97" s="339">
        <f t="shared" si="2"/>
        <v>0</v>
      </c>
      <c r="Q97" s="339"/>
      <c r="R97" s="339"/>
      <c r="S97" s="339">
        <f t="shared" si="3"/>
        <v>0</v>
      </c>
      <c r="T97" s="353" t="e">
        <f>#REF!</f>
        <v>#REF!</v>
      </c>
      <c r="U97" s="353" t="e">
        <f>#REF!</f>
        <v>#REF!</v>
      </c>
      <c r="V97" s="353" t="e">
        <f>#REF!</f>
        <v>#REF!</v>
      </c>
      <c r="W97" s="339"/>
      <c r="X97" s="339"/>
      <c r="Y97" s="339"/>
      <c r="Z97" s="339"/>
      <c r="AA97" s="352" t="e">
        <f>#REF!</f>
        <v>#REF!</v>
      </c>
      <c r="AB97" s="339"/>
      <c r="AC97" s="339"/>
      <c r="AD97" s="339"/>
      <c r="AE97" s="339" t="e">
        <f>#REF!</f>
        <v>#REF!</v>
      </c>
      <c r="AF97" s="339" t="e">
        <f>#REF!</f>
        <v>#REF!</v>
      </c>
      <c r="AG97" s="124" t="e">
        <f>#REF!</f>
        <v>#REF!</v>
      </c>
      <c r="AH97" s="124" t="e">
        <f>#REF!</f>
        <v>#REF!</v>
      </c>
      <c r="AI97" s="124" t="e">
        <f>#REF!</f>
        <v>#REF!</v>
      </c>
      <c r="AJ97" s="124" t="e">
        <f>#REF!</f>
        <v>#REF!</v>
      </c>
      <c r="AK97" s="124" t="e">
        <f>#REF!</f>
        <v>#REF!</v>
      </c>
      <c r="AL97" s="124" t="e">
        <f>#REF!</f>
        <v>#REF!</v>
      </c>
      <c r="AM97" s="124" t="e">
        <f>#REF!</f>
        <v>#REF!</v>
      </c>
      <c r="AN97" s="124" t="e">
        <f>#REF!</f>
        <v>#REF!</v>
      </c>
      <c r="AO97" s="124" t="e">
        <f>#REF!</f>
        <v>#REF!</v>
      </c>
      <c r="AP97" s="124" t="e">
        <f>#REF!</f>
        <v>#REF!</v>
      </c>
    </row>
    <row r="98" spans="1:42" x14ac:dyDescent="0.25">
      <c r="A98" s="351" t="e">
        <f>#REF!</f>
        <v>#REF!</v>
      </c>
      <c r="B98" s="351" t="e">
        <f>#REF!</f>
        <v>#REF!</v>
      </c>
      <c r="C98" s="351" t="e">
        <f>#REF!</f>
        <v>#REF!</v>
      </c>
      <c r="D98" s="351" t="e">
        <f>#REF!</f>
        <v>#REF!</v>
      </c>
      <c r="E98" s="351" t="e">
        <f>#REF!</f>
        <v>#REF!</v>
      </c>
      <c r="F98" s="351" t="e">
        <f>#REF!</f>
        <v>#REF!</v>
      </c>
      <c r="G98" s="351" t="e">
        <f>#REF!</f>
        <v>#REF!</v>
      </c>
      <c r="H98" s="351" t="e">
        <f>#REF!</f>
        <v>#REF!</v>
      </c>
      <c r="I98" s="339"/>
      <c r="J98" s="339"/>
      <c r="K98" s="339"/>
      <c r="L98" s="339"/>
      <c r="M98" s="339"/>
      <c r="N98" s="352" t="e">
        <f t="shared" si="2"/>
        <v>#REF!</v>
      </c>
      <c r="O98" s="339">
        <f t="shared" si="2"/>
        <v>0</v>
      </c>
      <c r="P98" s="339">
        <f t="shared" si="2"/>
        <v>0</v>
      </c>
      <c r="Q98" s="339"/>
      <c r="R98" s="339"/>
      <c r="S98" s="339">
        <f t="shared" si="3"/>
        <v>0</v>
      </c>
      <c r="T98" s="353" t="e">
        <f>#REF!</f>
        <v>#REF!</v>
      </c>
      <c r="U98" s="353" t="e">
        <f>#REF!</f>
        <v>#REF!</v>
      </c>
      <c r="V98" s="353" t="e">
        <f>#REF!</f>
        <v>#REF!</v>
      </c>
      <c r="W98" s="339"/>
      <c r="X98" s="339"/>
      <c r="Y98" s="339"/>
      <c r="Z98" s="339"/>
      <c r="AA98" s="352" t="e">
        <f>#REF!</f>
        <v>#REF!</v>
      </c>
      <c r="AB98" s="339"/>
      <c r="AC98" s="339"/>
      <c r="AD98" s="339"/>
      <c r="AE98" s="339" t="e">
        <f>#REF!</f>
        <v>#REF!</v>
      </c>
      <c r="AF98" s="339" t="e">
        <f>#REF!</f>
        <v>#REF!</v>
      </c>
      <c r="AG98" s="124" t="e">
        <f>#REF!</f>
        <v>#REF!</v>
      </c>
      <c r="AH98" s="124" t="e">
        <f>#REF!</f>
        <v>#REF!</v>
      </c>
      <c r="AI98" s="124" t="e">
        <f>#REF!</f>
        <v>#REF!</v>
      </c>
      <c r="AJ98" s="124" t="e">
        <f>#REF!</f>
        <v>#REF!</v>
      </c>
      <c r="AK98" s="124" t="e">
        <f>#REF!</f>
        <v>#REF!</v>
      </c>
      <c r="AL98" s="124" t="e">
        <f>#REF!</f>
        <v>#REF!</v>
      </c>
      <c r="AM98" s="124" t="e">
        <f>#REF!</f>
        <v>#REF!</v>
      </c>
      <c r="AN98" s="124" t="e">
        <f>#REF!</f>
        <v>#REF!</v>
      </c>
      <c r="AO98" s="124" t="e">
        <f>#REF!</f>
        <v>#REF!</v>
      </c>
      <c r="AP98" s="124" t="e">
        <f>#REF!</f>
        <v>#REF!</v>
      </c>
    </row>
    <row r="99" spans="1:42" x14ac:dyDescent="0.25">
      <c r="A99" s="351" t="e">
        <f>#REF!</f>
        <v>#REF!</v>
      </c>
      <c r="B99" s="351" t="e">
        <f>#REF!</f>
        <v>#REF!</v>
      </c>
      <c r="C99" s="351" t="e">
        <f>#REF!</f>
        <v>#REF!</v>
      </c>
      <c r="D99" s="351" t="e">
        <f>#REF!</f>
        <v>#REF!</v>
      </c>
      <c r="E99" s="351" t="e">
        <f>#REF!</f>
        <v>#REF!</v>
      </c>
      <c r="F99" s="351" t="e">
        <f>#REF!</f>
        <v>#REF!</v>
      </c>
      <c r="G99" s="351" t="e">
        <f>#REF!</f>
        <v>#REF!</v>
      </c>
      <c r="H99" s="351" t="e">
        <f>#REF!</f>
        <v>#REF!</v>
      </c>
      <c r="I99" s="339"/>
      <c r="J99" s="339"/>
      <c r="K99" s="339"/>
      <c r="L99" s="339"/>
      <c r="M99" s="339"/>
      <c r="N99" s="352" t="e">
        <f t="shared" ref="N99:P162" si="4">H99+K99</f>
        <v>#REF!</v>
      </c>
      <c r="O99" s="339">
        <f t="shared" si="4"/>
        <v>0</v>
      </c>
      <c r="P99" s="339">
        <f t="shared" si="4"/>
        <v>0</v>
      </c>
      <c r="Q99" s="339"/>
      <c r="R99" s="339"/>
      <c r="S99" s="339">
        <f t="shared" si="3"/>
        <v>0</v>
      </c>
      <c r="T99" s="353" t="e">
        <f>#REF!</f>
        <v>#REF!</v>
      </c>
      <c r="U99" s="353" t="e">
        <f>#REF!</f>
        <v>#REF!</v>
      </c>
      <c r="V99" s="353" t="e">
        <f>#REF!</f>
        <v>#REF!</v>
      </c>
      <c r="W99" s="339"/>
      <c r="X99" s="339"/>
      <c r="Y99" s="339"/>
      <c r="Z99" s="339"/>
      <c r="AA99" s="352" t="e">
        <f>#REF!</f>
        <v>#REF!</v>
      </c>
      <c r="AB99" s="339"/>
      <c r="AC99" s="339"/>
      <c r="AD99" s="339"/>
      <c r="AE99" s="339" t="e">
        <f>#REF!</f>
        <v>#REF!</v>
      </c>
      <c r="AF99" s="339" t="e">
        <f>#REF!</f>
        <v>#REF!</v>
      </c>
      <c r="AG99" s="124" t="e">
        <f>#REF!</f>
        <v>#REF!</v>
      </c>
      <c r="AH99" s="124" t="e">
        <f>#REF!</f>
        <v>#REF!</v>
      </c>
      <c r="AI99" s="124" t="e">
        <f>#REF!</f>
        <v>#REF!</v>
      </c>
      <c r="AJ99" s="124" t="e">
        <f>#REF!</f>
        <v>#REF!</v>
      </c>
      <c r="AK99" s="124" t="e">
        <f>#REF!</f>
        <v>#REF!</v>
      </c>
      <c r="AL99" s="124" t="e">
        <f>#REF!</f>
        <v>#REF!</v>
      </c>
      <c r="AM99" s="124" t="e">
        <f>#REF!</f>
        <v>#REF!</v>
      </c>
      <c r="AN99" s="124" t="e">
        <f>#REF!</f>
        <v>#REF!</v>
      </c>
      <c r="AO99" s="124" t="e">
        <f>#REF!</f>
        <v>#REF!</v>
      </c>
      <c r="AP99" s="124" t="e">
        <f>#REF!</f>
        <v>#REF!</v>
      </c>
    </row>
    <row r="100" spans="1:42" x14ac:dyDescent="0.25">
      <c r="A100" s="351" t="e">
        <f>#REF!</f>
        <v>#REF!</v>
      </c>
      <c r="B100" s="351" t="e">
        <f>#REF!</f>
        <v>#REF!</v>
      </c>
      <c r="C100" s="351" t="e">
        <f>#REF!</f>
        <v>#REF!</v>
      </c>
      <c r="D100" s="351" t="e">
        <f>#REF!</f>
        <v>#REF!</v>
      </c>
      <c r="E100" s="351" t="e">
        <f>#REF!</f>
        <v>#REF!</v>
      </c>
      <c r="F100" s="351" t="e">
        <f>#REF!</f>
        <v>#REF!</v>
      </c>
      <c r="G100" s="351" t="e">
        <f>#REF!</f>
        <v>#REF!</v>
      </c>
      <c r="H100" s="351" t="e">
        <f>#REF!</f>
        <v>#REF!</v>
      </c>
      <c r="I100" s="339"/>
      <c r="J100" s="339"/>
      <c r="K100" s="339"/>
      <c r="L100" s="339"/>
      <c r="M100" s="339"/>
      <c r="N100" s="352" t="e">
        <f t="shared" si="4"/>
        <v>#REF!</v>
      </c>
      <c r="O100" s="339">
        <f t="shared" si="4"/>
        <v>0</v>
      </c>
      <c r="P100" s="339">
        <f t="shared" si="4"/>
        <v>0</v>
      </c>
      <c r="Q100" s="339"/>
      <c r="R100" s="339"/>
      <c r="S100" s="339">
        <f t="shared" si="3"/>
        <v>0</v>
      </c>
      <c r="T100" s="353" t="e">
        <f>#REF!</f>
        <v>#REF!</v>
      </c>
      <c r="U100" s="353" t="e">
        <f>#REF!</f>
        <v>#REF!</v>
      </c>
      <c r="V100" s="353" t="e">
        <f>#REF!</f>
        <v>#REF!</v>
      </c>
      <c r="W100" s="339"/>
      <c r="X100" s="339"/>
      <c r="Y100" s="339"/>
      <c r="Z100" s="339"/>
      <c r="AA100" s="352" t="e">
        <f>#REF!</f>
        <v>#REF!</v>
      </c>
      <c r="AB100" s="339"/>
      <c r="AC100" s="339"/>
      <c r="AD100" s="339"/>
      <c r="AE100" s="339" t="e">
        <f>#REF!</f>
        <v>#REF!</v>
      </c>
      <c r="AF100" s="339" t="e">
        <f>#REF!</f>
        <v>#REF!</v>
      </c>
      <c r="AG100" s="124" t="e">
        <f>#REF!</f>
        <v>#REF!</v>
      </c>
      <c r="AH100" s="124" t="e">
        <f>#REF!</f>
        <v>#REF!</v>
      </c>
      <c r="AI100" s="124" t="e">
        <f>#REF!</f>
        <v>#REF!</v>
      </c>
      <c r="AJ100" s="124" t="e">
        <f>#REF!</f>
        <v>#REF!</v>
      </c>
      <c r="AK100" s="124" t="e">
        <f>#REF!</f>
        <v>#REF!</v>
      </c>
      <c r="AL100" s="124" t="e">
        <f>#REF!</f>
        <v>#REF!</v>
      </c>
      <c r="AM100" s="124" t="e">
        <f>#REF!</f>
        <v>#REF!</v>
      </c>
      <c r="AN100" s="124" t="e">
        <f>#REF!</f>
        <v>#REF!</v>
      </c>
      <c r="AO100" s="124" t="e">
        <f>#REF!</f>
        <v>#REF!</v>
      </c>
      <c r="AP100" s="124" t="e">
        <f>#REF!</f>
        <v>#REF!</v>
      </c>
    </row>
    <row r="101" spans="1:42" x14ac:dyDescent="0.25">
      <c r="A101" s="351" t="e">
        <f>#REF!</f>
        <v>#REF!</v>
      </c>
      <c r="B101" s="351" t="e">
        <f>#REF!</f>
        <v>#REF!</v>
      </c>
      <c r="C101" s="351" t="e">
        <f>#REF!</f>
        <v>#REF!</v>
      </c>
      <c r="D101" s="351" t="e">
        <f>#REF!</f>
        <v>#REF!</v>
      </c>
      <c r="E101" s="351" t="e">
        <f>#REF!</f>
        <v>#REF!</v>
      </c>
      <c r="F101" s="351" t="e">
        <f>#REF!</f>
        <v>#REF!</v>
      </c>
      <c r="G101" s="351" t="e">
        <f>#REF!</f>
        <v>#REF!</v>
      </c>
      <c r="H101" s="351" t="e">
        <f>#REF!</f>
        <v>#REF!</v>
      </c>
      <c r="I101" s="339"/>
      <c r="J101" s="339"/>
      <c r="K101" s="339"/>
      <c r="L101" s="339"/>
      <c r="M101" s="339"/>
      <c r="N101" s="352" t="e">
        <f t="shared" si="4"/>
        <v>#REF!</v>
      </c>
      <c r="O101" s="339">
        <f t="shared" si="4"/>
        <v>0</v>
      </c>
      <c r="P101" s="339">
        <f t="shared" si="4"/>
        <v>0</v>
      </c>
      <c r="Q101" s="339"/>
      <c r="R101" s="339"/>
      <c r="S101" s="339">
        <f t="shared" si="3"/>
        <v>0</v>
      </c>
      <c r="T101" s="353" t="e">
        <f>#REF!</f>
        <v>#REF!</v>
      </c>
      <c r="U101" s="353" t="e">
        <f>#REF!</f>
        <v>#REF!</v>
      </c>
      <c r="V101" s="353" t="e">
        <f>#REF!</f>
        <v>#REF!</v>
      </c>
      <c r="W101" s="339"/>
      <c r="X101" s="339"/>
      <c r="Y101" s="339"/>
      <c r="Z101" s="339"/>
      <c r="AA101" s="352" t="e">
        <f>#REF!</f>
        <v>#REF!</v>
      </c>
      <c r="AB101" s="339"/>
      <c r="AC101" s="339"/>
      <c r="AD101" s="339"/>
      <c r="AE101" s="339" t="e">
        <f>#REF!</f>
        <v>#REF!</v>
      </c>
      <c r="AF101" s="339" t="e">
        <f>#REF!</f>
        <v>#REF!</v>
      </c>
      <c r="AG101" s="124" t="e">
        <f>#REF!</f>
        <v>#REF!</v>
      </c>
      <c r="AH101" s="124" t="e">
        <f>#REF!</f>
        <v>#REF!</v>
      </c>
      <c r="AI101" s="124" t="e">
        <f>#REF!</f>
        <v>#REF!</v>
      </c>
      <c r="AJ101" s="124" t="e">
        <f>#REF!</f>
        <v>#REF!</v>
      </c>
      <c r="AK101" s="124" t="e">
        <f>#REF!</f>
        <v>#REF!</v>
      </c>
      <c r="AL101" s="124" t="e">
        <f>#REF!</f>
        <v>#REF!</v>
      </c>
      <c r="AM101" s="124" t="e">
        <f>#REF!</f>
        <v>#REF!</v>
      </c>
      <c r="AN101" s="124" t="e">
        <f>#REF!</f>
        <v>#REF!</v>
      </c>
      <c r="AO101" s="124" t="e">
        <f>#REF!</f>
        <v>#REF!</v>
      </c>
      <c r="AP101" s="124" t="e">
        <f>#REF!</f>
        <v>#REF!</v>
      </c>
    </row>
    <row r="102" spans="1:42" x14ac:dyDescent="0.25">
      <c r="A102" s="351" t="e">
        <f>#REF!</f>
        <v>#REF!</v>
      </c>
      <c r="B102" s="351" t="e">
        <f>#REF!</f>
        <v>#REF!</v>
      </c>
      <c r="C102" s="351" t="e">
        <f>#REF!</f>
        <v>#REF!</v>
      </c>
      <c r="D102" s="351" t="e">
        <f>#REF!</f>
        <v>#REF!</v>
      </c>
      <c r="E102" s="351" t="e">
        <f>#REF!</f>
        <v>#REF!</v>
      </c>
      <c r="F102" s="351" t="e">
        <f>#REF!</f>
        <v>#REF!</v>
      </c>
      <c r="G102" s="351" t="e">
        <f>#REF!</f>
        <v>#REF!</v>
      </c>
      <c r="H102" s="351" t="e">
        <f>#REF!</f>
        <v>#REF!</v>
      </c>
      <c r="I102" s="339"/>
      <c r="J102" s="339"/>
      <c r="K102" s="339"/>
      <c r="L102" s="339"/>
      <c r="M102" s="339"/>
      <c r="N102" s="352" t="e">
        <f t="shared" si="4"/>
        <v>#REF!</v>
      </c>
      <c r="O102" s="339">
        <f t="shared" si="4"/>
        <v>0</v>
      </c>
      <c r="P102" s="339">
        <f t="shared" si="4"/>
        <v>0</v>
      </c>
      <c r="Q102" s="339"/>
      <c r="R102" s="339"/>
      <c r="S102" s="339">
        <f t="shared" si="3"/>
        <v>0</v>
      </c>
      <c r="T102" s="353" t="e">
        <f>#REF!</f>
        <v>#REF!</v>
      </c>
      <c r="U102" s="353" t="e">
        <f>#REF!</f>
        <v>#REF!</v>
      </c>
      <c r="V102" s="353" t="e">
        <f>#REF!</f>
        <v>#REF!</v>
      </c>
      <c r="W102" s="339"/>
      <c r="X102" s="339"/>
      <c r="Y102" s="339"/>
      <c r="Z102" s="339"/>
      <c r="AA102" s="352" t="e">
        <f>#REF!</f>
        <v>#REF!</v>
      </c>
      <c r="AB102" s="339"/>
      <c r="AC102" s="339"/>
      <c r="AD102" s="339"/>
      <c r="AE102" s="339" t="e">
        <f>#REF!</f>
        <v>#REF!</v>
      </c>
      <c r="AF102" s="339" t="e">
        <f>#REF!</f>
        <v>#REF!</v>
      </c>
      <c r="AG102" s="124" t="e">
        <f>#REF!</f>
        <v>#REF!</v>
      </c>
      <c r="AH102" s="124" t="e">
        <f>#REF!</f>
        <v>#REF!</v>
      </c>
      <c r="AI102" s="124" t="e">
        <f>#REF!</f>
        <v>#REF!</v>
      </c>
      <c r="AJ102" s="124" t="e">
        <f>#REF!</f>
        <v>#REF!</v>
      </c>
      <c r="AK102" s="124" t="e">
        <f>#REF!</f>
        <v>#REF!</v>
      </c>
      <c r="AL102" s="124" t="e">
        <f>#REF!</f>
        <v>#REF!</v>
      </c>
      <c r="AM102" s="124" t="e">
        <f>#REF!</f>
        <v>#REF!</v>
      </c>
      <c r="AN102" s="124" t="e">
        <f>#REF!</f>
        <v>#REF!</v>
      </c>
      <c r="AO102" s="124" t="e">
        <f>#REF!</f>
        <v>#REF!</v>
      </c>
      <c r="AP102" s="124" t="e">
        <f>#REF!</f>
        <v>#REF!</v>
      </c>
    </row>
    <row r="103" spans="1:42" x14ac:dyDescent="0.25">
      <c r="A103" s="351" t="e">
        <f>#REF!</f>
        <v>#REF!</v>
      </c>
      <c r="B103" s="351" t="e">
        <f>#REF!</f>
        <v>#REF!</v>
      </c>
      <c r="C103" s="351" t="e">
        <f>#REF!</f>
        <v>#REF!</v>
      </c>
      <c r="D103" s="351" t="e">
        <f>#REF!</f>
        <v>#REF!</v>
      </c>
      <c r="E103" s="351" t="e">
        <f>#REF!</f>
        <v>#REF!</v>
      </c>
      <c r="F103" s="351" t="e">
        <f>#REF!</f>
        <v>#REF!</v>
      </c>
      <c r="G103" s="351" t="e">
        <f>#REF!</f>
        <v>#REF!</v>
      </c>
      <c r="H103" s="351" t="e">
        <f>#REF!</f>
        <v>#REF!</v>
      </c>
      <c r="I103" s="339"/>
      <c r="J103" s="339"/>
      <c r="K103" s="339"/>
      <c r="L103" s="339"/>
      <c r="M103" s="339"/>
      <c r="N103" s="352" t="e">
        <f t="shared" si="4"/>
        <v>#REF!</v>
      </c>
      <c r="O103" s="339">
        <f t="shared" si="4"/>
        <v>0</v>
      </c>
      <c r="P103" s="339">
        <f t="shared" si="4"/>
        <v>0</v>
      </c>
      <c r="Q103" s="339"/>
      <c r="R103" s="339"/>
      <c r="S103" s="339">
        <f t="shared" si="3"/>
        <v>0</v>
      </c>
      <c r="T103" s="353" t="e">
        <f>#REF!</f>
        <v>#REF!</v>
      </c>
      <c r="U103" s="353" t="e">
        <f>#REF!</f>
        <v>#REF!</v>
      </c>
      <c r="V103" s="353" t="e">
        <f>#REF!</f>
        <v>#REF!</v>
      </c>
      <c r="W103" s="339"/>
      <c r="X103" s="339"/>
      <c r="Y103" s="339"/>
      <c r="Z103" s="339"/>
      <c r="AA103" s="352" t="e">
        <f>#REF!</f>
        <v>#REF!</v>
      </c>
      <c r="AB103" s="339"/>
      <c r="AC103" s="339"/>
      <c r="AD103" s="339"/>
      <c r="AE103" s="339" t="e">
        <f>#REF!</f>
        <v>#REF!</v>
      </c>
      <c r="AF103" s="339" t="e">
        <f>#REF!</f>
        <v>#REF!</v>
      </c>
      <c r="AG103" s="124" t="e">
        <f>#REF!</f>
        <v>#REF!</v>
      </c>
      <c r="AH103" s="124" t="e">
        <f>#REF!</f>
        <v>#REF!</v>
      </c>
      <c r="AI103" s="124" t="e">
        <f>#REF!</f>
        <v>#REF!</v>
      </c>
      <c r="AJ103" s="124" t="e">
        <f>#REF!</f>
        <v>#REF!</v>
      </c>
      <c r="AK103" s="124" t="e">
        <f>#REF!</f>
        <v>#REF!</v>
      </c>
      <c r="AL103" s="124" t="e">
        <f>#REF!</f>
        <v>#REF!</v>
      </c>
      <c r="AM103" s="124" t="e">
        <f>#REF!</f>
        <v>#REF!</v>
      </c>
      <c r="AN103" s="124" t="e">
        <f>#REF!</f>
        <v>#REF!</v>
      </c>
      <c r="AO103" s="124" t="e">
        <f>#REF!</f>
        <v>#REF!</v>
      </c>
      <c r="AP103" s="124" t="e">
        <f>#REF!</f>
        <v>#REF!</v>
      </c>
    </row>
    <row r="104" spans="1:42" x14ac:dyDescent="0.25">
      <c r="A104" s="351" t="e">
        <f>#REF!</f>
        <v>#REF!</v>
      </c>
      <c r="B104" s="351" t="e">
        <f>#REF!</f>
        <v>#REF!</v>
      </c>
      <c r="C104" s="351" t="e">
        <f>#REF!</f>
        <v>#REF!</v>
      </c>
      <c r="D104" s="351" t="e">
        <f>#REF!</f>
        <v>#REF!</v>
      </c>
      <c r="E104" s="351" t="e">
        <f>#REF!</f>
        <v>#REF!</v>
      </c>
      <c r="F104" s="351" t="e">
        <f>#REF!</f>
        <v>#REF!</v>
      </c>
      <c r="G104" s="351" t="e">
        <f>#REF!</f>
        <v>#REF!</v>
      </c>
      <c r="H104" s="351" t="e">
        <f>#REF!</f>
        <v>#REF!</v>
      </c>
      <c r="I104" s="339"/>
      <c r="J104" s="339"/>
      <c r="K104" s="339"/>
      <c r="L104" s="339"/>
      <c r="M104" s="339"/>
      <c r="N104" s="352" t="e">
        <f t="shared" si="4"/>
        <v>#REF!</v>
      </c>
      <c r="O104" s="339">
        <f t="shared" si="4"/>
        <v>0</v>
      </c>
      <c r="P104" s="339">
        <f t="shared" si="4"/>
        <v>0</v>
      </c>
      <c r="Q104" s="339"/>
      <c r="R104" s="339"/>
      <c r="S104" s="339">
        <f t="shared" si="3"/>
        <v>0</v>
      </c>
      <c r="T104" s="353" t="e">
        <f>#REF!</f>
        <v>#REF!</v>
      </c>
      <c r="U104" s="353" t="e">
        <f>#REF!</f>
        <v>#REF!</v>
      </c>
      <c r="V104" s="353" t="e">
        <f>#REF!</f>
        <v>#REF!</v>
      </c>
      <c r="W104" s="339"/>
      <c r="X104" s="339"/>
      <c r="Y104" s="339"/>
      <c r="Z104" s="339"/>
      <c r="AA104" s="352" t="e">
        <f>#REF!</f>
        <v>#REF!</v>
      </c>
      <c r="AB104" s="339"/>
      <c r="AC104" s="339"/>
      <c r="AD104" s="339"/>
      <c r="AE104" s="339" t="e">
        <f>#REF!</f>
        <v>#REF!</v>
      </c>
      <c r="AF104" s="339" t="e">
        <f>#REF!</f>
        <v>#REF!</v>
      </c>
      <c r="AG104" s="124" t="e">
        <f>#REF!</f>
        <v>#REF!</v>
      </c>
      <c r="AH104" s="124" t="e">
        <f>#REF!</f>
        <v>#REF!</v>
      </c>
      <c r="AI104" s="124" t="e">
        <f>#REF!</f>
        <v>#REF!</v>
      </c>
      <c r="AJ104" s="124" t="e">
        <f>#REF!</f>
        <v>#REF!</v>
      </c>
      <c r="AK104" s="124" t="e">
        <f>#REF!</f>
        <v>#REF!</v>
      </c>
      <c r="AL104" s="124" t="e">
        <f>#REF!</f>
        <v>#REF!</v>
      </c>
      <c r="AM104" s="124" t="e">
        <f>#REF!</f>
        <v>#REF!</v>
      </c>
      <c r="AN104" s="124" t="e">
        <f>#REF!</f>
        <v>#REF!</v>
      </c>
      <c r="AO104" s="124" t="e">
        <f>#REF!</f>
        <v>#REF!</v>
      </c>
      <c r="AP104" s="124" t="e">
        <f>#REF!</f>
        <v>#REF!</v>
      </c>
    </row>
    <row r="105" spans="1:42" x14ac:dyDescent="0.25">
      <c r="A105" s="351" t="e">
        <f>#REF!</f>
        <v>#REF!</v>
      </c>
      <c r="B105" s="351" t="e">
        <f>#REF!</f>
        <v>#REF!</v>
      </c>
      <c r="C105" s="351" t="e">
        <f>#REF!</f>
        <v>#REF!</v>
      </c>
      <c r="D105" s="351" t="e">
        <f>#REF!</f>
        <v>#REF!</v>
      </c>
      <c r="E105" s="351" t="e">
        <f>#REF!</f>
        <v>#REF!</v>
      </c>
      <c r="F105" s="351" t="e">
        <f>#REF!</f>
        <v>#REF!</v>
      </c>
      <c r="G105" s="351" t="e">
        <f>#REF!</f>
        <v>#REF!</v>
      </c>
      <c r="H105" s="351" t="e">
        <f>#REF!</f>
        <v>#REF!</v>
      </c>
      <c r="I105" s="339"/>
      <c r="J105" s="339"/>
      <c r="K105" s="339"/>
      <c r="L105" s="339"/>
      <c r="M105" s="339"/>
      <c r="N105" s="352" t="e">
        <f t="shared" si="4"/>
        <v>#REF!</v>
      </c>
      <c r="O105" s="339">
        <f t="shared" si="4"/>
        <v>0</v>
      </c>
      <c r="P105" s="339">
        <f t="shared" si="4"/>
        <v>0</v>
      </c>
      <c r="Q105" s="339"/>
      <c r="R105" s="339"/>
      <c r="S105" s="339">
        <f t="shared" si="3"/>
        <v>0</v>
      </c>
      <c r="T105" s="353" t="e">
        <f>#REF!</f>
        <v>#REF!</v>
      </c>
      <c r="U105" s="353" t="e">
        <f>#REF!</f>
        <v>#REF!</v>
      </c>
      <c r="V105" s="353" t="e">
        <f>#REF!</f>
        <v>#REF!</v>
      </c>
      <c r="W105" s="339"/>
      <c r="X105" s="339"/>
      <c r="Y105" s="339"/>
      <c r="Z105" s="339"/>
      <c r="AA105" s="352" t="e">
        <f>#REF!</f>
        <v>#REF!</v>
      </c>
      <c r="AB105" s="339"/>
      <c r="AC105" s="339"/>
      <c r="AD105" s="339"/>
      <c r="AE105" s="339" t="e">
        <f>#REF!</f>
        <v>#REF!</v>
      </c>
      <c r="AF105" s="339" t="e">
        <f>#REF!</f>
        <v>#REF!</v>
      </c>
      <c r="AG105" s="124" t="e">
        <f>#REF!</f>
        <v>#REF!</v>
      </c>
      <c r="AH105" s="124" t="e">
        <f>#REF!</f>
        <v>#REF!</v>
      </c>
      <c r="AI105" s="124" t="e">
        <f>#REF!</f>
        <v>#REF!</v>
      </c>
      <c r="AJ105" s="124" t="e">
        <f>#REF!</f>
        <v>#REF!</v>
      </c>
      <c r="AK105" s="124" t="e">
        <f>#REF!</f>
        <v>#REF!</v>
      </c>
      <c r="AL105" s="124" t="e">
        <f>#REF!</f>
        <v>#REF!</v>
      </c>
      <c r="AM105" s="124" t="e">
        <f>#REF!</f>
        <v>#REF!</v>
      </c>
      <c r="AN105" s="124" t="e">
        <f>#REF!</f>
        <v>#REF!</v>
      </c>
      <c r="AO105" s="124" t="e">
        <f>#REF!</f>
        <v>#REF!</v>
      </c>
      <c r="AP105" s="124" t="e">
        <f>#REF!</f>
        <v>#REF!</v>
      </c>
    </row>
    <row r="106" spans="1:42" x14ac:dyDescent="0.25">
      <c r="A106" s="351" t="e">
        <f>#REF!</f>
        <v>#REF!</v>
      </c>
      <c r="B106" s="351" t="e">
        <f>#REF!</f>
        <v>#REF!</v>
      </c>
      <c r="C106" s="351" t="e">
        <f>#REF!</f>
        <v>#REF!</v>
      </c>
      <c r="D106" s="351" t="e">
        <f>#REF!</f>
        <v>#REF!</v>
      </c>
      <c r="E106" s="351" t="e">
        <f>#REF!</f>
        <v>#REF!</v>
      </c>
      <c r="F106" s="351" t="e">
        <f>#REF!</f>
        <v>#REF!</v>
      </c>
      <c r="G106" s="351" t="e">
        <f>#REF!</f>
        <v>#REF!</v>
      </c>
      <c r="H106" s="351" t="e">
        <f>#REF!</f>
        <v>#REF!</v>
      </c>
      <c r="I106" s="339"/>
      <c r="J106" s="339"/>
      <c r="K106" s="339"/>
      <c r="L106" s="339"/>
      <c r="M106" s="339"/>
      <c r="N106" s="352" t="e">
        <f t="shared" si="4"/>
        <v>#REF!</v>
      </c>
      <c r="O106" s="339">
        <f t="shared" si="4"/>
        <v>0</v>
      </c>
      <c r="P106" s="339">
        <f t="shared" si="4"/>
        <v>0</v>
      </c>
      <c r="Q106" s="339"/>
      <c r="R106" s="339"/>
      <c r="S106" s="339">
        <f t="shared" si="3"/>
        <v>0</v>
      </c>
      <c r="T106" s="353" t="e">
        <f>#REF!</f>
        <v>#REF!</v>
      </c>
      <c r="U106" s="353" t="e">
        <f>#REF!</f>
        <v>#REF!</v>
      </c>
      <c r="V106" s="353" t="e">
        <f>#REF!</f>
        <v>#REF!</v>
      </c>
      <c r="W106" s="339"/>
      <c r="X106" s="339"/>
      <c r="Y106" s="339"/>
      <c r="Z106" s="339"/>
      <c r="AA106" s="352" t="e">
        <f>#REF!</f>
        <v>#REF!</v>
      </c>
      <c r="AB106" s="339"/>
      <c r="AC106" s="339"/>
      <c r="AD106" s="339"/>
      <c r="AE106" s="339" t="e">
        <f>#REF!</f>
        <v>#REF!</v>
      </c>
      <c r="AF106" s="339" t="e">
        <f>#REF!</f>
        <v>#REF!</v>
      </c>
      <c r="AG106" s="124" t="e">
        <f>#REF!</f>
        <v>#REF!</v>
      </c>
      <c r="AH106" s="124" t="e">
        <f>#REF!</f>
        <v>#REF!</v>
      </c>
      <c r="AI106" s="124" t="e">
        <f>#REF!</f>
        <v>#REF!</v>
      </c>
      <c r="AJ106" s="124" t="e">
        <f>#REF!</f>
        <v>#REF!</v>
      </c>
      <c r="AK106" s="124" t="e">
        <f>#REF!</f>
        <v>#REF!</v>
      </c>
      <c r="AL106" s="124" t="e">
        <f>#REF!</f>
        <v>#REF!</v>
      </c>
      <c r="AM106" s="124" t="e">
        <f>#REF!</f>
        <v>#REF!</v>
      </c>
      <c r="AN106" s="124" t="e">
        <f>#REF!</f>
        <v>#REF!</v>
      </c>
      <c r="AO106" s="124" t="e">
        <f>#REF!</f>
        <v>#REF!</v>
      </c>
      <c r="AP106" s="124" t="e">
        <f>#REF!</f>
        <v>#REF!</v>
      </c>
    </row>
    <row r="107" spans="1:42" x14ac:dyDescent="0.25">
      <c r="A107" s="351" t="e">
        <f>#REF!</f>
        <v>#REF!</v>
      </c>
      <c r="B107" s="351" t="e">
        <f>#REF!</f>
        <v>#REF!</v>
      </c>
      <c r="C107" s="351" t="e">
        <f>#REF!</f>
        <v>#REF!</v>
      </c>
      <c r="D107" s="351" t="e">
        <f>#REF!</f>
        <v>#REF!</v>
      </c>
      <c r="E107" s="351" t="e">
        <f>#REF!</f>
        <v>#REF!</v>
      </c>
      <c r="F107" s="351" t="e">
        <f>#REF!</f>
        <v>#REF!</v>
      </c>
      <c r="G107" s="351" t="e">
        <f>#REF!</f>
        <v>#REF!</v>
      </c>
      <c r="H107" s="351" t="e">
        <f>#REF!</f>
        <v>#REF!</v>
      </c>
      <c r="I107" s="339"/>
      <c r="J107" s="339"/>
      <c r="K107" s="339"/>
      <c r="L107" s="339"/>
      <c r="M107" s="339"/>
      <c r="N107" s="352" t="e">
        <f t="shared" si="4"/>
        <v>#REF!</v>
      </c>
      <c r="O107" s="339">
        <f t="shared" si="4"/>
        <v>0</v>
      </c>
      <c r="P107" s="339">
        <f t="shared" si="4"/>
        <v>0</v>
      </c>
      <c r="Q107" s="339"/>
      <c r="R107" s="339"/>
      <c r="S107" s="339">
        <f t="shared" si="3"/>
        <v>0</v>
      </c>
      <c r="T107" s="353" t="e">
        <f>#REF!</f>
        <v>#REF!</v>
      </c>
      <c r="U107" s="353" t="e">
        <f>#REF!</f>
        <v>#REF!</v>
      </c>
      <c r="V107" s="353" t="e">
        <f>#REF!</f>
        <v>#REF!</v>
      </c>
      <c r="W107" s="339"/>
      <c r="X107" s="339"/>
      <c r="Y107" s="339"/>
      <c r="Z107" s="339"/>
      <c r="AA107" s="352" t="e">
        <f>#REF!</f>
        <v>#REF!</v>
      </c>
      <c r="AB107" s="339"/>
      <c r="AC107" s="339"/>
      <c r="AD107" s="339"/>
      <c r="AE107" s="339" t="e">
        <f>#REF!</f>
        <v>#REF!</v>
      </c>
      <c r="AF107" s="339" t="e">
        <f>#REF!</f>
        <v>#REF!</v>
      </c>
      <c r="AG107" s="124" t="e">
        <f>#REF!</f>
        <v>#REF!</v>
      </c>
      <c r="AH107" s="124" t="e">
        <f>#REF!</f>
        <v>#REF!</v>
      </c>
      <c r="AI107" s="124" t="e">
        <f>#REF!</f>
        <v>#REF!</v>
      </c>
      <c r="AJ107" s="124" t="e">
        <f>#REF!</f>
        <v>#REF!</v>
      </c>
      <c r="AK107" s="124" t="e">
        <f>#REF!</f>
        <v>#REF!</v>
      </c>
      <c r="AL107" s="124" t="e">
        <f>#REF!</f>
        <v>#REF!</v>
      </c>
      <c r="AM107" s="124" t="e">
        <f>#REF!</f>
        <v>#REF!</v>
      </c>
      <c r="AN107" s="124" t="e">
        <f>#REF!</f>
        <v>#REF!</v>
      </c>
      <c r="AO107" s="124" t="e">
        <f>#REF!</f>
        <v>#REF!</v>
      </c>
      <c r="AP107" s="124" t="e">
        <f>#REF!</f>
        <v>#REF!</v>
      </c>
    </row>
    <row r="108" spans="1:42" x14ac:dyDescent="0.25">
      <c r="A108" s="351" t="e">
        <f>#REF!</f>
        <v>#REF!</v>
      </c>
      <c r="B108" s="351" t="e">
        <f>#REF!</f>
        <v>#REF!</v>
      </c>
      <c r="C108" s="351" t="e">
        <f>#REF!</f>
        <v>#REF!</v>
      </c>
      <c r="D108" s="351" t="e">
        <f>#REF!</f>
        <v>#REF!</v>
      </c>
      <c r="E108" s="351" t="e">
        <f>#REF!</f>
        <v>#REF!</v>
      </c>
      <c r="F108" s="351" t="e">
        <f>#REF!</f>
        <v>#REF!</v>
      </c>
      <c r="G108" s="351" t="e">
        <f>#REF!</f>
        <v>#REF!</v>
      </c>
      <c r="H108" s="351" t="e">
        <f>#REF!</f>
        <v>#REF!</v>
      </c>
      <c r="I108" s="339"/>
      <c r="J108" s="339"/>
      <c r="K108" s="339"/>
      <c r="L108" s="339"/>
      <c r="M108" s="339"/>
      <c r="N108" s="352" t="e">
        <f t="shared" si="4"/>
        <v>#REF!</v>
      </c>
      <c r="O108" s="339">
        <f t="shared" si="4"/>
        <v>0</v>
      </c>
      <c r="P108" s="339">
        <f t="shared" si="4"/>
        <v>0</v>
      </c>
      <c r="Q108" s="339"/>
      <c r="R108" s="339"/>
      <c r="S108" s="339">
        <f t="shared" si="3"/>
        <v>0</v>
      </c>
      <c r="T108" s="353" t="e">
        <f>#REF!</f>
        <v>#REF!</v>
      </c>
      <c r="U108" s="353" t="e">
        <f>#REF!</f>
        <v>#REF!</v>
      </c>
      <c r="V108" s="353" t="e">
        <f>#REF!</f>
        <v>#REF!</v>
      </c>
      <c r="W108" s="339"/>
      <c r="X108" s="339"/>
      <c r="Y108" s="339"/>
      <c r="Z108" s="339"/>
      <c r="AA108" s="352" t="e">
        <f>#REF!</f>
        <v>#REF!</v>
      </c>
      <c r="AB108" s="339"/>
      <c r="AC108" s="339"/>
      <c r="AD108" s="339"/>
      <c r="AE108" s="339" t="e">
        <f>#REF!</f>
        <v>#REF!</v>
      </c>
      <c r="AF108" s="339" t="e">
        <f>#REF!</f>
        <v>#REF!</v>
      </c>
      <c r="AG108" s="124" t="e">
        <f>#REF!</f>
        <v>#REF!</v>
      </c>
      <c r="AH108" s="124" t="e">
        <f>#REF!</f>
        <v>#REF!</v>
      </c>
      <c r="AI108" s="124" t="e">
        <f>#REF!</f>
        <v>#REF!</v>
      </c>
      <c r="AJ108" s="124" t="e">
        <f>#REF!</f>
        <v>#REF!</v>
      </c>
      <c r="AK108" s="124" t="e">
        <f>#REF!</f>
        <v>#REF!</v>
      </c>
      <c r="AL108" s="124" t="e">
        <f>#REF!</f>
        <v>#REF!</v>
      </c>
      <c r="AM108" s="124" t="e">
        <f>#REF!</f>
        <v>#REF!</v>
      </c>
      <c r="AN108" s="124" t="e">
        <f>#REF!</f>
        <v>#REF!</v>
      </c>
      <c r="AO108" s="124" t="e">
        <f>#REF!</f>
        <v>#REF!</v>
      </c>
      <c r="AP108" s="124" t="e">
        <f>#REF!</f>
        <v>#REF!</v>
      </c>
    </row>
    <row r="109" spans="1:42" x14ac:dyDescent="0.25">
      <c r="A109" s="351" t="e">
        <f>#REF!</f>
        <v>#REF!</v>
      </c>
      <c r="B109" s="351" t="e">
        <f>#REF!</f>
        <v>#REF!</v>
      </c>
      <c r="C109" s="351" t="e">
        <f>#REF!</f>
        <v>#REF!</v>
      </c>
      <c r="D109" s="351" t="e">
        <f>#REF!</f>
        <v>#REF!</v>
      </c>
      <c r="E109" s="351" t="e">
        <f>#REF!</f>
        <v>#REF!</v>
      </c>
      <c r="F109" s="351" t="e">
        <f>#REF!</f>
        <v>#REF!</v>
      </c>
      <c r="G109" s="351" t="e">
        <f>#REF!</f>
        <v>#REF!</v>
      </c>
      <c r="H109" s="351" t="e">
        <f>#REF!</f>
        <v>#REF!</v>
      </c>
      <c r="I109" s="339"/>
      <c r="J109" s="339"/>
      <c r="K109" s="339"/>
      <c r="L109" s="339"/>
      <c r="M109" s="339"/>
      <c r="N109" s="352" t="e">
        <f t="shared" si="4"/>
        <v>#REF!</v>
      </c>
      <c r="O109" s="339">
        <f t="shared" si="4"/>
        <v>0</v>
      </c>
      <c r="P109" s="339">
        <f t="shared" si="4"/>
        <v>0</v>
      </c>
      <c r="Q109" s="339"/>
      <c r="R109" s="339"/>
      <c r="S109" s="339">
        <f t="shared" si="3"/>
        <v>0</v>
      </c>
      <c r="T109" s="353" t="e">
        <f>#REF!</f>
        <v>#REF!</v>
      </c>
      <c r="U109" s="353" t="e">
        <f>#REF!</f>
        <v>#REF!</v>
      </c>
      <c r="V109" s="353" t="e">
        <f>#REF!</f>
        <v>#REF!</v>
      </c>
      <c r="W109" s="339"/>
      <c r="X109" s="339"/>
      <c r="Y109" s="339"/>
      <c r="Z109" s="339"/>
      <c r="AA109" s="352" t="e">
        <f>#REF!</f>
        <v>#REF!</v>
      </c>
      <c r="AB109" s="339"/>
      <c r="AC109" s="339"/>
      <c r="AD109" s="339"/>
      <c r="AE109" s="339" t="e">
        <f>#REF!</f>
        <v>#REF!</v>
      </c>
      <c r="AF109" s="339" t="e">
        <f>#REF!</f>
        <v>#REF!</v>
      </c>
      <c r="AG109" s="124" t="e">
        <f>#REF!</f>
        <v>#REF!</v>
      </c>
      <c r="AH109" s="124" t="e">
        <f>#REF!</f>
        <v>#REF!</v>
      </c>
      <c r="AI109" s="124" t="e">
        <f>#REF!</f>
        <v>#REF!</v>
      </c>
      <c r="AJ109" s="124" t="e">
        <f>#REF!</f>
        <v>#REF!</v>
      </c>
      <c r="AK109" s="124" t="e">
        <f>#REF!</f>
        <v>#REF!</v>
      </c>
      <c r="AL109" s="124" t="e">
        <f>#REF!</f>
        <v>#REF!</v>
      </c>
      <c r="AM109" s="124" t="e">
        <f>#REF!</f>
        <v>#REF!</v>
      </c>
      <c r="AN109" s="124" t="e">
        <f>#REF!</f>
        <v>#REF!</v>
      </c>
      <c r="AO109" s="124" t="e">
        <f>#REF!</f>
        <v>#REF!</v>
      </c>
      <c r="AP109" s="124" t="e">
        <f>#REF!</f>
        <v>#REF!</v>
      </c>
    </row>
    <row r="110" spans="1:42" x14ac:dyDescent="0.25">
      <c r="A110" s="351" t="e">
        <f>#REF!</f>
        <v>#REF!</v>
      </c>
      <c r="B110" s="351" t="e">
        <f>#REF!</f>
        <v>#REF!</v>
      </c>
      <c r="C110" s="351" t="e">
        <f>#REF!</f>
        <v>#REF!</v>
      </c>
      <c r="D110" s="351" t="e">
        <f>#REF!</f>
        <v>#REF!</v>
      </c>
      <c r="E110" s="351" t="e">
        <f>#REF!</f>
        <v>#REF!</v>
      </c>
      <c r="F110" s="351" t="e">
        <f>#REF!</f>
        <v>#REF!</v>
      </c>
      <c r="G110" s="351" t="e">
        <f>#REF!</f>
        <v>#REF!</v>
      </c>
      <c r="H110" s="351" t="e">
        <f>#REF!</f>
        <v>#REF!</v>
      </c>
      <c r="I110" s="339"/>
      <c r="J110" s="339"/>
      <c r="K110" s="339"/>
      <c r="L110" s="339"/>
      <c r="M110" s="339"/>
      <c r="N110" s="352" t="e">
        <f t="shared" si="4"/>
        <v>#REF!</v>
      </c>
      <c r="O110" s="339">
        <f t="shared" si="4"/>
        <v>0</v>
      </c>
      <c r="P110" s="339">
        <f t="shared" si="4"/>
        <v>0</v>
      </c>
      <c r="Q110" s="339"/>
      <c r="R110" s="339"/>
      <c r="S110" s="339">
        <f t="shared" si="3"/>
        <v>0</v>
      </c>
      <c r="T110" s="353" t="e">
        <f>#REF!</f>
        <v>#REF!</v>
      </c>
      <c r="U110" s="353" t="e">
        <f>#REF!</f>
        <v>#REF!</v>
      </c>
      <c r="V110" s="353" t="e">
        <f>#REF!</f>
        <v>#REF!</v>
      </c>
      <c r="W110" s="339"/>
      <c r="X110" s="339"/>
      <c r="Y110" s="339"/>
      <c r="Z110" s="339"/>
      <c r="AA110" s="352" t="e">
        <f>#REF!</f>
        <v>#REF!</v>
      </c>
      <c r="AB110" s="339"/>
      <c r="AC110" s="339"/>
      <c r="AD110" s="339"/>
      <c r="AE110" s="339" t="e">
        <f>#REF!</f>
        <v>#REF!</v>
      </c>
      <c r="AF110" s="339" t="e">
        <f>#REF!</f>
        <v>#REF!</v>
      </c>
      <c r="AG110" s="124" t="e">
        <f>#REF!</f>
        <v>#REF!</v>
      </c>
      <c r="AH110" s="124" t="e">
        <f>#REF!</f>
        <v>#REF!</v>
      </c>
      <c r="AI110" s="124" t="e">
        <f>#REF!</f>
        <v>#REF!</v>
      </c>
      <c r="AJ110" s="124" t="e">
        <f>#REF!</f>
        <v>#REF!</v>
      </c>
      <c r="AK110" s="124" t="e">
        <f>#REF!</f>
        <v>#REF!</v>
      </c>
      <c r="AL110" s="124" t="e">
        <f>#REF!</f>
        <v>#REF!</v>
      </c>
      <c r="AM110" s="124" t="e">
        <f>#REF!</f>
        <v>#REF!</v>
      </c>
      <c r="AN110" s="124" t="e">
        <f>#REF!</f>
        <v>#REF!</v>
      </c>
      <c r="AO110" s="124" t="e">
        <f>#REF!</f>
        <v>#REF!</v>
      </c>
      <c r="AP110" s="124" t="e">
        <f>#REF!</f>
        <v>#REF!</v>
      </c>
    </row>
    <row r="111" spans="1:42" x14ac:dyDescent="0.25">
      <c r="A111" s="351" t="e">
        <f>#REF!</f>
        <v>#REF!</v>
      </c>
      <c r="B111" s="351" t="e">
        <f>#REF!</f>
        <v>#REF!</v>
      </c>
      <c r="C111" s="351" t="e">
        <f>#REF!</f>
        <v>#REF!</v>
      </c>
      <c r="D111" s="351" t="e">
        <f>#REF!</f>
        <v>#REF!</v>
      </c>
      <c r="E111" s="351" t="e">
        <f>#REF!</f>
        <v>#REF!</v>
      </c>
      <c r="F111" s="351" t="e">
        <f>#REF!</f>
        <v>#REF!</v>
      </c>
      <c r="G111" s="351" t="e">
        <f>#REF!</f>
        <v>#REF!</v>
      </c>
      <c r="H111" s="351" t="e">
        <f>#REF!</f>
        <v>#REF!</v>
      </c>
      <c r="I111" s="339"/>
      <c r="J111" s="339"/>
      <c r="K111" s="339"/>
      <c r="L111" s="339"/>
      <c r="M111" s="339"/>
      <c r="N111" s="352" t="e">
        <f t="shared" si="4"/>
        <v>#REF!</v>
      </c>
      <c r="O111" s="339">
        <f t="shared" si="4"/>
        <v>0</v>
      </c>
      <c r="P111" s="339">
        <f t="shared" si="4"/>
        <v>0</v>
      </c>
      <c r="Q111" s="339"/>
      <c r="R111" s="339"/>
      <c r="S111" s="339">
        <f t="shared" si="3"/>
        <v>0</v>
      </c>
      <c r="T111" s="353" t="e">
        <f>#REF!</f>
        <v>#REF!</v>
      </c>
      <c r="U111" s="353" t="e">
        <f>#REF!</f>
        <v>#REF!</v>
      </c>
      <c r="V111" s="353" t="e">
        <f>#REF!</f>
        <v>#REF!</v>
      </c>
      <c r="W111" s="339"/>
      <c r="X111" s="339"/>
      <c r="Y111" s="339"/>
      <c r="Z111" s="339"/>
      <c r="AA111" s="352" t="e">
        <f>#REF!</f>
        <v>#REF!</v>
      </c>
      <c r="AB111" s="339"/>
      <c r="AC111" s="339"/>
      <c r="AD111" s="339"/>
      <c r="AE111" s="339" t="e">
        <f>#REF!</f>
        <v>#REF!</v>
      </c>
      <c r="AF111" s="339" t="e">
        <f>#REF!</f>
        <v>#REF!</v>
      </c>
      <c r="AG111" s="124" t="e">
        <f>#REF!</f>
        <v>#REF!</v>
      </c>
      <c r="AH111" s="124" t="e">
        <f>#REF!</f>
        <v>#REF!</v>
      </c>
      <c r="AI111" s="124" t="e">
        <f>#REF!</f>
        <v>#REF!</v>
      </c>
      <c r="AJ111" s="124" t="e">
        <f>#REF!</f>
        <v>#REF!</v>
      </c>
      <c r="AK111" s="124" t="e">
        <f>#REF!</f>
        <v>#REF!</v>
      </c>
      <c r="AL111" s="124" t="e">
        <f>#REF!</f>
        <v>#REF!</v>
      </c>
      <c r="AM111" s="124" t="e">
        <f>#REF!</f>
        <v>#REF!</v>
      </c>
      <c r="AN111" s="124" t="e">
        <f>#REF!</f>
        <v>#REF!</v>
      </c>
      <c r="AO111" s="124" t="e">
        <f>#REF!</f>
        <v>#REF!</v>
      </c>
      <c r="AP111" s="124" t="e">
        <f>#REF!</f>
        <v>#REF!</v>
      </c>
    </row>
    <row r="112" spans="1:42" x14ac:dyDescent="0.25">
      <c r="A112" s="351" t="e">
        <f>#REF!</f>
        <v>#REF!</v>
      </c>
      <c r="B112" s="351" t="e">
        <f>#REF!</f>
        <v>#REF!</v>
      </c>
      <c r="C112" s="351" t="e">
        <f>#REF!</f>
        <v>#REF!</v>
      </c>
      <c r="D112" s="351" t="e">
        <f>#REF!</f>
        <v>#REF!</v>
      </c>
      <c r="E112" s="351" t="e">
        <f>#REF!</f>
        <v>#REF!</v>
      </c>
      <c r="F112" s="351" t="e">
        <f>#REF!</f>
        <v>#REF!</v>
      </c>
      <c r="G112" s="351" t="e">
        <f>#REF!</f>
        <v>#REF!</v>
      </c>
      <c r="H112" s="351" t="e">
        <f>#REF!</f>
        <v>#REF!</v>
      </c>
      <c r="I112" s="339"/>
      <c r="J112" s="339"/>
      <c r="K112" s="339"/>
      <c r="L112" s="339"/>
      <c r="M112" s="339"/>
      <c r="N112" s="352" t="e">
        <f t="shared" si="4"/>
        <v>#REF!</v>
      </c>
      <c r="O112" s="339">
        <f t="shared" si="4"/>
        <v>0</v>
      </c>
      <c r="P112" s="339">
        <f t="shared" si="4"/>
        <v>0</v>
      </c>
      <c r="Q112" s="339"/>
      <c r="R112" s="339"/>
      <c r="S112" s="339">
        <f t="shared" si="3"/>
        <v>0</v>
      </c>
      <c r="T112" s="353" t="e">
        <f>#REF!</f>
        <v>#REF!</v>
      </c>
      <c r="U112" s="353" t="e">
        <f>#REF!</f>
        <v>#REF!</v>
      </c>
      <c r="V112" s="353" t="e">
        <f>#REF!</f>
        <v>#REF!</v>
      </c>
      <c r="W112" s="339"/>
      <c r="X112" s="339"/>
      <c r="Y112" s="339"/>
      <c r="Z112" s="339"/>
      <c r="AA112" s="352" t="e">
        <f>#REF!</f>
        <v>#REF!</v>
      </c>
      <c r="AB112" s="339"/>
      <c r="AC112" s="339"/>
      <c r="AD112" s="339"/>
      <c r="AE112" s="339" t="e">
        <f>#REF!</f>
        <v>#REF!</v>
      </c>
      <c r="AF112" s="339" t="e">
        <f>#REF!</f>
        <v>#REF!</v>
      </c>
      <c r="AG112" s="124" t="e">
        <f>#REF!</f>
        <v>#REF!</v>
      </c>
      <c r="AH112" s="124" t="e">
        <f>#REF!</f>
        <v>#REF!</v>
      </c>
      <c r="AI112" s="124" t="e">
        <f>#REF!</f>
        <v>#REF!</v>
      </c>
      <c r="AJ112" s="124" t="e">
        <f>#REF!</f>
        <v>#REF!</v>
      </c>
      <c r="AK112" s="124" t="e">
        <f>#REF!</f>
        <v>#REF!</v>
      </c>
      <c r="AL112" s="124" t="e">
        <f>#REF!</f>
        <v>#REF!</v>
      </c>
      <c r="AM112" s="124" t="e">
        <f>#REF!</f>
        <v>#REF!</v>
      </c>
      <c r="AN112" s="124" t="e">
        <f>#REF!</f>
        <v>#REF!</v>
      </c>
      <c r="AO112" s="124" t="e">
        <f>#REF!</f>
        <v>#REF!</v>
      </c>
      <c r="AP112" s="124" t="e">
        <f>#REF!</f>
        <v>#REF!</v>
      </c>
    </row>
    <row r="113" spans="1:42" x14ac:dyDescent="0.25">
      <c r="A113" s="351" t="e">
        <f>#REF!</f>
        <v>#REF!</v>
      </c>
      <c r="B113" s="351" t="e">
        <f>#REF!</f>
        <v>#REF!</v>
      </c>
      <c r="C113" s="351" t="e">
        <f>#REF!</f>
        <v>#REF!</v>
      </c>
      <c r="D113" s="351" t="e">
        <f>#REF!</f>
        <v>#REF!</v>
      </c>
      <c r="E113" s="351" t="e">
        <f>#REF!</f>
        <v>#REF!</v>
      </c>
      <c r="F113" s="351" t="e">
        <f>#REF!</f>
        <v>#REF!</v>
      </c>
      <c r="G113" s="351" t="e">
        <f>#REF!</f>
        <v>#REF!</v>
      </c>
      <c r="H113" s="351" t="e">
        <f>#REF!</f>
        <v>#REF!</v>
      </c>
      <c r="I113" s="339"/>
      <c r="J113" s="339"/>
      <c r="K113" s="339"/>
      <c r="L113" s="339"/>
      <c r="M113" s="339"/>
      <c r="N113" s="352" t="e">
        <f t="shared" si="4"/>
        <v>#REF!</v>
      </c>
      <c r="O113" s="339">
        <f t="shared" si="4"/>
        <v>0</v>
      </c>
      <c r="P113" s="339">
        <f t="shared" si="4"/>
        <v>0</v>
      </c>
      <c r="Q113" s="339"/>
      <c r="R113" s="339"/>
      <c r="S113" s="339">
        <f t="shared" si="3"/>
        <v>0</v>
      </c>
      <c r="T113" s="353" t="e">
        <f>#REF!</f>
        <v>#REF!</v>
      </c>
      <c r="U113" s="353" t="e">
        <f>#REF!</f>
        <v>#REF!</v>
      </c>
      <c r="V113" s="353" t="e">
        <f>#REF!</f>
        <v>#REF!</v>
      </c>
      <c r="W113" s="339"/>
      <c r="X113" s="339"/>
      <c r="Y113" s="339"/>
      <c r="Z113" s="339"/>
      <c r="AA113" s="352" t="e">
        <f>#REF!</f>
        <v>#REF!</v>
      </c>
      <c r="AB113" s="339"/>
      <c r="AC113" s="339"/>
      <c r="AD113" s="339"/>
      <c r="AE113" s="339" t="e">
        <f>#REF!</f>
        <v>#REF!</v>
      </c>
      <c r="AF113" s="339" t="e">
        <f>#REF!</f>
        <v>#REF!</v>
      </c>
      <c r="AG113" s="124" t="e">
        <f>#REF!</f>
        <v>#REF!</v>
      </c>
      <c r="AH113" s="124" t="e">
        <f>#REF!</f>
        <v>#REF!</v>
      </c>
      <c r="AI113" s="124" t="e">
        <f>#REF!</f>
        <v>#REF!</v>
      </c>
      <c r="AJ113" s="124" t="e">
        <f>#REF!</f>
        <v>#REF!</v>
      </c>
      <c r="AK113" s="124" t="e">
        <f>#REF!</f>
        <v>#REF!</v>
      </c>
      <c r="AL113" s="124" t="e">
        <f>#REF!</f>
        <v>#REF!</v>
      </c>
      <c r="AM113" s="124" t="e">
        <f>#REF!</f>
        <v>#REF!</v>
      </c>
      <c r="AN113" s="124" t="e">
        <f>#REF!</f>
        <v>#REF!</v>
      </c>
      <c r="AO113" s="124" t="e">
        <f>#REF!</f>
        <v>#REF!</v>
      </c>
      <c r="AP113" s="124" t="e">
        <f>#REF!</f>
        <v>#REF!</v>
      </c>
    </row>
    <row r="114" spans="1:42" x14ac:dyDescent="0.25">
      <c r="A114" s="351" t="e">
        <f>#REF!</f>
        <v>#REF!</v>
      </c>
      <c r="B114" s="351" t="e">
        <f>#REF!</f>
        <v>#REF!</v>
      </c>
      <c r="C114" s="351" t="e">
        <f>#REF!</f>
        <v>#REF!</v>
      </c>
      <c r="D114" s="351" t="e">
        <f>#REF!</f>
        <v>#REF!</v>
      </c>
      <c r="E114" s="351" t="e">
        <f>#REF!</f>
        <v>#REF!</v>
      </c>
      <c r="F114" s="351" t="e">
        <f>#REF!</f>
        <v>#REF!</v>
      </c>
      <c r="G114" s="351" t="e">
        <f>#REF!</f>
        <v>#REF!</v>
      </c>
      <c r="H114" s="351" t="e">
        <f>#REF!</f>
        <v>#REF!</v>
      </c>
      <c r="I114" s="339"/>
      <c r="J114" s="339"/>
      <c r="K114" s="339"/>
      <c r="L114" s="339"/>
      <c r="M114" s="339"/>
      <c r="N114" s="352" t="e">
        <f t="shared" si="4"/>
        <v>#REF!</v>
      </c>
      <c r="O114" s="339">
        <f t="shared" si="4"/>
        <v>0</v>
      </c>
      <c r="P114" s="339">
        <f t="shared" si="4"/>
        <v>0</v>
      </c>
      <c r="Q114" s="339"/>
      <c r="R114" s="339"/>
      <c r="S114" s="339">
        <f t="shared" si="3"/>
        <v>0</v>
      </c>
      <c r="T114" s="353" t="e">
        <f>#REF!</f>
        <v>#REF!</v>
      </c>
      <c r="U114" s="353" t="e">
        <f>#REF!</f>
        <v>#REF!</v>
      </c>
      <c r="V114" s="353" t="e">
        <f>#REF!</f>
        <v>#REF!</v>
      </c>
      <c r="W114" s="339"/>
      <c r="X114" s="339"/>
      <c r="Y114" s="339"/>
      <c r="Z114" s="339"/>
      <c r="AA114" s="352" t="e">
        <f>#REF!</f>
        <v>#REF!</v>
      </c>
      <c r="AB114" s="339"/>
      <c r="AC114" s="339"/>
      <c r="AD114" s="339"/>
      <c r="AE114" s="339" t="e">
        <f>#REF!</f>
        <v>#REF!</v>
      </c>
      <c r="AF114" s="339" t="e">
        <f>#REF!</f>
        <v>#REF!</v>
      </c>
      <c r="AG114" s="124" t="e">
        <f>#REF!</f>
        <v>#REF!</v>
      </c>
      <c r="AH114" s="124" t="e">
        <f>#REF!</f>
        <v>#REF!</v>
      </c>
      <c r="AI114" s="124" t="e">
        <f>#REF!</f>
        <v>#REF!</v>
      </c>
      <c r="AJ114" s="124" t="e">
        <f>#REF!</f>
        <v>#REF!</v>
      </c>
      <c r="AK114" s="124" t="e">
        <f>#REF!</f>
        <v>#REF!</v>
      </c>
      <c r="AL114" s="124" t="e">
        <f>#REF!</f>
        <v>#REF!</v>
      </c>
      <c r="AM114" s="124" t="e">
        <f>#REF!</f>
        <v>#REF!</v>
      </c>
      <c r="AN114" s="124" t="e">
        <f>#REF!</f>
        <v>#REF!</v>
      </c>
      <c r="AO114" s="124" t="e">
        <f>#REF!</f>
        <v>#REF!</v>
      </c>
      <c r="AP114" s="124" t="e">
        <f>#REF!</f>
        <v>#REF!</v>
      </c>
    </row>
    <row r="115" spans="1:42" x14ac:dyDescent="0.25">
      <c r="A115" s="351" t="e">
        <f>#REF!</f>
        <v>#REF!</v>
      </c>
      <c r="B115" s="351" t="e">
        <f>#REF!</f>
        <v>#REF!</v>
      </c>
      <c r="C115" s="351" t="e">
        <f>#REF!</f>
        <v>#REF!</v>
      </c>
      <c r="D115" s="351" t="e">
        <f>#REF!</f>
        <v>#REF!</v>
      </c>
      <c r="E115" s="351" t="e">
        <f>#REF!</f>
        <v>#REF!</v>
      </c>
      <c r="F115" s="351" t="e">
        <f>#REF!</f>
        <v>#REF!</v>
      </c>
      <c r="G115" s="351" t="e">
        <f>#REF!</f>
        <v>#REF!</v>
      </c>
      <c r="H115" s="351" t="e">
        <f>#REF!</f>
        <v>#REF!</v>
      </c>
      <c r="I115" s="339"/>
      <c r="J115" s="339"/>
      <c r="K115" s="339"/>
      <c r="L115" s="339"/>
      <c r="M115" s="339"/>
      <c r="N115" s="352" t="e">
        <f t="shared" si="4"/>
        <v>#REF!</v>
      </c>
      <c r="O115" s="339">
        <f t="shared" si="4"/>
        <v>0</v>
      </c>
      <c r="P115" s="339">
        <f t="shared" si="4"/>
        <v>0</v>
      </c>
      <c r="Q115" s="339"/>
      <c r="R115" s="339"/>
      <c r="S115" s="339">
        <f t="shared" si="3"/>
        <v>0</v>
      </c>
      <c r="T115" s="353" t="e">
        <f>#REF!</f>
        <v>#REF!</v>
      </c>
      <c r="U115" s="353" t="e">
        <f>#REF!</f>
        <v>#REF!</v>
      </c>
      <c r="V115" s="353" t="e">
        <f>#REF!</f>
        <v>#REF!</v>
      </c>
      <c r="W115" s="339"/>
      <c r="X115" s="339"/>
      <c r="Y115" s="339"/>
      <c r="Z115" s="339"/>
      <c r="AA115" s="352" t="e">
        <f>#REF!</f>
        <v>#REF!</v>
      </c>
      <c r="AB115" s="339"/>
      <c r="AC115" s="339"/>
      <c r="AD115" s="339"/>
      <c r="AE115" s="339" t="e">
        <f>#REF!</f>
        <v>#REF!</v>
      </c>
      <c r="AF115" s="339" t="e">
        <f>#REF!</f>
        <v>#REF!</v>
      </c>
      <c r="AG115" s="124" t="e">
        <f>#REF!</f>
        <v>#REF!</v>
      </c>
      <c r="AH115" s="124" t="e">
        <f>#REF!</f>
        <v>#REF!</v>
      </c>
      <c r="AI115" s="124" t="e">
        <f>#REF!</f>
        <v>#REF!</v>
      </c>
      <c r="AJ115" s="124" t="e">
        <f>#REF!</f>
        <v>#REF!</v>
      </c>
      <c r="AK115" s="124" t="e">
        <f>#REF!</f>
        <v>#REF!</v>
      </c>
      <c r="AL115" s="124" t="e">
        <f>#REF!</f>
        <v>#REF!</v>
      </c>
      <c r="AM115" s="124" t="e">
        <f>#REF!</f>
        <v>#REF!</v>
      </c>
      <c r="AN115" s="124" t="e">
        <f>#REF!</f>
        <v>#REF!</v>
      </c>
      <c r="AO115" s="124" t="e">
        <f>#REF!</f>
        <v>#REF!</v>
      </c>
      <c r="AP115" s="124" t="e">
        <f>#REF!</f>
        <v>#REF!</v>
      </c>
    </row>
    <row r="116" spans="1:42" x14ac:dyDescent="0.25">
      <c r="A116" s="351" t="e">
        <f>#REF!</f>
        <v>#REF!</v>
      </c>
      <c r="B116" s="351" t="e">
        <f>#REF!</f>
        <v>#REF!</v>
      </c>
      <c r="C116" s="351" t="e">
        <f>#REF!</f>
        <v>#REF!</v>
      </c>
      <c r="D116" s="351" t="e">
        <f>#REF!</f>
        <v>#REF!</v>
      </c>
      <c r="E116" s="351" t="e">
        <f>#REF!</f>
        <v>#REF!</v>
      </c>
      <c r="F116" s="351" t="e">
        <f>#REF!</f>
        <v>#REF!</v>
      </c>
      <c r="G116" s="351" t="e">
        <f>#REF!</f>
        <v>#REF!</v>
      </c>
      <c r="H116" s="351" t="e">
        <f>#REF!</f>
        <v>#REF!</v>
      </c>
      <c r="I116" s="339"/>
      <c r="J116" s="339"/>
      <c r="K116" s="339"/>
      <c r="L116" s="339"/>
      <c r="M116" s="339"/>
      <c r="N116" s="352" t="e">
        <f t="shared" si="4"/>
        <v>#REF!</v>
      </c>
      <c r="O116" s="339">
        <f t="shared" si="4"/>
        <v>0</v>
      </c>
      <c r="P116" s="339">
        <f t="shared" si="4"/>
        <v>0</v>
      </c>
      <c r="Q116" s="339"/>
      <c r="R116" s="339"/>
      <c r="S116" s="339">
        <f t="shared" si="3"/>
        <v>0</v>
      </c>
      <c r="T116" s="353" t="e">
        <f>#REF!</f>
        <v>#REF!</v>
      </c>
      <c r="U116" s="353" t="e">
        <f>#REF!</f>
        <v>#REF!</v>
      </c>
      <c r="V116" s="353" t="e">
        <f>#REF!</f>
        <v>#REF!</v>
      </c>
      <c r="W116" s="339"/>
      <c r="X116" s="339"/>
      <c r="Y116" s="339"/>
      <c r="Z116" s="339"/>
      <c r="AA116" s="352" t="e">
        <f>#REF!</f>
        <v>#REF!</v>
      </c>
      <c r="AB116" s="339"/>
      <c r="AC116" s="339"/>
      <c r="AD116" s="339"/>
      <c r="AE116" s="339" t="e">
        <f>#REF!</f>
        <v>#REF!</v>
      </c>
      <c r="AF116" s="339" t="e">
        <f>#REF!</f>
        <v>#REF!</v>
      </c>
      <c r="AG116" s="124" t="e">
        <f>#REF!</f>
        <v>#REF!</v>
      </c>
      <c r="AH116" s="124" t="e">
        <f>#REF!</f>
        <v>#REF!</v>
      </c>
      <c r="AI116" s="124" t="e">
        <f>#REF!</f>
        <v>#REF!</v>
      </c>
      <c r="AJ116" s="124" t="e">
        <f>#REF!</f>
        <v>#REF!</v>
      </c>
      <c r="AK116" s="124" t="e">
        <f>#REF!</f>
        <v>#REF!</v>
      </c>
      <c r="AL116" s="124" t="e">
        <f>#REF!</f>
        <v>#REF!</v>
      </c>
      <c r="AM116" s="124" t="e">
        <f>#REF!</f>
        <v>#REF!</v>
      </c>
      <c r="AN116" s="124" t="e">
        <f>#REF!</f>
        <v>#REF!</v>
      </c>
      <c r="AO116" s="124" t="e">
        <f>#REF!</f>
        <v>#REF!</v>
      </c>
      <c r="AP116" s="124" t="e">
        <f>#REF!</f>
        <v>#REF!</v>
      </c>
    </row>
    <row r="117" spans="1:42" x14ac:dyDescent="0.25">
      <c r="A117" s="351" t="e">
        <f>#REF!</f>
        <v>#REF!</v>
      </c>
      <c r="B117" s="351" t="e">
        <f>#REF!</f>
        <v>#REF!</v>
      </c>
      <c r="C117" s="351" t="e">
        <f>#REF!</f>
        <v>#REF!</v>
      </c>
      <c r="D117" s="351" t="e">
        <f>#REF!</f>
        <v>#REF!</v>
      </c>
      <c r="E117" s="351" t="e">
        <f>#REF!</f>
        <v>#REF!</v>
      </c>
      <c r="F117" s="351" t="e">
        <f>#REF!</f>
        <v>#REF!</v>
      </c>
      <c r="G117" s="351" t="e">
        <f>#REF!</f>
        <v>#REF!</v>
      </c>
      <c r="H117" s="351" t="e">
        <f>#REF!</f>
        <v>#REF!</v>
      </c>
      <c r="I117" s="339"/>
      <c r="J117" s="339"/>
      <c r="K117" s="339"/>
      <c r="L117" s="339"/>
      <c r="M117" s="339"/>
      <c r="N117" s="352" t="e">
        <f t="shared" si="4"/>
        <v>#REF!</v>
      </c>
      <c r="O117" s="339">
        <f t="shared" si="4"/>
        <v>0</v>
      </c>
      <c r="P117" s="339">
        <f t="shared" si="4"/>
        <v>0</v>
      </c>
      <c r="Q117" s="339"/>
      <c r="R117" s="339"/>
      <c r="S117" s="339">
        <f t="shared" si="3"/>
        <v>0</v>
      </c>
      <c r="T117" s="353" t="e">
        <f>#REF!</f>
        <v>#REF!</v>
      </c>
      <c r="U117" s="353" t="e">
        <f>#REF!</f>
        <v>#REF!</v>
      </c>
      <c r="V117" s="353" t="e">
        <f>#REF!</f>
        <v>#REF!</v>
      </c>
      <c r="W117" s="339"/>
      <c r="X117" s="339"/>
      <c r="Y117" s="339"/>
      <c r="Z117" s="339"/>
      <c r="AA117" s="352" t="e">
        <f>#REF!</f>
        <v>#REF!</v>
      </c>
      <c r="AB117" s="339"/>
      <c r="AC117" s="339"/>
      <c r="AD117" s="339"/>
      <c r="AE117" s="339" t="e">
        <f>#REF!</f>
        <v>#REF!</v>
      </c>
      <c r="AF117" s="339" t="e">
        <f>#REF!</f>
        <v>#REF!</v>
      </c>
      <c r="AG117" s="124" t="e">
        <f>#REF!</f>
        <v>#REF!</v>
      </c>
      <c r="AH117" s="124" t="e">
        <f>#REF!</f>
        <v>#REF!</v>
      </c>
      <c r="AI117" s="124" t="e">
        <f>#REF!</f>
        <v>#REF!</v>
      </c>
      <c r="AJ117" s="124" t="e">
        <f>#REF!</f>
        <v>#REF!</v>
      </c>
      <c r="AK117" s="124" t="e">
        <f>#REF!</f>
        <v>#REF!</v>
      </c>
      <c r="AL117" s="124" t="e">
        <f>#REF!</f>
        <v>#REF!</v>
      </c>
      <c r="AM117" s="124" t="e">
        <f>#REF!</f>
        <v>#REF!</v>
      </c>
      <c r="AN117" s="124" t="e">
        <f>#REF!</f>
        <v>#REF!</v>
      </c>
      <c r="AO117" s="124" t="e">
        <f>#REF!</f>
        <v>#REF!</v>
      </c>
      <c r="AP117" s="124" t="e">
        <f>#REF!</f>
        <v>#REF!</v>
      </c>
    </row>
    <row r="118" spans="1:42" x14ac:dyDescent="0.25">
      <c r="A118" s="351" t="e">
        <f>#REF!</f>
        <v>#REF!</v>
      </c>
      <c r="B118" s="351" t="e">
        <f>#REF!</f>
        <v>#REF!</v>
      </c>
      <c r="C118" s="351" t="e">
        <f>#REF!</f>
        <v>#REF!</v>
      </c>
      <c r="D118" s="351" t="e">
        <f>#REF!</f>
        <v>#REF!</v>
      </c>
      <c r="E118" s="351" t="e">
        <f>#REF!</f>
        <v>#REF!</v>
      </c>
      <c r="F118" s="351" t="e">
        <f>#REF!</f>
        <v>#REF!</v>
      </c>
      <c r="G118" s="351" t="e">
        <f>#REF!</f>
        <v>#REF!</v>
      </c>
      <c r="H118" s="351" t="e">
        <f>#REF!</f>
        <v>#REF!</v>
      </c>
      <c r="I118" s="339"/>
      <c r="J118" s="339"/>
      <c r="K118" s="339"/>
      <c r="L118" s="339"/>
      <c r="M118" s="339"/>
      <c r="N118" s="352" t="e">
        <f t="shared" si="4"/>
        <v>#REF!</v>
      </c>
      <c r="O118" s="339">
        <f t="shared" si="4"/>
        <v>0</v>
      </c>
      <c r="P118" s="339">
        <f t="shared" si="4"/>
        <v>0</v>
      </c>
      <c r="Q118" s="339"/>
      <c r="R118" s="339"/>
      <c r="S118" s="339">
        <f t="shared" si="3"/>
        <v>0</v>
      </c>
      <c r="T118" s="353" t="e">
        <f>#REF!</f>
        <v>#REF!</v>
      </c>
      <c r="U118" s="353" t="e">
        <f>#REF!</f>
        <v>#REF!</v>
      </c>
      <c r="V118" s="353" t="e">
        <f>#REF!</f>
        <v>#REF!</v>
      </c>
      <c r="W118" s="339"/>
      <c r="X118" s="339"/>
      <c r="Y118" s="339"/>
      <c r="Z118" s="339"/>
      <c r="AA118" s="352" t="e">
        <f>#REF!</f>
        <v>#REF!</v>
      </c>
      <c r="AB118" s="339"/>
      <c r="AC118" s="339"/>
      <c r="AD118" s="339"/>
      <c r="AE118" s="339" t="e">
        <f>#REF!</f>
        <v>#REF!</v>
      </c>
      <c r="AF118" s="339" t="e">
        <f>#REF!</f>
        <v>#REF!</v>
      </c>
      <c r="AG118" s="124" t="e">
        <f>#REF!</f>
        <v>#REF!</v>
      </c>
      <c r="AH118" s="124" t="e">
        <f>#REF!</f>
        <v>#REF!</v>
      </c>
      <c r="AI118" s="124" t="e">
        <f>#REF!</f>
        <v>#REF!</v>
      </c>
      <c r="AJ118" s="124" t="e">
        <f>#REF!</f>
        <v>#REF!</v>
      </c>
      <c r="AK118" s="124" t="e">
        <f>#REF!</f>
        <v>#REF!</v>
      </c>
      <c r="AL118" s="124" t="e">
        <f>#REF!</f>
        <v>#REF!</v>
      </c>
      <c r="AM118" s="124" t="e">
        <f>#REF!</f>
        <v>#REF!</v>
      </c>
      <c r="AN118" s="124" t="e">
        <f>#REF!</f>
        <v>#REF!</v>
      </c>
      <c r="AO118" s="124" t="e">
        <f>#REF!</f>
        <v>#REF!</v>
      </c>
      <c r="AP118" s="124" t="e">
        <f>#REF!</f>
        <v>#REF!</v>
      </c>
    </row>
    <row r="119" spans="1:42" x14ac:dyDescent="0.25">
      <c r="A119" s="351" t="e">
        <f>#REF!</f>
        <v>#REF!</v>
      </c>
      <c r="B119" s="351" t="e">
        <f>#REF!</f>
        <v>#REF!</v>
      </c>
      <c r="C119" s="351" t="e">
        <f>#REF!</f>
        <v>#REF!</v>
      </c>
      <c r="D119" s="351" t="e">
        <f>#REF!</f>
        <v>#REF!</v>
      </c>
      <c r="E119" s="351" t="e">
        <f>#REF!</f>
        <v>#REF!</v>
      </c>
      <c r="F119" s="351" t="e">
        <f>#REF!</f>
        <v>#REF!</v>
      </c>
      <c r="G119" s="351" t="e">
        <f>#REF!</f>
        <v>#REF!</v>
      </c>
      <c r="H119" s="351" t="e">
        <f>#REF!</f>
        <v>#REF!</v>
      </c>
      <c r="I119" s="124"/>
      <c r="J119" s="124"/>
      <c r="K119" s="124"/>
      <c r="L119" s="124"/>
      <c r="M119" s="124"/>
      <c r="N119" s="351" t="e">
        <f t="shared" si="4"/>
        <v>#REF!</v>
      </c>
      <c r="O119" s="124">
        <f t="shared" si="4"/>
        <v>0</v>
      </c>
      <c r="P119" s="124">
        <f t="shared" si="4"/>
        <v>0</v>
      </c>
      <c r="Q119" s="124"/>
      <c r="R119" s="124"/>
      <c r="S119" s="124">
        <f t="shared" si="3"/>
        <v>0</v>
      </c>
      <c r="T119" s="353" t="e">
        <f>#REF!</f>
        <v>#REF!</v>
      </c>
      <c r="U119" s="353" t="e">
        <f>#REF!</f>
        <v>#REF!</v>
      </c>
      <c r="V119" s="353" t="e">
        <f>#REF!</f>
        <v>#REF!</v>
      </c>
      <c r="W119" s="124"/>
      <c r="X119" s="124"/>
      <c r="Y119" s="124"/>
      <c r="Z119" s="124"/>
      <c r="AA119" s="351" t="e">
        <f>#REF!</f>
        <v>#REF!</v>
      </c>
      <c r="AB119" s="124"/>
      <c r="AC119" s="124"/>
      <c r="AD119" s="124"/>
      <c r="AE119" s="124" t="e">
        <f>#REF!</f>
        <v>#REF!</v>
      </c>
      <c r="AF119" s="124" t="e">
        <f>#REF!</f>
        <v>#REF!</v>
      </c>
      <c r="AG119" s="124" t="e">
        <f>#REF!</f>
        <v>#REF!</v>
      </c>
      <c r="AH119" s="124" t="e">
        <f>#REF!</f>
        <v>#REF!</v>
      </c>
      <c r="AI119" s="124" t="e">
        <f>#REF!</f>
        <v>#REF!</v>
      </c>
      <c r="AJ119" s="124" t="e">
        <f>#REF!</f>
        <v>#REF!</v>
      </c>
      <c r="AK119" s="124" t="e">
        <f>#REF!</f>
        <v>#REF!</v>
      </c>
      <c r="AL119" s="124" t="e">
        <f>#REF!</f>
        <v>#REF!</v>
      </c>
      <c r="AM119" s="124" t="e">
        <f>#REF!</f>
        <v>#REF!</v>
      </c>
      <c r="AN119" s="124" t="e">
        <f>#REF!</f>
        <v>#REF!</v>
      </c>
      <c r="AO119" s="124" t="e">
        <f>#REF!</f>
        <v>#REF!</v>
      </c>
      <c r="AP119" s="124" t="e">
        <f>#REF!</f>
        <v>#REF!</v>
      </c>
    </row>
    <row r="120" spans="1:42" x14ac:dyDescent="0.25">
      <c r="A120" s="351" t="e">
        <f>#REF!</f>
        <v>#REF!</v>
      </c>
      <c r="B120" s="351" t="e">
        <f>#REF!</f>
        <v>#REF!</v>
      </c>
      <c r="C120" s="351" t="e">
        <f>#REF!</f>
        <v>#REF!</v>
      </c>
      <c r="D120" s="351" t="e">
        <f>#REF!</f>
        <v>#REF!</v>
      </c>
      <c r="E120" s="351" t="e">
        <f>#REF!</f>
        <v>#REF!</v>
      </c>
      <c r="F120" s="351" t="e">
        <f>#REF!</f>
        <v>#REF!</v>
      </c>
      <c r="G120" s="351" t="e">
        <f>#REF!</f>
        <v>#REF!</v>
      </c>
      <c r="H120" s="351" t="e">
        <f>#REF!</f>
        <v>#REF!</v>
      </c>
      <c r="I120" s="124"/>
      <c r="J120" s="124"/>
      <c r="K120" s="124"/>
      <c r="L120" s="124"/>
      <c r="M120" s="124"/>
      <c r="N120" s="351" t="e">
        <f t="shared" si="4"/>
        <v>#REF!</v>
      </c>
      <c r="O120" s="124">
        <f t="shared" si="4"/>
        <v>0</v>
      </c>
      <c r="P120" s="124">
        <f t="shared" si="4"/>
        <v>0</v>
      </c>
      <c r="Q120" s="124"/>
      <c r="R120" s="124"/>
      <c r="S120" s="124">
        <f t="shared" si="3"/>
        <v>0</v>
      </c>
      <c r="T120" s="353" t="e">
        <f>#REF!</f>
        <v>#REF!</v>
      </c>
      <c r="U120" s="353" t="e">
        <f>#REF!</f>
        <v>#REF!</v>
      </c>
      <c r="V120" s="353" t="e">
        <f>#REF!</f>
        <v>#REF!</v>
      </c>
      <c r="W120" s="124"/>
      <c r="X120" s="124"/>
      <c r="Y120" s="124"/>
      <c r="Z120" s="124"/>
      <c r="AA120" s="351" t="e">
        <f>#REF!</f>
        <v>#REF!</v>
      </c>
      <c r="AB120" s="124"/>
      <c r="AC120" s="124"/>
      <c r="AD120" s="124"/>
      <c r="AE120" s="124" t="e">
        <f>#REF!</f>
        <v>#REF!</v>
      </c>
      <c r="AF120" s="124" t="e">
        <f>#REF!</f>
        <v>#REF!</v>
      </c>
      <c r="AG120" s="124" t="e">
        <f>#REF!</f>
        <v>#REF!</v>
      </c>
      <c r="AH120" s="124" t="e">
        <f>#REF!</f>
        <v>#REF!</v>
      </c>
      <c r="AI120" s="124" t="e">
        <f>#REF!</f>
        <v>#REF!</v>
      </c>
      <c r="AJ120" s="124" t="e">
        <f>#REF!</f>
        <v>#REF!</v>
      </c>
      <c r="AK120" s="124" t="e">
        <f>#REF!</f>
        <v>#REF!</v>
      </c>
      <c r="AL120" s="124" t="e">
        <f>#REF!</f>
        <v>#REF!</v>
      </c>
      <c r="AM120" s="124" t="e">
        <f>#REF!</f>
        <v>#REF!</v>
      </c>
      <c r="AN120" s="124" t="e">
        <f>#REF!</f>
        <v>#REF!</v>
      </c>
      <c r="AO120" s="124" t="e">
        <f>#REF!</f>
        <v>#REF!</v>
      </c>
      <c r="AP120" s="124" t="e">
        <f>#REF!</f>
        <v>#REF!</v>
      </c>
    </row>
    <row r="121" spans="1:42" x14ac:dyDescent="0.25">
      <c r="A121" s="351" t="e">
        <f>#REF!</f>
        <v>#REF!</v>
      </c>
      <c r="B121" s="351" t="e">
        <f>#REF!</f>
        <v>#REF!</v>
      </c>
      <c r="C121" s="351" t="e">
        <f>#REF!</f>
        <v>#REF!</v>
      </c>
      <c r="D121" s="351" t="e">
        <f>#REF!</f>
        <v>#REF!</v>
      </c>
      <c r="E121" s="351" t="e">
        <f>#REF!</f>
        <v>#REF!</v>
      </c>
      <c r="F121" s="351" t="e">
        <f>#REF!</f>
        <v>#REF!</v>
      </c>
      <c r="G121" s="351" t="e">
        <f>#REF!</f>
        <v>#REF!</v>
      </c>
      <c r="H121" s="351" t="e">
        <f>#REF!</f>
        <v>#REF!</v>
      </c>
      <c r="I121" s="124"/>
      <c r="J121" s="124"/>
      <c r="K121" s="124"/>
      <c r="L121" s="124"/>
      <c r="M121" s="124"/>
      <c r="N121" s="351" t="e">
        <f t="shared" si="4"/>
        <v>#REF!</v>
      </c>
      <c r="O121" s="124">
        <f t="shared" si="4"/>
        <v>0</v>
      </c>
      <c r="P121" s="124">
        <f t="shared" si="4"/>
        <v>0</v>
      </c>
      <c r="Q121" s="124"/>
      <c r="R121" s="124"/>
      <c r="S121" s="124">
        <f t="shared" si="3"/>
        <v>0</v>
      </c>
      <c r="T121" s="353" t="e">
        <f>#REF!</f>
        <v>#REF!</v>
      </c>
      <c r="U121" s="353" t="e">
        <f>#REF!</f>
        <v>#REF!</v>
      </c>
      <c r="V121" s="353" t="e">
        <f>#REF!</f>
        <v>#REF!</v>
      </c>
      <c r="W121" s="124"/>
      <c r="X121" s="124"/>
      <c r="Y121" s="124"/>
      <c r="Z121" s="124"/>
      <c r="AA121" s="351" t="e">
        <f>#REF!</f>
        <v>#REF!</v>
      </c>
      <c r="AB121" s="124"/>
      <c r="AC121" s="124"/>
      <c r="AD121" s="124"/>
      <c r="AE121" s="124" t="e">
        <f>#REF!</f>
        <v>#REF!</v>
      </c>
      <c r="AF121" s="124" t="e">
        <f>#REF!</f>
        <v>#REF!</v>
      </c>
      <c r="AG121" s="124" t="e">
        <f>#REF!</f>
        <v>#REF!</v>
      </c>
      <c r="AH121" s="124" t="e">
        <f>#REF!</f>
        <v>#REF!</v>
      </c>
      <c r="AI121" s="124" t="e">
        <f>#REF!</f>
        <v>#REF!</v>
      </c>
      <c r="AJ121" s="124" t="e">
        <f>#REF!</f>
        <v>#REF!</v>
      </c>
      <c r="AK121" s="124" t="e">
        <f>#REF!</f>
        <v>#REF!</v>
      </c>
      <c r="AL121" s="124" t="e">
        <f>#REF!</f>
        <v>#REF!</v>
      </c>
      <c r="AM121" s="124" t="e">
        <f>#REF!</f>
        <v>#REF!</v>
      </c>
      <c r="AN121" s="124" t="e">
        <f>#REF!</f>
        <v>#REF!</v>
      </c>
      <c r="AO121" s="124" t="e">
        <f>#REF!</f>
        <v>#REF!</v>
      </c>
      <c r="AP121" s="124" t="e">
        <f>#REF!</f>
        <v>#REF!</v>
      </c>
    </row>
    <row r="122" spans="1:42" x14ac:dyDescent="0.25">
      <c r="A122" s="351" t="e">
        <f>#REF!</f>
        <v>#REF!</v>
      </c>
      <c r="B122" s="351" t="e">
        <f>#REF!</f>
        <v>#REF!</v>
      </c>
      <c r="C122" s="351" t="e">
        <f>#REF!</f>
        <v>#REF!</v>
      </c>
      <c r="D122" s="351" t="e">
        <f>#REF!</f>
        <v>#REF!</v>
      </c>
      <c r="E122" s="351" t="e">
        <f>#REF!</f>
        <v>#REF!</v>
      </c>
      <c r="F122" s="351" t="e">
        <f>#REF!</f>
        <v>#REF!</v>
      </c>
      <c r="G122" s="351" t="e">
        <f>#REF!</f>
        <v>#REF!</v>
      </c>
      <c r="H122" s="351" t="e">
        <f>#REF!</f>
        <v>#REF!</v>
      </c>
      <c r="I122" s="124"/>
      <c r="J122" s="124"/>
      <c r="K122" s="124"/>
      <c r="L122" s="124"/>
      <c r="M122" s="124"/>
      <c r="N122" s="351" t="e">
        <f t="shared" si="4"/>
        <v>#REF!</v>
      </c>
      <c r="O122" s="124">
        <f t="shared" si="4"/>
        <v>0</v>
      </c>
      <c r="P122" s="124">
        <f t="shared" si="4"/>
        <v>0</v>
      </c>
      <c r="Q122" s="124"/>
      <c r="R122" s="124"/>
      <c r="S122" s="124">
        <f t="shared" si="3"/>
        <v>0</v>
      </c>
      <c r="T122" s="353" t="e">
        <f>#REF!</f>
        <v>#REF!</v>
      </c>
      <c r="U122" s="353" t="e">
        <f>#REF!</f>
        <v>#REF!</v>
      </c>
      <c r="V122" s="353" t="e">
        <f>#REF!</f>
        <v>#REF!</v>
      </c>
      <c r="W122" s="124"/>
      <c r="X122" s="124"/>
      <c r="Y122" s="124"/>
      <c r="Z122" s="124"/>
      <c r="AA122" s="351" t="e">
        <f>#REF!</f>
        <v>#REF!</v>
      </c>
      <c r="AB122" s="124"/>
      <c r="AC122" s="124"/>
      <c r="AD122" s="124"/>
      <c r="AE122" s="124" t="e">
        <f>#REF!</f>
        <v>#REF!</v>
      </c>
      <c r="AF122" s="124" t="e">
        <f>#REF!</f>
        <v>#REF!</v>
      </c>
      <c r="AG122" s="124" t="e">
        <f>#REF!</f>
        <v>#REF!</v>
      </c>
      <c r="AH122" s="124" t="e">
        <f>#REF!</f>
        <v>#REF!</v>
      </c>
      <c r="AI122" s="124" t="e">
        <f>#REF!</f>
        <v>#REF!</v>
      </c>
      <c r="AJ122" s="124" t="e">
        <f>#REF!</f>
        <v>#REF!</v>
      </c>
      <c r="AK122" s="124" t="e">
        <f>#REF!</f>
        <v>#REF!</v>
      </c>
      <c r="AL122" s="124" t="e">
        <f>#REF!</f>
        <v>#REF!</v>
      </c>
      <c r="AM122" s="124" t="e">
        <f>#REF!</f>
        <v>#REF!</v>
      </c>
      <c r="AN122" s="124" t="e">
        <f>#REF!</f>
        <v>#REF!</v>
      </c>
      <c r="AO122" s="124" t="e">
        <f>#REF!</f>
        <v>#REF!</v>
      </c>
      <c r="AP122" s="124" t="e">
        <f>#REF!</f>
        <v>#REF!</v>
      </c>
    </row>
    <row r="123" spans="1:42" x14ac:dyDescent="0.25">
      <c r="A123" s="351" t="e">
        <f>#REF!</f>
        <v>#REF!</v>
      </c>
      <c r="B123" s="351" t="e">
        <f>#REF!</f>
        <v>#REF!</v>
      </c>
      <c r="C123" s="351" t="e">
        <f>#REF!</f>
        <v>#REF!</v>
      </c>
      <c r="D123" s="351" t="e">
        <f>#REF!</f>
        <v>#REF!</v>
      </c>
      <c r="E123" s="351" t="e">
        <f>#REF!</f>
        <v>#REF!</v>
      </c>
      <c r="F123" s="351" t="e">
        <f>#REF!</f>
        <v>#REF!</v>
      </c>
      <c r="G123" s="351" t="e">
        <f>#REF!</f>
        <v>#REF!</v>
      </c>
      <c r="H123" s="351" t="e">
        <f>#REF!</f>
        <v>#REF!</v>
      </c>
      <c r="I123" s="124"/>
      <c r="J123" s="124"/>
      <c r="K123" s="124"/>
      <c r="L123" s="124"/>
      <c r="M123" s="124"/>
      <c r="N123" s="351" t="e">
        <f t="shared" si="4"/>
        <v>#REF!</v>
      </c>
      <c r="O123" s="124">
        <f t="shared" si="4"/>
        <v>0</v>
      </c>
      <c r="P123" s="124">
        <f t="shared" si="4"/>
        <v>0</v>
      </c>
      <c r="Q123" s="124"/>
      <c r="R123" s="124"/>
      <c r="S123" s="124">
        <f t="shared" si="3"/>
        <v>0</v>
      </c>
      <c r="T123" s="353" t="e">
        <f>#REF!</f>
        <v>#REF!</v>
      </c>
      <c r="U123" s="353" t="e">
        <f>#REF!</f>
        <v>#REF!</v>
      </c>
      <c r="V123" s="353" t="e">
        <f>#REF!</f>
        <v>#REF!</v>
      </c>
      <c r="W123" s="124"/>
      <c r="X123" s="124"/>
      <c r="Y123" s="124"/>
      <c r="Z123" s="124"/>
      <c r="AA123" s="351" t="e">
        <f>#REF!</f>
        <v>#REF!</v>
      </c>
      <c r="AB123" s="124"/>
      <c r="AC123" s="124"/>
      <c r="AD123" s="124"/>
      <c r="AE123" s="124" t="e">
        <f>#REF!</f>
        <v>#REF!</v>
      </c>
      <c r="AF123" s="124" t="e">
        <f>#REF!</f>
        <v>#REF!</v>
      </c>
      <c r="AG123" s="124" t="e">
        <f>#REF!</f>
        <v>#REF!</v>
      </c>
      <c r="AH123" s="124" t="e">
        <f>#REF!</f>
        <v>#REF!</v>
      </c>
      <c r="AI123" s="124" t="e">
        <f>#REF!</f>
        <v>#REF!</v>
      </c>
      <c r="AJ123" s="124" t="e">
        <f>#REF!</f>
        <v>#REF!</v>
      </c>
      <c r="AK123" s="124" t="e">
        <f>#REF!</f>
        <v>#REF!</v>
      </c>
      <c r="AL123" s="124" t="e">
        <f>#REF!</f>
        <v>#REF!</v>
      </c>
      <c r="AM123" s="124" t="e">
        <f>#REF!</f>
        <v>#REF!</v>
      </c>
      <c r="AN123" s="124" t="e">
        <f>#REF!</f>
        <v>#REF!</v>
      </c>
      <c r="AO123" s="124" t="e">
        <f>#REF!</f>
        <v>#REF!</v>
      </c>
      <c r="AP123" s="124" t="e">
        <f>#REF!</f>
        <v>#REF!</v>
      </c>
    </row>
    <row r="124" spans="1:42" x14ac:dyDescent="0.25">
      <c r="A124" s="351" t="e">
        <f>#REF!</f>
        <v>#REF!</v>
      </c>
      <c r="B124" s="351" t="e">
        <f>#REF!</f>
        <v>#REF!</v>
      </c>
      <c r="C124" s="351" t="e">
        <f>#REF!</f>
        <v>#REF!</v>
      </c>
      <c r="D124" s="351" t="e">
        <f>#REF!</f>
        <v>#REF!</v>
      </c>
      <c r="E124" s="351" t="e">
        <f>#REF!</f>
        <v>#REF!</v>
      </c>
      <c r="F124" s="351" t="e">
        <f>#REF!</f>
        <v>#REF!</v>
      </c>
      <c r="G124" s="351" t="e">
        <f>#REF!</f>
        <v>#REF!</v>
      </c>
      <c r="H124" s="351" t="e">
        <f>#REF!</f>
        <v>#REF!</v>
      </c>
      <c r="I124" s="124"/>
      <c r="J124" s="124"/>
      <c r="K124" s="124"/>
      <c r="L124" s="124"/>
      <c r="M124" s="124"/>
      <c r="N124" s="351" t="e">
        <f t="shared" si="4"/>
        <v>#REF!</v>
      </c>
      <c r="O124" s="124">
        <f t="shared" si="4"/>
        <v>0</v>
      </c>
      <c r="P124" s="124">
        <f t="shared" si="4"/>
        <v>0</v>
      </c>
      <c r="Q124" s="124"/>
      <c r="R124" s="124"/>
      <c r="S124" s="124">
        <f t="shared" si="3"/>
        <v>0</v>
      </c>
      <c r="T124" s="353" t="e">
        <f>#REF!</f>
        <v>#REF!</v>
      </c>
      <c r="U124" s="353" t="e">
        <f>#REF!</f>
        <v>#REF!</v>
      </c>
      <c r="V124" s="353" t="e">
        <f>#REF!</f>
        <v>#REF!</v>
      </c>
      <c r="W124" s="124"/>
      <c r="X124" s="124"/>
      <c r="Y124" s="124"/>
      <c r="Z124" s="124"/>
      <c r="AA124" s="351" t="e">
        <f>#REF!</f>
        <v>#REF!</v>
      </c>
      <c r="AB124" s="124"/>
      <c r="AC124" s="124"/>
      <c r="AD124" s="124"/>
      <c r="AE124" s="124" t="e">
        <f>#REF!</f>
        <v>#REF!</v>
      </c>
      <c r="AF124" s="124" t="e">
        <f>#REF!</f>
        <v>#REF!</v>
      </c>
      <c r="AG124" s="124" t="e">
        <f>#REF!</f>
        <v>#REF!</v>
      </c>
      <c r="AH124" s="124" t="e">
        <f>#REF!</f>
        <v>#REF!</v>
      </c>
      <c r="AI124" s="124" t="e">
        <f>#REF!</f>
        <v>#REF!</v>
      </c>
      <c r="AJ124" s="124" t="e">
        <f>#REF!</f>
        <v>#REF!</v>
      </c>
      <c r="AK124" s="124" t="e">
        <f>#REF!</f>
        <v>#REF!</v>
      </c>
      <c r="AL124" s="124" t="e">
        <f>#REF!</f>
        <v>#REF!</v>
      </c>
      <c r="AM124" s="124" t="e">
        <f>#REF!</f>
        <v>#REF!</v>
      </c>
      <c r="AN124" s="124" t="e">
        <f>#REF!</f>
        <v>#REF!</v>
      </c>
      <c r="AO124" s="124" t="e">
        <f>#REF!</f>
        <v>#REF!</v>
      </c>
      <c r="AP124" s="124" t="e">
        <f>#REF!</f>
        <v>#REF!</v>
      </c>
    </row>
    <row r="125" spans="1:42" x14ac:dyDescent="0.25">
      <c r="A125" s="351" t="e">
        <f>#REF!</f>
        <v>#REF!</v>
      </c>
      <c r="B125" s="351" t="e">
        <f>#REF!</f>
        <v>#REF!</v>
      </c>
      <c r="C125" s="351" t="e">
        <f>#REF!</f>
        <v>#REF!</v>
      </c>
      <c r="D125" s="351" t="e">
        <f>#REF!</f>
        <v>#REF!</v>
      </c>
      <c r="E125" s="351" t="e">
        <f>#REF!</f>
        <v>#REF!</v>
      </c>
      <c r="F125" s="351" t="e">
        <f>#REF!</f>
        <v>#REF!</v>
      </c>
      <c r="G125" s="351" t="e">
        <f>#REF!</f>
        <v>#REF!</v>
      </c>
      <c r="H125" s="351" t="e">
        <f>#REF!</f>
        <v>#REF!</v>
      </c>
      <c r="I125" s="124"/>
      <c r="J125" s="124"/>
      <c r="K125" s="124"/>
      <c r="L125" s="124"/>
      <c r="M125" s="124"/>
      <c r="N125" s="351" t="e">
        <f t="shared" si="4"/>
        <v>#REF!</v>
      </c>
      <c r="O125" s="124">
        <f t="shared" si="4"/>
        <v>0</v>
      </c>
      <c r="P125" s="124">
        <f t="shared" si="4"/>
        <v>0</v>
      </c>
      <c r="Q125" s="124"/>
      <c r="R125" s="124"/>
      <c r="S125" s="124">
        <f t="shared" si="3"/>
        <v>0</v>
      </c>
      <c r="T125" s="353" t="e">
        <f>#REF!</f>
        <v>#REF!</v>
      </c>
      <c r="U125" s="353" t="e">
        <f>#REF!</f>
        <v>#REF!</v>
      </c>
      <c r="V125" s="353" t="e">
        <f>#REF!</f>
        <v>#REF!</v>
      </c>
      <c r="W125" s="124"/>
      <c r="X125" s="124"/>
      <c r="Y125" s="124"/>
      <c r="Z125" s="124"/>
      <c r="AA125" s="351" t="e">
        <f>#REF!</f>
        <v>#REF!</v>
      </c>
      <c r="AB125" s="124"/>
      <c r="AC125" s="124"/>
      <c r="AD125" s="124"/>
      <c r="AE125" s="124" t="e">
        <f>#REF!</f>
        <v>#REF!</v>
      </c>
      <c r="AF125" s="124" t="e">
        <f>#REF!</f>
        <v>#REF!</v>
      </c>
      <c r="AG125" s="124" t="e">
        <f>#REF!</f>
        <v>#REF!</v>
      </c>
      <c r="AH125" s="124" t="e">
        <f>#REF!</f>
        <v>#REF!</v>
      </c>
      <c r="AI125" s="124" t="e">
        <f>#REF!</f>
        <v>#REF!</v>
      </c>
      <c r="AJ125" s="124" t="e">
        <f>#REF!</f>
        <v>#REF!</v>
      </c>
      <c r="AK125" s="124" t="e">
        <f>#REF!</f>
        <v>#REF!</v>
      </c>
      <c r="AL125" s="124" t="e">
        <f>#REF!</f>
        <v>#REF!</v>
      </c>
      <c r="AM125" s="124" t="e">
        <f>#REF!</f>
        <v>#REF!</v>
      </c>
      <c r="AN125" s="124" t="e">
        <f>#REF!</f>
        <v>#REF!</v>
      </c>
      <c r="AO125" s="124" t="e">
        <f>#REF!</f>
        <v>#REF!</v>
      </c>
      <c r="AP125" s="124" t="e">
        <f>#REF!</f>
        <v>#REF!</v>
      </c>
    </row>
    <row r="126" spans="1:42" x14ac:dyDescent="0.25">
      <c r="A126" s="351" t="e">
        <f>#REF!</f>
        <v>#REF!</v>
      </c>
      <c r="B126" s="351" t="e">
        <f>#REF!</f>
        <v>#REF!</v>
      </c>
      <c r="C126" s="351" t="e">
        <f>#REF!</f>
        <v>#REF!</v>
      </c>
      <c r="D126" s="351" t="e">
        <f>#REF!</f>
        <v>#REF!</v>
      </c>
      <c r="E126" s="351" t="e">
        <f>#REF!</f>
        <v>#REF!</v>
      </c>
      <c r="F126" s="351" t="e">
        <f>#REF!</f>
        <v>#REF!</v>
      </c>
      <c r="G126" s="351" t="e">
        <f>#REF!</f>
        <v>#REF!</v>
      </c>
      <c r="H126" s="351" t="e">
        <f>#REF!</f>
        <v>#REF!</v>
      </c>
      <c r="I126" s="124"/>
      <c r="J126" s="124"/>
      <c r="K126" s="124"/>
      <c r="L126" s="124"/>
      <c r="M126" s="124"/>
      <c r="N126" s="351" t="e">
        <f t="shared" si="4"/>
        <v>#REF!</v>
      </c>
      <c r="O126" s="124">
        <f t="shared" si="4"/>
        <v>0</v>
      </c>
      <c r="P126" s="124">
        <f t="shared" si="4"/>
        <v>0</v>
      </c>
      <c r="Q126" s="124"/>
      <c r="R126" s="124"/>
      <c r="S126" s="124">
        <f t="shared" si="3"/>
        <v>0</v>
      </c>
      <c r="T126" s="353" t="e">
        <f>#REF!</f>
        <v>#REF!</v>
      </c>
      <c r="U126" s="353" t="e">
        <f>#REF!</f>
        <v>#REF!</v>
      </c>
      <c r="V126" s="353" t="e">
        <f>#REF!</f>
        <v>#REF!</v>
      </c>
      <c r="W126" s="124"/>
      <c r="X126" s="124"/>
      <c r="Y126" s="124"/>
      <c r="Z126" s="124"/>
      <c r="AA126" s="351" t="e">
        <f>#REF!</f>
        <v>#REF!</v>
      </c>
      <c r="AB126" s="124"/>
      <c r="AC126" s="124"/>
      <c r="AD126" s="124"/>
      <c r="AE126" s="124" t="e">
        <f>#REF!</f>
        <v>#REF!</v>
      </c>
      <c r="AF126" s="124" t="e">
        <f>#REF!</f>
        <v>#REF!</v>
      </c>
      <c r="AG126" s="124" t="e">
        <f>#REF!</f>
        <v>#REF!</v>
      </c>
      <c r="AH126" s="124" t="e">
        <f>#REF!</f>
        <v>#REF!</v>
      </c>
      <c r="AI126" s="124" t="e">
        <f>#REF!</f>
        <v>#REF!</v>
      </c>
      <c r="AJ126" s="124" t="e">
        <f>#REF!</f>
        <v>#REF!</v>
      </c>
      <c r="AK126" s="124" t="e">
        <f>#REF!</f>
        <v>#REF!</v>
      </c>
      <c r="AL126" s="124" t="e">
        <f>#REF!</f>
        <v>#REF!</v>
      </c>
      <c r="AM126" s="124" t="e">
        <f>#REF!</f>
        <v>#REF!</v>
      </c>
      <c r="AN126" s="124" t="e">
        <f>#REF!</f>
        <v>#REF!</v>
      </c>
      <c r="AO126" s="124" t="e">
        <f>#REF!</f>
        <v>#REF!</v>
      </c>
      <c r="AP126" s="124" t="e">
        <f>#REF!</f>
        <v>#REF!</v>
      </c>
    </row>
    <row r="127" spans="1:42" x14ac:dyDescent="0.25">
      <c r="A127" s="351" t="e">
        <f>#REF!</f>
        <v>#REF!</v>
      </c>
      <c r="B127" s="351" t="e">
        <f>#REF!</f>
        <v>#REF!</v>
      </c>
      <c r="C127" s="351" t="e">
        <f>#REF!</f>
        <v>#REF!</v>
      </c>
      <c r="D127" s="351" t="e">
        <f>#REF!</f>
        <v>#REF!</v>
      </c>
      <c r="E127" s="351" t="e">
        <f>#REF!</f>
        <v>#REF!</v>
      </c>
      <c r="F127" s="351" t="e">
        <f>#REF!</f>
        <v>#REF!</v>
      </c>
      <c r="G127" s="351" t="e">
        <f>#REF!</f>
        <v>#REF!</v>
      </c>
      <c r="H127" s="351" t="e">
        <f>#REF!</f>
        <v>#REF!</v>
      </c>
      <c r="I127" s="124"/>
      <c r="J127" s="124"/>
      <c r="K127" s="124"/>
      <c r="L127" s="124"/>
      <c r="M127" s="124"/>
      <c r="N127" s="351" t="e">
        <f t="shared" si="4"/>
        <v>#REF!</v>
      </c>
      <c r="O127" s="124">
        <f t="shared" si="4"/>
        <v>0</v>
      </c>
      <c r="P127" s="124">
        <f t="shared" si="4"/>
        <v>0</v>
      </c>
      <c r="Q127" s="124"/>
      <c r="R127" s="124"/>
      <c r="S127" s="124">
        <f t="shared" si="3"/>
        <v>0</v>
      </c>
      <c r="T127" s="353" t="e">
        <f>#REF!</f>
        <v>#REF!</v>
      </c>
      <c r="U127" s="353" t="e">
        <f>#REF!</f>
        <v>#REF!</v>
      </c>
      <c r="V127" s="353" t="e">
        <f>#REF!</f>
        <v>#REF!</v>
      </c>
      <c r="W127" s="124"/>
      <c r="X127" s="124"/>
      <c r="Y127" s="124"/>
      <c r="Z127" s="124"/>
      <c r="AA127" s="351" t="e">
        <f>#REF!</f>
        <v>#REF!</v>
      </c>
      <c r="AB127" s="124"/>
      <c r="AC127" s="124"/>
      <c r="AD127" s="124"/>
      <c r="AE127" s="124" t="e">
        <f>#REF!</f>
        <v>#REF!</v>
      </c>
      <c r="AF127" s="124" t="e">
        <f>#REF!</f>
        <v>#REF!</v>
      </c>
      <c r="AG127" s="124" t="e">
        <f>#REF!</f>
        <v>#REF!</v>
      </c>
      <c r="AH127" s="124" t="e">
        <f>#REF!</f>
        <v>#REF!</v>
      </c>
      <c r="AI127" s="124" t="e">
        <f>#REF!</f>
        <v>#REF!</v>
      </c>
      <c r="AJ127" s="124" t="e">
        <f>#REF!</f>
        <v>#REF!</v>
      </c>
      <c r="AK127" s="124" t="e">
        <f>#REF!</f>
        <v>#REF!</v>
      </c>
      <c r="AL127" s="124" t="e">
        <f>#REF!</f>
        <v>#REF!</v>
      </c>
      <c r="AM127" s="124" t="e">
        <f>#REF!</f>
        <v>#REF!</v>
      </c>
      <c r="AN127" s="124" t="e">
        <f>#REF!</f>
        <v>#REF!</v>
      </c>
      <c r="AO127" s="124" t="e">
        <f>#REF!</f>
        <v>#REF!</v>
      </c>
      <c r="AP127" s="124" t="e">
        <f>#REF!</f>
        <v>#REF!</v>
      </c>
    </row>
    <row r="128" spans="1:42" x14ac:dyDescent="0.25">
      <c r="A128" s="351" t="e">
        <f>#REF!</f>
        <v>#REF!</v>
      </c>
      <c r="B128" s="351" t="e">
        <f>#REF!</f>
        <v>#REF!</v>
      </c>
      <c r="C128" s="351" t="e">
        <f>#REF!</f>
        <v>#REF!</v>
      </c>
      <c r="D128" s="351" t="e">
        <f>#REF!</f>
        <v>#REF!</v>
      </c>
      <c r="E128" s="351" t="e">
        <f>#REF!</f>
        <v>#REF!</v>
      </c>
      <c r="F128" s="351" t="e">
        <f>#REF!</f>
        <v>#REF!</v>
      </c>
      <c r="G128" s="351" t="e">
        <f>#REF!</f>
        <v>#REF!</v>
      </c>
      <c r="H128" s="351" t="e">
        <f>#REF!</f>
        <v>#REF!</v>
      </c>
      <c r="I128" s="124"/>
      <c r="J128" s="124"/>
      <c r="K128" s="124"/>
      <c r="L128" s="124"/>
      <c r="M128" s="124"/>
      <c r="N128" s="351" t="e">
        <f t="shared" si="4"/>
        <v>#REF!</v>
      </c>
      <c r="O128" s="124">
        <f t="shared" si="4"/>
        <v>0</v>
      </c>
      <c r="P128" s="124">
        <f t="shared" si="4"/>
        <v>0</v>
      </c>
      <c r="Q128" s="124"/>
      <c r="R128" s="124"/>
      <c r="S128" s="124">
        <f t="shared" ref="S128:S191" si="5">Q128+R128</f>
        <v>0</v>
      </c>
      <c r="T128" s="353" t="e">
        <f>#REF!</f>
        <v>#REF!</v>
      </c>
      <c r="U128" s="353" t="e">
        <f>#REF!</f>
        <v>#REF!</v>
      </c>
      <c r="V128" s="353" t="e">
        <f>#REF!</f>
        <v>#REF!</v>
      </c>
      <c r="W128" s="124"/>
      <c r="X128" s="124"/>
      <c r="Y128" s="124"/>
      <c r="Z128" s="124"/>
      <c r="AA128" s="351" t="e">
        <f>#REF!</f>
        <v>#REF!</v>
      </c>
      <c r="AB128" s="124"/>
      <c r="AC128" s="124"/>
      <c r="AD128" s="124"/>
      <c r="AE128" s="124" t="e">
        <f>#REF!</f>
        <v>#REF!</v>
      </c>
      <c r="AF128" s="124" t="e">
        <f>#REF!</f>
        <v>#REF!</v>
      </c>
      <c r="AG128" s="124" t="e">
        <f>#REF!</f>
        <v>#REF!</v>
      </c>
      <c r="AH128" s="124" t="e">
        <f>#REF!</f>
        <v>#REF!</v>
      </c>
      <c r="AI128" s="124" t="e">
        <f>#REF!</f>
        <v>#REF!</v>
      </c>
      <c r="AJ128" s="124" t="e">
        <f>#REF!</f>
        <v>#REF!</v>
      </c>
      <c r="AK128" s="124" t="e">
        <f>#REF!</f>
        <v>#REF!</v>
      </c>
      <c r="AL128" s="124" t="e">
        <f>#REF!</f>
        <v>#REF!</v>
      </c>
      <c r="AM128" s="124" t="e">
        <f>#REF!</f>
        <v>#REF!</v>
      </c>
      <c r="AN128" s="124" t="e">
        <f>#REF!</f>
        <v>#REF!</v>
      </c>
      <c r="AO128" s="124" t="e">
        <f>#REF!</f>
        <v>#REF!</v>
      </c>
      <c r="AP128" s="124" t="e">
        <f>#REF!</f>
        <v>#REF!</v>
      </c>
    </row>
    <row r="129" spans="1:42" x14ac:dyDescent="0.25">
      <c r="A129" s="351" t="e">
        <f>#REF!</f>
        <v>#REF!</v>
      </c>
      <c r="B129" s="351" t="e">
        <f>#REF!</f>
        <v>#REF!</v>
      </c>
      <c r="C129" s="351" t="e">
        <f>#REF!</f>
        <v>#REF!</v>
      </c>
      <c r="D129" s="351" t="e">
        <f>#REF!</f>
        <v>#REF!</v>
      </c>
      <c r="E129" s="351" t="e">
        <f>#REF!</f>
        <v>#REF!</v>
      </c>
      <c r="F129" s="351" t="e">
        <f>#REF!</f>
        <v>#REF!</v>
      </c>
      <c r="G129" s="351" t="e">
        <f>#REF!</f>
        <v>#REF!</v>
      </c>
      <c r="H129" s="351" t="e">
        <f>#REF!</f>
        <v>#REF!</v>
      </c>
      <c r="I129" s="124"/>
      <c r="J129" s="124"/>
      <c r="K129" s="124"/>
      <c r="L129" s="124"/>
      <c r="M129" s="124"/>
      <c r="N129" s="351" t="e">
        <f t="shared" si="4"/>
        <v>#REF!</v>
      </c>
      <c r="O129" s="124">
        <f t="shared" si="4"/>
        <v>0</v>
      </c>
      <c r="P129" s="124">
        <f t="shared" si="4"/>
        <v>0</v>
      </c>
      <c r="Q129" s="124"/>
      <c r="R129" s="124"/>
      <c r="S129" s="124">
        <f t="shared" si="5"/>
        <v>0</v>
      </c>
      <c r="T129" s="353" t="e">
        <f>#REF!</f>
        <v>#REF!</v>
      </c>
      <c r="U129" s="353" t="e">
        <f>#REF!</f>
        <v>#REF!</v>
      </c>
      <c r="V129" s="353" t="e">
        <f>#REF!</f>
        <v>#REF!</v>
      </c>
      <c r="W129" s="124"/>
      <c r="X129" s="124"/>
      <c r="Y129" s="124"/>
      <c r="Z129" s="124"/>
      <c r="AA129" s="351" t="e">
        <f>#REF!</f>
        <v>#REF!</v>
      </c>
      <c r="AB129" s="124"/>
      <c r="AC129" s="124"/>
      <c r="AD129" s="124"/>
      <c r="AE129" s="124" t="e">
        <f>#REF!</f>
        <v>#REF!</v>
      </c>
      <c r="AF129" s="124" t="e">
        <f>#REF!</f>
        <v>#REF!</v>
      </c>
      <c r="AG129" s="124" t="e">
        <f>#REF!</f>
        <v>#REF!</v>
      </c>
      <c r="AH129" s="124" t="e">
        <f>#REF!</f>
        <v>#REF!</v>
      </c>
      <c r="AI129" s="124" t="e">
        <f>#REF!</f>
        <v>#REF!</v>
      </c>
      <c r="AJ129" s="124" t="e">
        <f>#REF!</f>
        <v>#REF!</v>
      </c>
      <c r="AK129" s="124" t="e">
        <f>#REF!</f>
        <v>#REF!</v>
      </c>
      <c r="AL129" s="124" t="e">
        <f>#REF!</f>
        <v>#REF!</v>
      </c>
      <c r="AM129" s="124" t="e">
        <f>#REF!</f>
        <v>#REF!</v>
      </c>
      <c r="AN129" s="124" t="e">
        <f>#REF!</f>
        <v>#REF!</v>
      </c>
      <c r="AO129" s="124" t="e">
        <f>#REF!</f>
        <v>#REF!</v>
      </c>
      <c r="AP129" s="124" t="e">
        <f>#REF!</f>
        <v>#REF!</v>
      </c>
    </row>
    <row r="130" spans="1:42" x14ac:dyDescent="0.25">
      <c r="A130" s="351" t="e">
        <f>#REF!</f>
        <v>#REF!</v>
      </c>
      <c r="B130" s="351" t="e">
        <f>#REF!</f>
        <v>#REF!</v>
      </c>
      <c r="C130" s="351" t="e">
        <f>#REF!</f>
        <v>#REF!</v>
      </c>
      <c r="D130" s="351" t="e">
        <f>#REF!</f>
        <v>#REF!</v>
      </c>
      <c r="E130" s="351" t="e">
        <f>#REF!</f>
        <v>#REF!</v>
      </c>
      <c r="F130" s="351" t="e">
        <f>#REF!</f>
        <v>#REF!</v>
      </c>
      <c r="G130" s="351" t="e">
        <f>#REF!</f>
        <v>#REF!</v>
      </c>
      <c r="H130" s="351" t="e">
        <f>#REF!</f>
        <v>#REF!</v>
      </c>
      <c r="I130" s="124"/>
      <c r="J130" s="124"/>
      <c r="K130" s="124"/>
      <c r="L130" s="124"/>
      <c r="M130" s="124"/>
      <c r="N130" s="351" t="e">
        <f t="shared" si="4"/>
        <v>#REF!</v>
      </c>
      <c r="O130" s="124">
        <f t="shared" si="4"/>
        <v>0</v>
      </c>
      <c r="P130" s="124">
        <f t="shared" si="4"/>
        <v>0</v>
      </c>
      <c r="Q130" s="124"/>
      <c r="R130" s="124"/>
      <c r="S130" s="124">
        <f t="shared" si="5"/>
        <v>0</v>
      </c>
      <c r="T130" s="353" t="e">
        <f>#REF!</f>
        <v>#REF!</v>
      </c>
      <c r="U130" s="353" t="e">
        <f>#REF!</f>
        <v>#REF!</v>
      </c>
      <c r="V130" s="353" t="e">
        <f>#REF!</f>
        <v>#REF!</v>
      </c>
      <c r="W130" s="124"/>
      <c r="X130" s="124"/>
      <c r="Y130" s="124"/>
      <c r="Z130" s="124"/>
      <c r="AA130" s="351" t="e">
        <f>#REF!</f>
        <v>#REF!</v>
      </c>
      <c r="AB130" s="124"/>
      <c r="AC130" s="124"/>
      <c r="AD130" s="124"/>
      <c r="AE130" s="124" t="e">
        <f>#REF!</f>
        <v>#REF!</v>
      </c>
      <c r="AF130" s="124" t="e">
        <f>#REF!</f>
        <v>#REF!</v>
      </c>
      <c r="AG130" s="124" t="e">
        <f>#REF!</f>
        <v>#REF!</v>
      </c>
      <c r="AH130" s="124" t="e">
        <f>#REF!</f>
        <v>#REF!</v>
      </c>
      <c r="AI130" s="124" t="e">
        <f>#REF!</f>
        <v>#REF!</v>
      </c>
      <c r="AJ130" s="124" t="e">
        <f>#REF!</f>
        <v>#REF!</v>
      </c>
      <c r="AK130" s="124" t="e">
        <f>#REF!</f>
        <v>#REF!</v>
      </c>
      <c r="AL130" s="124" t="e">
        <f>#REF!</f>
        <v>#REF!</v>
      </c>
      <c r="AM130" s="124" t="e">
        <f>#REF!</f>
        <v>#REF!</v>
      </c>
      <c r="AN130" s="124" t="e">
        <f>#REF!</f>
        <v>#REF!</v>
      </c>
      <c r="AO130" s="124" t="e">
        <f>#REF!</f>
        <v>#REF!</v>
      </c>
      <c r="AP130" s="124" t="e">
        <f>#REF!</f>
        <v>#REF!</v>
      </c>
    </row>
    <row r="131" spans="1:42" x14ac:dyDescent="0.25">
      <c r="A131" s="351" t="e">
        <f>#REF!</f>
        <v>#REF!</v>
      </c>
      <c r="B131" s="351" t="e">
        <f>#REF!</f>
        <v>#REF!</v>
      </c>
      <c r="C131" s="351" t="e">
        <f>#REF!</f>
        <v>#REF!</v>
      </c>
      <c r="D131" s="351" t="e">
        <f>#REF!</f>
        <v>#REF!</v>
      </c>
      <c r="E131" s="351" t="e">
        <f>#REF!</f>
        <v>#REF!</v>
      </c>
      <c r="F131" s="351" t="e">
        <f>#REF!</f>
        <v>#REF!</v>
      </c>
      <c r="G131" s="351" t="e">
        <f>#REF!</f>
        <v>#REF!</v>
      </c>
      <c r="H131" s="351" t="e">
        <f>#REF!</f>
        <v>#REF!</v>
      </c>
      <c r="I131" s="124"/>
      <c r="J131" s="124"/>
      <c r="K131" s="124"/>
      <c r="L131" s="124"/>
      <c r="M131" s="124"/>
      <c r="N131" s="351" t="e">
        <f t="shared" si="4"/>
        <v>#REF!</v>
      </c>
      <c r="O131" s="124">
        <f t="shared" si="4"/>
        <v>0</v>
      </c>
      <c r="P131" s="124">
        <f t="shared" si="4"/>
        <v>0</v>
      </c>
      <c r="Q131" s="124"/>
      <c r="R131" s="124"/>
      <c r="S131" s="124">
        <f t="shared" si="5"/>
        <v>0</v>
      </c>
      <c r="T131" s="353" t="e">
        <f>#REF!</f>
        <v>#REF!</v>
      </c>
      <c r="U131" s="353" t="e">
        <f>#REF!</f>
        <v>#REF!</v>
      </c>
      <c r="V131" s="353" t="e">
        <f>#REF!</f>
        <v>#REF!</v>
      </c>
      <c r="W131" s="124"/>
      <c r="X131" s="124"/>
      <c r="Y131" s="124"/>
      <c r="Z131" s="124"/>
      <c r="AA131" s="351" t="e">
        <f>#REF!</f>
        <v>#REF!</v>
      </c>
      <c r="AB131" s="124"/>
      <c r="AC131" s="124"/>
      <c r="AD131" s="124"/>
      <c r="AE131" s="124" t="e">
        <f>#REF!</f>
        <v>#REF!</v>
      </c>
      <c r="AF131" s="124" t="e">
        <f>#REF!</f>
        <v>#REF!</v>
      </c>
      <c r="AG131" s="124" t="e">
        <f>#REF!</f>
        <v>#REF!</v>
      </c>
      <c r="AH131" s="124" t="e">
        <f>#REF!</f>
        <v>#REF!</v>
      </c>
      <c r="AI131" s="124" t="e">
        <f>#REF!</f>
        <v>#REF!</v>
      </c>
      <c r="AJ131" s="124" t="e">
        <f>#REF!</f>
        <v>#REF!</v>
      </c>
      <c r="AK131" s="124" t="e">
        <f>#REF!</f>
        <v>#REF!</v>
      </c>
      <c r="AL131" s="124" t="e">
        <f>#REF!</f>
        <v>#REF!</v>
      </c>
      <c r="AM131" s="124" t="e">
        <f>#REF!</f>
        <v>#REF!</v>
      </c>
      <c r="AN131" s="124" t="e">
        <f>#REF!</f>
        <v>#REF!</v>
      </c>
      <c r="AO131" s="124" t="e">
        <f>#REF!</f>
        <v>#REF!</v>
      </c>
      <c r="AP131" s="124" t="e">
        <f>#REF!</f>
        <v>#REF!</v>
      </c>
    </row>
    <row r="132" spans="1:42" x14ac:dyDescent="0.25">
      <c r="A132" s="351" t="e">
        <f>#REF!</f>
        <v>#REF!</v>
      </c>
      <c r="B132" s="351" t="e">
        <f>#REF!</f>
        <v>#REF!</v>
      </c>
      <c r="C132" s="351" t="e">
        <f>#REF!</f>
        <v>#REF!</v>
      </c>
      <c r="D132" s="351" t="e">
        <f>#REF!</f>
        <v>#REF!</v>
      </c>
      <c r="E132" s="351" t="e">
        <f>#REF!</f>
        <v>#REF!</v>
      </c>
      <c r="F132" s="351" t="e">
        <f>#REF!</f>
        <v>#REF!</v>
      </c>
      <c r="G132" s="351" t="e">
        <f>#REF!</f>
        <v>#REF!</v>
      </c>
      <c r="H132" s="351" t="e">
        <f>#REF!</f>
        <v>#REF!</v>
      </c>
      <c r="I132" s="124"/>
      <c r="J132" s="124"/>
      <c r="K132" s="124"/>
      <c r="L132" s="124"/>
      <c r="M132" s="124"/>
      <c r="N132" s="351" t="e">
        <f t="shared" si="4"/>
        <v>#REF!</v>
      </c>
      <c r="O132" s="124">
        <f t="shared" si="4"/>
        <v>0</v>
      </c>
      <c r="P132" s="124">
        <f t="shared" si="4"/>
        <v>0</v>
      </c>
      <c r="Q132" s="124"/>
      <c r="R132" s="124"/>
      <c r="S132" s="124">
        <f t="shared" si="5"/>
        <v>0</v>
      </c>
      <c r="T132" s="353" t="e">
        <f>#REF!</f>
        <v>#REF!</v>
      </c>
      <c r="U132" s="353" t="e">
        <f>#REF!</f>
        <v>#REF!</v>
      </c>
      <c r="V132" s="353" t="e">
        <f>#REF!</f>
        <v>#REF!</v>
      </c>
      <c r="W132" s="124"/>
      <c r="X132" s="124"/>
      <c r="Y132" s="124"/>
      <c r="Z132" s="124"/>
      <c r="AA132" s="351" t="e">
        <f>#REF!</f>
        <v>#REF!</v>
      </c>
      <c r="AB132" s="124"/>
      <c r="AC132" s="124"/>
      <c r="AD132" s="124"/>
      <c r="AE132" s="124" t="e">
        <f>#REF!</f>
        <v>#REF!</v>
      </c>
      <c r="AF132" s="124" t="e">
        <f>#REF!</f>
        <v>#REF!</v>
      </c>
      <c r="AG132" s="124" t="e">
        <f>#REF!</f>
        <v>#REF!</v>
      </c>
      <c r="AH132" s="124" t="e">
        <f>#REF!</f>
        <v>#REF!</v>
      </c>
      <c r="AI132" s="124" t="e">
        <f>#REF!</f>
        <v>#REF!</v>
      </c>
      <c r="AJ132" s="124" t="e">
        <f>#REF!</f>
        <v>#REF!</v>
      </c>
      <c r="AK132" s="124" t="e">
        <f>#REF!</f>
        <v>#REF!</v>
      </c>
      <c r="AL132" s="124" t="e">
        <f>#REF!</f>
        <v>#REF!</v>
      </c>
      <c r="AM132" s="124" t="e">
        <f>#REF!</f>
        <v>#REF!</v>
      </c>
      <c r="AN132" s="124" t="e">
        <f>#REF!</f>
        <v>#REF!</v>
      </c>
      <c r="AO132" s="124" t="e">
        <f>#REF!</f>
        <v>#REF!</v>
      </c>
      <c r="AP132" s="124" t="e">
        <f>#REF!</f>
        <v>#REF!</v>
      </c>
    </row>
    <row r="133" spans="1:42" x14ac:dyDescent="0.25">
      <c r="A133" s="351" t="e">
        <f>#REF!</f>
        <v>#REF!</v>
      </c>
      <c r="B133" s="351" t="e">
        <f>#REF!</f>
        <v>#REF!</v>
      </c>
      <c r="C133" s="351" t="e">
        <f>#REF!</f>
        <v>#REF!</v>
      </c>
      <c r="D133" s="351" t="e">
        <f>#REF!</f>
        <v>#REF!</v>
      </c>
      <c r="E133" s="351" t="e">
        <f>#REF!</f>
        <v>#REF!</v>
      </c>
      <c r="F133" s="351" t="e">
        <f>#REF!</f>
        <v>#REF!</v>
      </c>
      <c r="G133" s="351" t="e">
        <f>#REF!</f>
        <v>#REF!</v>
      </c>
      <c r="H133" s="351" t="e">
        <f>#REF!</f>
        <v>#REF!</v>
      </c>
      <c r="I133" s="124"/>
      <c r="J133" s="124"/>
      <c r="K133" s="124"/>
      <c r="L133" s="124"/>
      <c r="M133" s="124"/>
      <c r="N133" s="351" t="e">
        <f t="shared" si="4"/>
        <v>#REF!</v>
      </c>
      <c r="O133" s="124">
        <f t="shared" si="4"/>
        <v>0</v>
      </c>
      <c r="P133" s="124">
        <f t="shared" si="4"/>
        <v>0</v>
      </c>
      <c r="Q133" s="124"/>
      <c r="R133" s="124"/>
      <c r="S133" s="124">
        <f t="shared" si="5"/>
        <v>0</v>
      </c>
      <c r="T133" s="353" t="e">
        <f>#REF!</f>
        <v>#REF!</v>
      </c>
      <c r="U133" s="353" t="e">
        <f>#REF!</f>
        <v>#REF!</v>
      </c>
      <c r="V133" s="353" t="e">
        <f>#REF!</f>
        <v>#REF!</v>
      </c>
      <c r="W133" s="124"/>
      <c r="X133" s="124"/>
      <c r="Y133" s="124"/>
      <c r="Z133" s="124"/>
      <c r="AA133" s="351" t="e">
        <f>#REF!</f>
        <v>#REF!</v>
      </c>
      <c r="AB133" s="124"/>
      <c r="AC133" s="124"/>
      <c r="AD133" s="124"/>
      <c r="AE133" s="124" t="e">
        <f>#REF!</f>
        <v>#REF!</v>
      </c>
      <c r="AF133" s="124" t="e">
        <f>#REF!</f>
        <v>#REF!</v>
      </c>
      <c r="AG133" s="124" t="e">
        <f>#REF!</f>
        <v>#REF!</v>
      </c>
      <c r="AH133" s="124" t="e">
        <f>#REF!</f>
        <v>#REF!</v>
      </c>
      <c r="AI133" s="124" t="e">
        <f>#REF!</f>
        <v>#REF!</v>
      </c>
      <c r="AJ133" s="124" t="e">
        <f>#REF!</f>
        <v>#REF!</v>
      </c>
      <c r="AK133" s="124" t="e">
        <f>#REF!</f>
        <v>#REF!</v>
      </c>
      <c r="AL133" s="124" t="e">
        <f>#REF!</f>
        <v>#REF!</v>
      </c>
      <c r="AM133" s="124" t="e">
        <f>#REF!</f>
        <v>#REF!</v>
      </c>
      <c r="AN133" s="124" t="e">
        <f>#REF!</f>
        <v>#REF!</v>
      </c>
      <c r="AO133" s="124" t="e">
        <f>#REF!</f>
        <v>#REF!</v>
      </c>
      <c r="AP133" s="124" t="e">
        <f>#REF!</f>
        <v>#REF!</v>
      </c>
    </row>
    <row r="134" spans="1:42" x14ac:dyDescent="0.25">
      <c r="A134" s="351" t="e">
        <f>#REF!</f>
        <v>#REF!</v>
      </c>
      <c r="B134" s="351" t="e">
        <f>#REF!</f>
        <v>#REF!</v>
      </c>
      <c r="C134" s="351" t="e">
        <f>#REF!</f>
        <v>#REF!</v>
      </c>
      <c r="D134" s="351" t="e">
        <f>#REF!</f>
        <v>#REF!</v>
      </c>
      <c r="E134" s="351" t="e">
        <f>#REF!</f>
        <v>#REF!</v>
      </c>
      <c r="F134" s="351" t="e">
        <f>#REF!</f>
        <v>#REF!</v>
      </c>
      <c r="G134" s="351" t="e">
        <f>#REF!</f>
        <v>#REF!</v>
      </c>
      <c r="H134" s="351" t="e">
        <f>#REF!</f>
        <v>#REF!</v>
      </c>
      <c r="I134" s="124"/>
      <c r="J134" s="124"/>
      <c r="K134" s="124"/>
      <c r="L134" s="124"/>
      <c r="M134" s="124"/>
      <c r="N134" s="351" t="e">
        <f t="shared" si="4"/>
        <v>#REF!</v>
      </c>
      <c r="O134" s="124">
        <f t="shared" si="4"/>
        <v>0</v>
      </c>
      <c r="P134" s="124">
        <f t="shared" si="4"/>
        <v>0</v>
      </c>
      <c r="Q134" s="124"/>
      <c r="R134" s="124"/>
      <c r="S134" s="124">
        <f t="shared" si="5"/>
        <v>0</v>
      </c>
      <c r="T134" s="353" t="e">
        <f>#REF!</f>
        <v>#REF!</v>
      </c>
      <c r="U134" s="353" t="e">
        <f>#REF!</f>
        <v>#REF!</v>
      </c>
      <c r="V134" s="353" t="e">
        <f>#REF!</f>
        <v>#REF!</v>
      </c>
      <c r="W134" s="124"/>
      <c r="X134" s="124"/>
      <c r="Y134" s="124"/>
      <c r="Z134" s="124"/>
      <c r="AA134" s="351" t="e">
        <f>#REF!</f>
        <v>#REF!</v>
      </c>
      <c r="AB134" s="124"/>
      <c r="AC134" s="124"/>
      <c r="AD134" s="124"/>
      <c r="AE134" s="124" t="e">
        <f>#REF!</f>
        <v>#REF!</v>
      </c>
      <c r="AF134" s="124" t="e">
        <f>#REF!</f>
        <v>#REF!</v>
      </c>
      <c r="AG134" s="124" t="e">
        <f>#REF!</f>
        <v>#REF!</v>
      </c>
      <c r="AH134" s="124" t="e">
        <f>#REF!</f>
        <v>#REF!</v>
      </c>
      <c r="AI134" s="124" t="e">
        <f>#REF!</f>
        <v>#REF!</v>
      </c>
      <c r="AJ134" s="124" t="e">
        <f>#REF!</f>
        <v>#REF!</v>
      </c>
      <c r="AK134" s="124" t="e">
        <f>#REF!</f>
        <v>#REF!</v>
      </c>
      <c r="AL134" s="124" t="e">
        <f>#REF!</f>
        <v>#REF!</v>
      </c>
      <c r="AM134" s="124" t="e">
        <f>#REF!</f>
        <v>#REF!</v>
      </c>
      <c r="AN134" s="124" t="e">
        <f>#REF!</f>
        <v>#REF!</v>
      </c>
      <c r="AO134" s="124" t="e">
        <f>#REF!</f>
        <v>#REF!</v>
      </c>
      <c r="AP134" s="124" t="e">
        <f>#REF!</f>
        <v>#REF!</v>
      </c>
    </row>
    <row r="135" spans="1:42" x14ac:dyDescent="0.25">
      <c r="A135" s="351" t="e">
        <f>#REF!</f>
        <v>#REF!</v>
      </c>
      <c r="B135" s="351" t="e">
        <f>#REF!</f>
        <v>#REF!</v>
      </c>
      <c r="C135" s="351" t="e">
        <f>#REF!</f>
        <v>#REF!</v>
      </c>
      <c r="D135" s="351" t="e">
        <f>#REF!</f>
        <v>#REF!</v>
      </c>
      <c r="E135" s="351" t="e">
        <f>#REF!</f>
        <v>#REF!</v>
      </c>
      <c r="F135" s="351" t="e">
        <f>#REF!</f>
        <v>#REF!</v>
      </c>
      <c r="G135" s="351" t="e">
        <f>#REF!</f>
        <v>#REF!</v>
      </c>
      <c r="H135" s="351" t="e">
        <f>#REF!</f>
        <v>#REF!</v>
      </c>
      <c r="I135" s="124"/>
      <c r="J135" s="124"/>
      <c r="K135" s="124"/>
      <c r="L135" s="124"/>
      <c r="M135" s="124"/>
      <c r="N135" s="351" t="e">
        <f t="shared" si="4"/>
        <v>#REF!</v>
      </c>
      <c r="O135" s="124">
        <f t="shared" si="4"/>
        <v>0</v>
      </c>
      <c r="P135" s="124">
        <f t="shared" si="4"/>
        <v>0</v>
      </c>
      <c r="Q135" s="124"/>
      <c r="R135" s="124"/>
      <c r="S135" s="124">
        <f t="shared" si="5"/>
        <v>0</v>
      </c>
      <c r="T135" s="353" t="e">
        <f>#REF!</f>
        <v>#REF!</v>
      </c>
      <c r="U135" s="353" t="e">
        <f>#REF!</f>
        <v>#REF!</v>
      </c>
      <c r="V135" s="353" t="e">
        <f>#REF!</f>
        <v>#REF!</v>
      </c>
      <c r="W135" s="124"/>
      <c r="X135" s="124"/>
      <c r="Y135" s="124"/>
      <c r="Z135" s="124"/>
      <c r="AA135" s="351" t="e">
        <f>#REF!</f>
        <v>#REF!</v>
      </c>
      <c r="AB135" s="124"/>
      <c r="AC135" s="124"/>
      <c r="AD135" s="124"/>
      <c r="AE135" s="124" t="e">
        <f>#REF!</f>
        <v>#REF!</v>
      </c>
      <c r="AF135" s="124" t="e">
        <f>#REF!</f>
        <v>#REF!</v>
      </c>
      <c r="AG135" s="124" t="e">
        <f>#REF!</f>
        <v>#REF!</v>
      </c>
      <c r="AH135" s="124" t="e">
        <f>#REF!</f>
        <v>#REF!</v>
      </c>
      <c r="AI135" s="124" t="e">
        <f>#REF!</f>
        <v>#REF!</v>
      </c>
      <c r="AJ135" s="124" t="e">
        <f>#REF!</f>
        <v>#REF!</v>
      </c>
      <c r="AK135" s="124" t="e">
        <f>#REF!</f>
        <v>#REF!</v>
      </c>
      <c r="AL135" s="124" t="e">
        <f>#REF!</f>
        <v>#REF!</v>
      </c>
      <c r="AM135" s="124" t="e">
        <f>#REF!</f>
        <v>#REF!</v>
      </c>
      <c r="AN135" s="124" t="e">
        <f>#REF!</f>
        <v>#REF!</v>
      </c>
      <c r="AO135" s="124" t="e">
        <f>#REF!</f>
        <v>#REF!</v>
      </c>
      <c r="AP135" s="124" t="e">
        <f>#REF!</f>
        <v>#REF!</v>
      </c>
    </row>
    <row r="136" spans="1:42" x14ac:dyDescent="0.25">
      <c r="A136" s="351" t="e">
        <f>#REF!</f>
        <v>#REF!</v>
      </c>
      <c r="B136" s="351" t="e">
        <f>#REF!</f>
        <v>#REF!</v>
      </c>
      <c r="C136" s="351" t="e">
        <f>#REF!</f>
        <v>#REF!</v>
      </c>
      <c r="D136" s="351" t="e">
        <f>#REF!</f>
        <v>#REF!</v>
      </c>
      <c r="E136" s="351" t="e">
        <f>#REF!</f>
        <v>#REF!</v>
      </c>
      <c r="F136" s="351" t="e">
        <f>#REF!</f>
        <v>#REF!</v>
      </c>
      <c r="G136" s="351" t="e">
        <f>#REF!</f>
        <v>#REF!</v>
      </c>
      <c r="H136" s="351" t="e">
        <f>#REF!</f>
        <v>#REF!</v>
      </c>
      <c r="I136" s="124"/>
      <c r="J136" s="124"/>
      <c r="K136" s="124"/>
      <c r="L136" s="124"/>
      <c r="M136" s="124"/>
      <c r="N136" s="351" t="e">
        <f t="shared" si="4"/>
        <v>#REF!</v>
      </c>
      <c r="O136" s="124">
        <f t="shared" si="4"/>
        <v>0</v>
      </c>
      <c r="P136" s="124">
        <f t="shared" si="4"/>
        <v>0</v>
      </c>
      <c r="Q136" s="124"/>
      <c r="R136" s="124"/>
      <c r="S136" s="124">
        <f t="shared" si="5"/>
        <v>0</v>
      </c>
      <c r="T136" s="353" t="e">
        <f>#REF!</f>
        <v>#REF!</v>
      </c>
      <c r="U136" s="353" t="e">
        <f>#REF!</f>
        <v>#REF!</v>
      </c>
      <c r="V136" s="353" t="e">
        <f>#REF!</f>
        <v>#REF!</v>
      </c>
      <c r="W136" s="124"/>
      <c r="X136" s="124"/>
      <c r="Y136" s="124"/>
      <c r="Z136" s="124"/>
      <c r="AA136" s="351" t="e">
        <f>#REF!</f>
        <v>#REF!</v>
      </c>
      <c r="AB136" s="124"/>
      <c r="AC136" s="124"/>
      <c r="AD136" s="124"/>
      <c r="AE136" s="124" t="e">
        <f>#REF!</f>
        <v>#REF!</v>
      </c>
      <c r="AF136" s="124" t="e">
        <f>#REF!</f>
        <v>#REF!</v>
      </c>
      <c r="AG136" s="124" t="e">
        <f>#REF!</f>
        <v>#REF!</v>
      </c>
      <c r="AH136" s="124" t="e">
        <f>#REF!</f>
        <v>#REF!</v>
      </c>
      <c r="AI136" s="124" t="e">
        <f>#REF!</f>
        <v>#REF!</v>
      </c>
      <c r="AJ136" s="124" t="e">
        <f>#REF!</f>
        <v>#REF!</v>
      </c>
      <c r="AK136" s="124" t="e">
        <f>#REF!</f>
        <v>#REF!</v>
      </c>
      <c r="AL136" s="124" t="e">
        <f>#REF!</f>
        <v>#REF!</v>
      </c>
      <c r="AM136" s="124" t="e">
        <f>#REF!</f>
        <v>#REF!</v>
      </c>
      <c r="AN136" s="124" t="e">
        <f>#REF!</f>
        <v>#REF!</v>
      </c>
      <c r="AO136" s="124" t="e">
        <f>#REF!</f>
        <v>#REF!</v>
      </c>
      <c r="AP136" s="124" t="e">
        <f>#REF!</f>
        <v>#REF!</v>
      </c>
    </row>
    <row r="137" spans="1:42" x14ac:dyDescent="0.25">
      <c r="A137" s="351" t="e">
        <f>#REF!</f>
        <v>#REF!</v>
      </c>
      <c r="B137" s="351" t="e">
        <f>#REF!</f>
        <v>#REF!</v>
      </c>
      <c r="C137" s="351" t="e">
        <f>#REF!</f>
        <v>#REF!</v>
      </c>
      <c r="D137" s="351" t="e">
        <f>#REF!</f>
        <v>#REF!</v>
      </c>
      <c r="E137" s="351" t="e">
        <f>#REF!</f>
        <v>#REF!</v>
      </c>
      <c r="F137" s="351" t="e">
        <f>#REF!</f>
        <v>#REF!</v>
      </c>
      <c r="G137" s="351" t="e">
        <f>#REF!</f>
        <v>#REF!</v>
      </c>
      <c r="H137" s="351" t="e">
        <f>#REF!</f>
        <v>#REF!</v>
      </c>
      <c r="I137" s="124"/>
      <c r="J137" s="124"/>
      <c r="K137" s="124"/>
      <c r="L137" s="124"/>
      <c r="M137" s="124"/>
      <c r="N137" s="351" t="e">
        <f t="shared" si="4"/>
        <v>#REF!</v>
      </c>
      <c r="O137" s="124">
        <f t="shared" si="4"/>
        <v>0</v>
      </c>
      <c r="P137" s="124">
        <f t="shared" si="4"/>
        <v>0</v>
      </c>
      <c r="Q137" s="124"/>
      <c r="R137" s="124"/>
      <c r="S137" s="124">
        <f t="shared" si="5"/>
        <v>0</v>
      </c>
      <c r="T137" s="353" t="e">
        <f>#REF!</f>
        <v>#REF!</v>
      </c>
      <c r="U137" s="353" t="e">
        <f>#REF!</f>
        <v>#REF!</v>
      </c>
      <c r="V137" s="353" t="e">
        <f>#REF!</f>
        <v>#REF!</v>
      </c>
      <c r="W137" s="124"/>
      <c r="X137" s="124"/>
      <c r="Y137" s="124"/>
      <c r="Z137" s="124"/>
      <c r="AA137" s="351" t="e">
        <f>#REF!</f>
        <v>#REF!</v>
      </c>
      <c r="AB137" s="124"/>
      <c r="AC137" s="124"/>
      <c r="AD137" s="124"/>
      <c r="AE137" s="124" t="e">
        <f>#REF!</f>
        <v>#REF!</v>
      </c>
      <c r="AF137" s="124" t="e">
        <f>#REF!</f>
        <v>#REF!</v>
      </c>
      <c r="AG137" s="124" t="e">
        <f>#REF!</f>
        <v>#REF!</v>
      </c>
      <c r="AH137" s="124" t="e">
        <f>#REF!</f>
        <v>#REF!</v>
      </c>
      <c r="AI137" s="124" t="e">
        <f>#REF!</f>
        <v>#REF!</v>
      </c>
      <c r="AJ137" s="124" t="e">
        <f>#REF!</f>
        <v>#REF!</v>
      </c>
      <c r="AK137" s="124" t="e">
        <f>#REF!</f>
        <v>#REF!</v>
      </c>
      <c r="AL137" s="124" t="e">
        <f>#REF!</f>
        <v>#REF!</v>
      </c>
      <c r="AM137" s="124" t="e">
        <f>#REF!</f>
        <v>#REF!</v>
      </c>
      <c r="AN137" s="124" t="e">
        <f>#REF!</f>
        <v>#REF!</v>
      </c>
      <c r="AO137" s="124" t="e">
        <f>#REF!</f>
        <v>#REF!</v>
      </c>
      <c r="AP137" s="124" t="e">
        <f>#REF!</f>
        <v>#REF!</v>
      </c>
    </row>
    <row r="138" spans="1:42" x14ac:dyDescent="0.25">
      <c r="A138" s="351" t="e">
        <f>#REF!</f>
        <v>#REF!</v>
      </c>
      <c r="B138" s="351" t="e">
        <f>#REF!</f>
        <v>#REF!</v>
      </c>
      <c r="C138" s="351" t="e">
        <f>#REF!</f>
        <v>#REF!</v>
      </c>
      <c r="D138" s="351" t="e">
        <f>#REF!</f>
        <v>#REF!</v>
      </c>
      <c r="E138" s="351" t="e">
        <f>#REF!</f>
        <v>#REF!</v>
      </c>
      <c r="F138" s="351" t="e">
        <f>#REF!</f>
        <v>#REF!</v>
      </c>
      <c r="G138" s="351" t="e">
        <f>#REF!</f>
        <v>#REF!</v>
      </c>
      <c r="H138" s="351" t="e">
        <f>#REF!</f>
        <v>#REF!</v>
      </c>
      <c r="I138" s="124"/>
      <c r="J138" s="124"/>
      <c r="K138" s="124"/>
      <c r="L138" s="124"/>
      <c r="M138" s="124"/>
      <c r="N138" s="351" t="e">
        <f t="shared" si="4"/>
        <v>#REF!</v>
      </c>
      <c r="O138" s="124">
        <f t="shared" si="4"/>
        <v>0</v>
      </c>
      <c r="P138" s="124">
        <f t="shared" si="4"/>
        <v>0</v>
      </c>
      <c r="Q138" s="124"/>
      <c r="R138" s="124"/>
      <c r="S138" s="124">
        <f t="shared" si="5"/>
        <v>0</v>
      </c>
      <c r="T138" s="353" t="e">
        <f>#REF!</f>
        <v>#REF!</v>
      </c>
      <c r="U138" s="353" t="e">
        <f>#REF!</f>
        <v>#REF!</v>
      </c>
      <c r="V138" s="353" t="e">
        <f>#REF!</f>
        <v>#REF!</v>
      </c>
      <c r="W138" s="124"/>
      <c r="X138" s="124"/>
      <c r="Y138" s="124"/>
      <c r="Z138" s="124"/>
      <c r="AA138" s="351" t="e">
        <f>#REF!</f>
        <v>#REF!</v>
      </c>
      <c r="AB138" s="124"/>
      <c r="AC138" s="124"/>
      <c r="AD138" s="124"/>
      <c r="AE138" s="124" t="e">
        <f>#REF!</f>
        <v>#REF!</v>
      </c>
      <c r="AF138" s="124" t="e">
        <f>#REF!</f>
        <v>#REF!</v>
      </c>
      <c r="AG138" s="124" t="e">
        <f>#REF!</f>
        <v>#REF!</v>
      </c>
      <c r="AH138" s="124" t="e">
        <f>#REF!</f>
        <v>#REF!</v>
      </c>
      <c r="AI138" s="124" t="e">
        <f>#REF!</f>
        <v>#REF!</v>
      </c>
      <c r="AJ138" s="124" t="e">
        <f>#REF!</f>
        <v>#REF!</v>
      </c>
      <c r="AK138" s="124" t="e">
        <f>#REF!</f>
        <v>#REF!</v>
      </c>
      <c r="AL138" s="124" t="e">
        <f>#REF!</f>
        <v>#REF!</v>
      </c>
      <c r="AM138" s="124" t="e">
        <f>#REF!</f>
        <v>#REF!</v>
      </c>
      <c r="AN138" s="124" t="e">
        <f>#REF!</f>
        <v>#REF!</v>
      </c>
      <c r="AO138" s="124" t="e">
        <f>#REF!</f>
        <v>#REF!</v>
      </c>
      <c r="AP138" s="124" t="e">
        <f>#REF!</f>
        <v>#REF!</v>
      </c>
    </row>
    <row r="139" spans="1:42" x14ac:dyDescent="0.25">
      <c r="A139" s="351" t="e">
        <f>#REF!</f>
        <v>#REF!</v>
      </c>
      <c r="B139" s="351" t="e">
        <f>#REF!</f>
        <v>#REF!</v>
      </c>
      <c r="C139" s="351" t="e">
        <f>#REF!</f>
        <v>#REF!</v>
      </c>
      <c r="D139" s="351" t="e">
        <f>#REF!</f>
        <v>#REF!</v>
      </c>
      <c r="E139" s="351" t="e">
        <f>#REF!</f>
        <v>#REF!</v>
      </c>
      <c r="F139" s="351" t="e">
        <f>#REF!</f>
        <v>#REF!</v>
      </c>
      <c r="G139" s="351" t="e">
        <f>#REF!</f>
        <v>#REF!</v>
      </c>
      <c r="H139" s="351" t="e">
        <f>#REF!</f>
        <v>#REF!</v>
      </c>
      <c r="I139" s="124"/>
      <c r="J139" s="124"/>
      <c r="K139" s="124"/>
      <c r="L139" s="124"/>
      <c r="M139" s="124"/>
      <c r="N139" s="351" t="e">
        <f t="shared" si="4"/>
        <v>#REF!</v>
      </c>
      <c r="O139" s="124">
        <f t="shared" si="4"/>
        <v>0</v>
      </c>
      <c r="P139" s="124">
        <f t="shared" si="4"/>
        <v>0</v>
      </c>
      <c r="Q139" s="124"/>
      <c r="R139" s="124"/>
      <c r="S139" s="124">
        <f t="shared" si="5"/>
        <v>0</v>
      </c>
      <c r="T139" s="353" t="e">
        <f>#REF!</f>
        <v>#REF!</v>
      </c>
      <c r="U139" s="353" t="e">
        <f>#REF!</f>
        <v>#REF!</v>
      </c>
      <c r="V139" s="353" t="e">
        <f>#REF!</f>
        <v>#REF!</v>
      </c>
      <c r="W139" s="124"/>
      <c r="X139" s="124"/>
      <c r="Y139" s="124"/>
      <c r="Z139" s="124"/>
      <c r="AA139" s="351" t="e">
        <f>#REF!</f>
        <v>#REF!</v>
      </c>
      <c r="AB139" s="124"/>
      <c r="AC139" s="124"/>
      <c r="AD139" s="124"/>
      <c r="AE139" s="124" t="e">
        <f>#REF!</f>
        <v>#REF!</v>
      </c>
      <c r="AF139" s="124" t="e">
        <f>#REF!</f>
        <v>#REF!</v>
      </c>
      <c r="AG139" s="124" t="e">
        <f>#REF!</f>
        <v>#REF!</v>
      </c>
      <c r="AH139" s="124" t="e">
        <f>#REF!</f>
        <v>#REF!</v>
      </c>
      <c r="AI139" s="124" t="e">
        <f>#REF!</f>
        <v>#REF!</v>
      </c>
      <c r="AJ139" s="124" t="e">
        <f>#REF!</f>
        <v>#REF!</v>
      </c>
      <c r="AK139" s="124" t="e">
        <f>#REF!</f>
        <v>#REF!</v>
      </c>
      <c r="AL139" s="124" t="e">
        <f>#REF!</f>
        <v>#REF!</v>
      </c>
      <c r="AM139" s="124" t="e">
        <f>#REF!</f>
        <v>#REF!</v>
      </c>
      <c r="AN139" s="124" t="e">
        <f>#REF!</f>
        <v>#REF!</v>
      </c>
      <c r="AO139" s="124" t="e">
        <f>#REF!</f>
        <v>#REF!</v>
      </c>
      <c r="AP139" s="124" t="e">
        <f>#REF!</f>
        <v>#REF!</v>
      </c>
    </row>
    <row r="140" spans="1:42" x14ac:dyDescent="0.25">
      <c r="A140" s="351" t="e">
        <f>#REF!</f>
        <v>#REF!</v>
      </c>
      <c r="B140" s="351" t="e">
        <f>#REF!</f>
        <v>#REF!</v>
      </c>
      <c r="C140" s="351" t="e">
        <f>#REF!</f>
        <v>#REF!</v>
      </c>
      <c r="D140" s="351" t="e">
        <f>#REF!</f>
        <v>#REF!</v>
      </c>
      <c r="E140" s="351" t="e">
        <f>#REF!</f>
        <v>#REF!</v>
      </c>
      <c r="F140" s="351" t="e">
        <f>#REF!</f>
        <v>#REF!</v>
      </c>
      <c r="G140" s="351" t="e">
        <f>#REF!</f>
        <v>#REF!</v>
      </c>
      <c r="H140" s="351" t="e">
        <f>#REF!</f>
        <v>#REF!</v>
      </c>
      <c r="I140" s="124"/>
      <c r="J140" s="124"/>
      <c r="K140" s="124"/>
      <c r="L140" s="124"/>
      <c r="M140" s="124"/>
      <c r="N140" s="351" t="e">
        <f t="shared" si="4"/>
        <v>#REF!</v>
      </c>
      <c r="O140" s="124">
        <f t="shared" si="4"/>
        <v>0</v>
      </c>
      <c r="P140" s="124">
        <f t="shared" si="4"/>
        <v>0</v>
      </c>
      <c r="Q140" s="124"/>
      <c r="R140" s="124"/>
      <c r="S140" s="124">
        <f t="shared" si="5"/>
        <v>0</v>
      </c>
      <c r="T140" s="353" t="e">
        <f>#REF!</f>
        <v>#REF!</v>
      </c>
      <c r="U140" s="353" t="e">
        <f>#REF!</f>
        <v>#REF!</v>
      </c>
      <c r="V140" s="353" t="e">
        <f>#REF!</f>
        <v>#REF!</v>
      </c>
      <c r="W140" s="124"/>
      <c r="X140" s="124"/>
      <c r="Y140" s="124"/>
      <c r="Z140" s="124"/>
      <c r="AA140" s="351" t="e">
        <f>#REF!</f>
        <v>#REF!</v>
      </c>
      <c r="AB140" s="124"/>
      <c r="AC140" s="124"/>
      <c r="AD140" s="124"/>
      <c r="AE140" s="124" t="e">
        <f>#REF!</f>
        <v>#REF!</v>
      </c>
      <c r="AF140" s="124" t="e">
        <f>#REF!</f>
        <v>#REF!</v>
      </c>
      <c r="AG140" s="124" t="e">
        <f>#REF!</f>
        <v>#REF!</v>
      </c>
      <c r="AH140" s="124" t="e">
        <f>#REF!</f>
        <v>#REF!</v>
      </c>
      <c r="AI140" s="124" t="e">
        <f>#REF!</f>
        <v>#REF!</v>
      </c>
      <c r="AJ140" s="124" t="e">
        <f>#REF!</f>
        <v>#REF!</v>
      </c>
      <c r="AK140" s="124" t="e">
        <f>#REF!</f>
        <v>#REF!</v>
      </c>
      <c r="AL140" s="124" t="e">
        <f>#REF!</f>
        <v>#REF!</v>
      </c>
      <c r="AM140" s="124" t="e">
        <f>#REF!</f>
        <v>#REF!</v>
      </c>
      <c r="AN140" s="124" t="e">
        <f>#REF!</f>
        <v>#REF!</v>
      </c>
      <c r="AO140" s="124" t="e">
        <f>#REF!</f>
        <v>#REF!</v>
      </c>
      <c r="AP140" s="124" t="e">
        <f>#REF!</f>
        <v>#REF!</v>
      </c>
    </row>
    <row r="141" spans="1:42" x14ac:dyDescent="0.25">
      <c r="A141" s="351" t="e">
        <f>#REF!</f>
        <v>#REF!</v>
      </c>
      <c r="B141" s="351" t="e">
        <f>#REF!</f>
        <v>#REF!</v>
      </c>
      <c r="C141" s="351" t="e">
        <f>#REF!</f>
        <v>#REF!</v>
      </c>
      <c r="D141" s="351" t="e">
        <f>#REF!</f>
        <v>#REF!</v>
      </c>
      <c r="E141" s="351" t="e">
        <f>#REF!</f>
        <v>#REF!</v>
      </c>
      <c r="F141" s="351" t="e">
        <f>#REF!</f>
        <v>#REF!</v>
      </c>
      <c r="G141" s="351" t="e">
        <f>#REF!</f>
        <v>#REF!</v>
      </c>
      <c r="H141" s="351" t="e">
        <f>#REF!</f>
        <v>#REF!</v>
      </c>
      <c r="I141" s="124"/>
      <c r="J141" s="124"/>
      <c r="K141" s="124"/>
      <c r="L141" s="124"/>
      <c r="M141" s="124"/>
      <c r="N141" s="351" t="e">
        <f t="shared" si="4"/>
        <v>#REF!</v>
      </c>
      <c r="O141" s="124">
        <f t="shared" si="4"/>
        <v>0</v>
      </c>
      <c r="P141" s="124">
        <f t="shared" si="4"/>
        <v>0</v>
      </c>
      <c r="Q141" s="124"/>
      <c r="R141" s="124"/>
      <c r="S141" s="124">
        <f t="shared" si="5"/>
        <v>0</v>
      </c>
      <c r="T141" s="353" t="e">
        <f>#REF!</f>
        <v>#REF!</v>
      </c>
      <c r="U141" s="353" t="e">
        <f>#REF!</f>
        <v>#REF!</v>
      </c>
      <c r="V141" s="353" t="e">
        <f>#REF!</f>
        <v>#REF!</v>
      </c>
      <c r="W141" s="124"/>
      <c r="X141" s="124"/>
      <c r="Y141" s="124"/>
      <c r="Z141" s="124"/>
      <c r="AA141" s="351" t="e">
        <f>#REF!</f>
        <v>#REF!</v>
      </c>
      <c r="AB141" s="124"/>
      <c r="AC141" s="124"/>
      <c r="AD141" s="124"/>
      <c r="AE141" s="124" t="e">
        <f>#REF!</f>
        <v>#REF!</v>
      </c>
      <c r="AF141" s="124" t="e">
        <f>#REF!</f>
        <v>#REF!</v>
      </c>
      <c r="AG141" s="124" t="e">
        <f>#REF!</f>
        <v>#REF!</v>
      </c>
      <c r="AH141" s="124" t="e">
        <f>#REF!</f>
        <v>#REF!</v>
      </c>
      <c r="AI141" s="124" t="e">
        <f>#REF!</f>
        <v>#REF!</v>
      </c>
      <c r="AJ141" s="124" t="e">
        <f>#REF!</f>
        <v>#REF!</v>
      </c>
      <c r="AK141" s="124" t="e">
        <f>#REF!</f>
        <v>#REF!</v>
      </c>
      <c r="AL141" s="124" t="e">
        <f>#REF!</f>
        <v>#REF!</v>
      </c>
      <c r="AM141" s="124" t="e">
        <f>#REF!</f>
        <v>#REF!</v>
      </c>
      <c r="AN141" s="124" t="e">
        <f>#REF!</f>
        <v>#REF!</v>
      </c>
      <c r="AO141" s="124" t="e">
        <f>#REF!</f>
        <v>#REF!</v>
      </c>
      <c r="AP141" s="124" t="e">
        <f>#REF!</f>
        <v>#REF!</v>
      </c>
    </row>
    <row r="142" spans="1:42" x14ac:dyDescent="0.25">
      <c r="A142" s="351" t="e">
        <f>#REF!</f>
        <v>#REF!</v>
      </c>
      <c r="B142" s="351" t="e">
        <f>#REF!</f>
        <v>#REF!</v>
      </c>
      <c r="C142" s="351" t="e">
        <f>#REF!</f>
        <v>#REF!</v>
      </c>
      <c r="D142" s="351" t="e">
        <f>#REF!</f>
        <v>#REF!</v>
      </c>
      <c r="E142" s="351" t="e">
        <f>#REF!</f>
        <v>#REF!</v>
      </c>
      <c r="F142" s="351" t="e">
        <f>#REF!</f>
        <v>#REF!</v>
      </c>
      <c r="G142" s="351" t="e">
        <f>#REF!</f>
        <v>#REF!</v>
      </c>
      <c r="H142" s="351" t="e">
        <f>#REF!</f>
        <v>#REF!</v>
      </c>
      <c r="I142" s="124"/>
      <c r="J142" s="124"/>
      <c r="K142" s="124"/>
      <c r="L142" s="124"/>
      <c r="M142" s="124"/>
      <c r="N142" s="351" t="e">
        <f t="shared" si="4"/>
        <v>#REF!</v>
      </c>
      <c r="O142" s="124">
        <f t="shared" si="4"/>
        <v>0</v>
      </c>
      <c r="P142" s="124">
        <f t="shared" si="4"/>
        <v>0</v>
      </c>
      <c r="Q142" s="124"/>
      <c r="R142" s="124"/>
      <c r="S142" s="124">
        <f t="shared" si="5"/>
        <v>0</v>
      </c>
      <c r="T142" s="353" t="e">
        <f>#REF!</f>
        <v>#REF!</v>
      </c>
      <c r="U142" s="353" t="e">
        <f>#REF!</f>
        <v>#REF!</v>
      </c>
      <c r="V142" s="353" t="e">
        <f>#REF!</f>
        <v>#REF!</v>
      </c>
      <c r="W142" s="124"/>
      <c r="X142" s="124"/>
      <c r="Y142" s="124"/>
      <c r="Z142" s="124"/>
      <c r="AA142" s="351" t="e">
        <f>#REF!</f>
        <v>#REF!</v>
      </c>
      <c r="AB142" s="124"/>
      <c r="AC142" s="124"/>
      <c r="AD142" s="124"/>
      <c r="AE142" s="124" t="e">
        <f>#REF!</f>
        <v>#REF!</v>
      </c>
      <c r="AF142" s="124" t="e">
        <f>#REF!</f>
        <v>#REF!</v>
      </c>
      <c r="AG142" s="124" t="e">
        <f>#REF!</f>
        <v>#REF!</v>
      </c>
      <c r="AH142" s="124" t="e">
        <f>#REF!</f>
        <v>#REF!</v>
      </c>
      <c r="AI142" s="124" t="e">
        <f>#REF!</f>
        <v>#REF!</v>
      </c>
      <c r="AJ142" s="124" t="e">
        <f>#REF!</f>
        <v>#REF!</v>
      </c>
      <c r="AK142" s="124" t="e">
        <f>#REF!</f>
        <v>#REF!</v>
      </c>
      <c r="AL142" s="124" t="e">
        <f>#REF!</f>
        <v>#REF!</v>
      </c>
      <c r="AM142" s="124" t="e">
        <f>#REF!</f>
        <v>#REF!</v>
      </c>
      <c r="AN142" s="124" t="e">
        <f>#REF!</f>
        <v>#REF!</v>
      </c>
      <c r="AO142" s="124" t="e">
        <f>#REF!</f>
        <v>#REF!</v>
      </c>
      <c r="AP142" s="124" t="e">
        <f>#REF!</f>
        <v>#REF!</v>
      </c>
    </row>
    <row r="143" spans="1:42" x14ac:dyDescent="0.25">
      <c r="A143" s="351" t="e">
        <f>#REF!</f>
        <v>#REF!</v>
      </c>
      <c r="B143" s="351" t="e">
        <f>#REF!</f>
        <v>#REF!</v>
      </c>
      <c r="C143" s="351" t="e">
        <f>#REF!</f>
        <v>#REF!</v>
      </c>
      <c r="D143" s="351" t="e">
        <f>#REF!</f>
        <v>#REF!</v>
      </c>
      <c r="E143" s="351" t="e">
        <f>#REF!</f>
        <v>#REF!</v>
      </c>
      <c r="F143" s="351" t="e">
        <f>#REF!</f>
        <v>#REF!</v>
      </c>
      <c r="G143" s="351" t="e">
        <f>#REF!</f>
        <v>#REF!</v>
      </c>
      <c r="H143" s="351" t="e">
        <f>#REF!</f>
        <v>#REF!</v>
      </c>
      <c r="I143" s="124"/>
      <c r="J143" s="124"/>
      <c r="K143" s="124"/>
      <c r="L143" s="124"/>
      <c r="M143" s="124"/>
      <c r="N143" s="351" t="e">
        <f t="shared" si="4"/>
        <v>#REF!</v>
      </c>
      <c r="O143" s="124">
        <f t="shared" si="4"/>
        <v>0</v>
      </c>
      <c r="P143" s="124">
        <f t="shared" si="4"/>
        <v>0</v>
      </c>
      <c r="Q143" s="124"/>
      <c r="R143" s="124"/>
      <c r="S143" s="124">
        <f t="shared" si="5"/>
        <v>0</v>
      </c>
      <c r="T143" s="353" t="e">
        <f>#REF!</f>
        <v>#REF!</v>
      </c>
      <c r="U143" s="353" t="e">
        <f>#REF!</f>
        <v>#REF!</v>
      </c>
      <c r="V143" s="353" t="e">
        <f>#REF!</f>
        <v>#REF!</v>
      </c>
      <c r="W143" s="124"/>
      <c r="X143" s="124"/>
      <c r="Y143" s="124"/>
      <c r="Z143" s="124"/>
      <c r="AA143" s="351" t="e">
        <f>#REF!</f>
        <v>#REF!</v>
      </c>
      <c r="AB143" s="124"/>
      <c r="AC143" s="124"/>
      <c r="AD143" s="124"/>
      <c r="AE143" s="124" t="e">
        <f>#REF!</f>
        <v>#REF!</v>
      </c>
      <c r="AF143" s="124" t="e">
        <f>#REF!</f>
        <v>#REF!</v>
      </c>
      <c r="AG143" s="124" t="e">
        <f>#REF!</f>
        <v>#REF!</v>
      </c>
      <c r="AH143" s="124" t="e">
        <f>#REF!</f>
        <v>#REF!</v>
      </c>
      <c r="AI143" s="124" t="e">
        <f>#REF!</f>
        <v>#REF!</v>
      </c>
      <c r="AJ143" s="124" t="e">
        <f>#REF!</f>
        <v>#REF!</v>
      </c>
      <c r="AK143" s="124" t="e">
        <f>#REF!</f>
        <v>#REF!</v>
      </c>
      <c r="AL143" s="124" t="e">
        <f>#REF!</f>
        <v>#REF!</v>
      </c>
      <c r="AM143" s="124" t="e">
        <f>#REF!</f>
        <v>#REF!</v>
      </c>
      <c r="AN143" s="124" t="e">
        <f>#REF!</f>
        <v>#REF!</v>
      </c>
      <c r="AO143" s="124" t="e">
        <f>#REF!</f>
        <v>#REF!</v>
      </c>
      <c r="AP143" s="124" t="e">
        <f>#REF!</f>
        <v>#REF!</v>
      </c>
    </row>
    <row r="144" spans="1:42" x14ac:dyDescent="0.25">
      <c r="A144" s="351" t="e">
        <f>#REF!</f>
        <v>#REF!</v>
      </c>
      <c r="B144" s="351" t="e">
        <f>#REF!</f>
        <v>#REF!</v>
      </c>
      <c r="C144" s="351" t="e">
        <f>#REF!</f>
        <v>#REF!</v>
      </c>
      <c r="D144" s="351" t="e">
        <f>#REF!</f>
        <v>#REF!</v>
      </c>
      <c r="E144" s="351" t="e">
        <f>#REF!</f>
        <v>#REF!</v>
      </c>
      <c r="F144" s="351" t="e">
        <f>#REF!</f>
        <v>#REF!</v>
      </c>
      <c r="G144" s="351" t="e">
        <f>#REF!</f>
        <v>#REF!</v>
      </c>
      <c r="H144" s="351" t="e">
        <f>#REF!</f>
        <v>#REF!</v>
      </c>
      <c r="I144" s="124"/>
      <c r="J144" s="124"/>
      <c r="K144" s="124"/>
      <c r="L144" s="124"/>
      <c r="M144" s="124"/>
      <c r="N144" s="351" t="e">
        <f t="shared" si="4"/>
        <v>#REF!</v>
      </c>
      <c r="O144" s="124">
        <f t="shared" si="4"/>
        <v>0</v>
      </c>
      <c r="P144" s="124">
        <f t="shared" si="4"/>
        <v>0</v>
      </c>
      <c r="Q144" s="124"/>
      <c r="R144" s="124"/>
      <c r="S144" s="124">
        <f t="shared" si="5"/>
        <v>0</v>
      </c>
      <c r="T144" s="353" t="e">
        <f>#REF!</f>
        <v>#REF!</v>
      </c>
      <c r="U144" s="353" t="e">
        <f>#REF!</f>
        <v>#REF!</v>
      </c>
      <c r="V144" s="353" t="e">
        <f>#REF!</f>
        <v>#REF!</v>
      </c>
      <c r="W144" s="124"/>
      <c r="X144" s="124"/>
      <c r="Y144" s="124"/>
      <c r="Z144" s="124"/>
      <c r="AA144" s="351" t="e">
        <f>#REF!</f>
        <v>#REF!</v>
      </c>
      <c r="AB144" s="124"/>
      <c r="AC144" s="124"/>
      <c r="AD144" s="124"/>
      <c r="AE144" s="124" t="e">
        <f>#REF!</f>
        <v>#REF!</v>
      </c>
      <c r="AF144" s="124" t="e">
        <f>#REF!</f>
        <v>#REF!</v>
      </c>
      <c r="AG144" s="124" t="e">
        <f>#REF!</f>
        <v>#REF!</v>
      </c>
      <c r="AH144" s="124" t="e">
        <f>#REF!</f>
        <v>#REF!</v>
      </c>
      <c r="AI144" s="124" t="e">
        <f>#REF!</f>
        <v>#REF!</v>
      </c>
      <c r="AJ144" s="124" t="e">
        <f>#REF!</f>
        <v>#REF!</v>
      </c>
      <c r="AK144" s="124" t="e">
        <f>#REF!</f>
        <v>#REF!</v>
      </c>
      <c r="AL144" s="124" t="e">
        <f>#REF!</f>
        <v>#REF!</v>
      </c>
      <c r="AM144" s="124" t="e">
        <f>#REF!</f>
        <v>#REF!</v>
      </c>
      <c r="AN144" s="124" t="e">
        <f>#REF!</f>
        <v>#REF!</v>
      </c>
      <c r="AO144" s="124" t="e">
        <f>#REF!</f>
        <v>#REF!</v>
      </c>
      <c r="AP144" s="124" t="e">
        <f>#REF!</f>
        <v>#REF!</v>
      </c>
    </row>
    <row r="145" spans="1:42" x14ac:dyDescent="0.25">
      <c r="A145" s="351" t="e">
        <f>#REF!</f>
        <v>#REF!</v>
      </c>
      <c r="B145" s="351" t="e">
        <f>#REF!</f>
        <v>#REF!</v>
      </c>
      <c r="C145" s="351" t="e">
        <f>#REF!</f>
        <v>#REF!</v>
      </c>
      <c r="D145" s="351" t="e">
        <f>#REF!</f>
        <v>#REF!</v>
      </c>
      <c r="E145" s="351" t="e">
        <f>#REF!</f>
        <v>#REF!</v>
      </c>
      <c r="F145" s="351" t="e">
        <f>#REF!</f>
        <v>#REF!</v>
      </c>
      <c r="G145" s="351" t="e">
        <f>#REF!</f>
        <v>#REF!</v>
      </c>
      <c r="H145" s="351" t="e">
        <f>#REF!</f>
        <v>#REF!</v>
      </c>
      <c r="I145" s="124"/>
      <c r="J145" s="124"/>
      <c r="K145" s="124"/>
      <c r="L145" s="124"/>
      <c r="M145" s="124"/>
      <c r="N145" s="351" t="e">
        <f t="shared" si="4"/>
        <v>#REF!</v>
      </c>
      <c r="O145" s="124">
        <f t="shared" si="4"/>
        <v>0</v>
      </c>
      <c r="P145" s="124">
        <f t="shared" si="4"/>
        <v>0</v>
      </c>
      <c r="Q145" s="124"/>
      <c r="R145" s="124"/>
      <c r="S145" s="124">
        <f t="shared" si="5"/>
        <v>0</v>
      </c>
      <c r="T145" s="353" t="e">
        <f>#REF!</f>
        <v>#REF!</v>
      </c>
      <c r="U145" s="353" t="e">
        <f>#REF!</f>
        <v>#REF!</v>
      </c>
      <c r="V145" s="353" t="e">
        <f>#REF!</f>
        <v>#REF!</v>
      </c>
      <c r="W145" s="124"/>
      <c r="X145" s="124"/>
      <c r="Y145" s="124"/>
      <c r="Z145" s="124"/>
      <c r="AA145" s="351" t="e">
        <f>#REF!</f>
        <v>#REF!</v>
      </c>
      <c r="AB145" s="124"/>
      <c r="AC145" s="124"/>
      <c r="AD145" s="124"/>
      <c r="AE145" s="124" t="e">
        <f>#REF!</f>
        <v>#REF!</v>
      </c>
      <c r="AF145" s="124" t="e">
        <f>#REF!</f>
        <v>#REF!</v>
      </c>
      <c r="AG145" s="124" t="e">
        <f>#REF!</f>
        <v>#REF!</v>
      </c>
      <c r="AH145" s="124" t="e">
        <f>#REF!</f>
        <v>#REF!</v>
      </c>
      <c r="AI145" s="124" t="e">
        <f>#REF!</f>
        <v>#REF!</v>
      </c>
      <c r="AJ145" s="124" t="e">
        <f>#REF!</f>
        <v>#REF!</v>
      </c>
      <c r="AK145" s="124" t="e">
        <f>#REF!</f>
        <v>#REF!</v>
      </c>
      <c r="AL145" s="124" t="e">
        <f>#REF!</f>
        <v>#REF!</v>
      </c>
      <c r="AM145" s="124" t="e">
        <f>#REF!</f>
        <v>#REF!</v>
      </c>
      <c r="AN145" s="124" t="e">
        <f>#REF!</f>
        <v>#REF!</v>
      </c>
      <c r="AO145" s="124" t="e">
        <f>#REF!</f>
        <v>#REF!</v>
      </c>
      <c r="AP145" s="124" t="e">
        <f>#REF!</f>
        <v>#REF!</v>
      </c>
    </row>
    <row r="146" spans="1:42" x14ac:dyDescent="0.25">
      <c r="A146" s="351" t="e">
        <f>#REF!</f>
        <v>#REF!</v>
      </c>
      <c r="B146" s="351" t="e">
        <f>#REF!</f>
        <v>#REF!</v>
      </c>
      <c r="C146" s="351" t="e">
        <f>#REF!</f>
        <v>#REF!</v>
      </c>
      <c r="D146" s="351" t="e">
        <f>#REF!</f>
        <v>#REF!</v>
      </c>
      <c r="E146" s="351" t="e">
        <f>#REF!</f>
        <v>#REF!</v>
      </c>
      <c r="F146" s="351" t="e">
        <f>#REF!</f>
        <v>#REF!</v>
      </c>
      <c r="G146" s="351" t="e">
        <f>#REF!</f>
        <v>#REF!</v>
      </c>
      <c r="H146" s="351" t="e">
        <f>#REF!</f>
        <v>#REF!</v>
      </c>
      <c r="I146" s="124"/>
      <c r="J146" s="124"/>
      <c r="K146" s="124"/>
      <c r="L146" s="124"/>
      <c r="M146" s="124"/>
      <c r="N146" s="351" t="e">
        <f t="shared" si="4"/>
        <v>#REF!</v>
      </c>
      <c r="O146" s="124">
        <f t="shared" si="4"/>
        <v>0</v>
      </c>
      <c r="P146" s="124">
        <f t="shared" si="4"/>
        <v>0</v>
      </c>
      <c r="Q146" s="124"/>
      <c r="R146" s="124"/>
      <c r="S146" s="124">
        <f t="shared" si="5"/>
        <v>0</v>
      </c>
      <c r="T146" s="353" t="e">
        <f>#REF!</f>
        <v>#REF!</v>
      </c>
      <c r="U146" s="353" t="e">
        <f>#REF!</f>
        <v>#REF!</v>
      </c>
      <c r="V146" s="353" t="e">
        <f>#REF!</f>
        <v>#REF!</v>
      </c>
      <c r="W146" s="124"/>
      <c r="X146" s="124"/>
      <c r="Y146" s="124"/>
      <c r="Z146" s="124"/>
      <c r="AA146" s="351" t="e">
        <f>#REF!</f>
        <v>#REF!</v>
      </c>
      <c r="AB146" s="124"/>
      <c r="AC146" s="124"/>
      <c r="AD146" s="124"/>
      <c r="AE146" s="124" t="e">
        <f>#REF!</f>
        <v>#REF!</v>
      </c>
      <c r="AF146" s="124" t="e">
        <f>#REF!</f>
        <v>#REF!</v>
      </c>
      <c r="AG146" s="124" t="e">
        <f>#REF!</f>
        <v>#REF!</v>
      </c>
      <c r="AH146" s="124" t="e">
        <f>#REF!</f>
        <v>#REF!</v>
      </c>
      <c r="AI146" s="124" t="e">
        <f>#REF!</f>
        <v>#REF!</v>
      </c>
      <c r="AJ146" s="124" t="e">
        <f>#REF!</f>
        <v>#REF!</v>
      </c>
      <c r="AK146" s="124" t="e">
        <f>#REF!</f>
        <v>#REF!</v>
      </c>
      <c r="AL146" s="124" t="e">
        <f>#REF!</f>
        <v>#REF!</v>
      </c>
      <c r="AM146" s="124" t="e">
        <f>#REF!</f>
        <v>#REF!</v>
      </c>
      <c r="AN146" s="124" t="e">
        <f>#REF!</f>
        <v>#REF!</v>
      </c>
      <c r="AO146" s="124" t="e">
        <f>#REF!</f>
        <v>#REF!</v>
      </c>
      <c r="AP146" s="124" t="e">
        <f>#REF!</f>
        <v>#REF!</v>
      </c>
    </row>
    <row r="147" spans="1:42" x14ac:dyDescent="0.25">
      <c r="A147" s="351" t="e">
        <f>#REF!</f>
        <v>#REF!</v>
      </c>
      <c r="B147" s="351" t="e">
        <f>#REF!</f>
        <v>#REF!</v>
      </c>
      <c r="C147" s="351" t="e">
        <f>#REF!</f>
        <v>#REF!</v>
      </c>
      <c r="D147" s="351" t="e">
        <f>#REF!</f>
        <v>#REF!</v>
      </c>
      <c r="E147" s="351" t="e">
        <f>#REF!</f>
        <v>#REF!</v>
      </c>
      <c r="F147" s="351" t="e">
        <f>#REF!</f>
        <v>#REF!</v>
      </c>
      <c r="G147" s="351" t="e">
        <f>#REF!</f>
        <v>#REF!</v>
      </c>
      <c r="H147" s="351" t="e">
        <f>#REF!</f>
        <v>#REF!</v>
      </c>
      <c r="I147" s="124"/>
      <c r="J147" s="124"/>
      <c r="K147" s="124"/>
      <c r="L147" s="124"/>
      <c r="M147" s="124"/>
      <c r="N147" s="351" t="e">
        <f t="shared" si="4"/>
        <v>#REF!</v>
      </c>
      <c r="O147" s="124">
        <f t="shared" si="4"/>
        <v>0</v>
      </c>
      <c r="P147" s="124">
        <f t="shared" si="4"/>
        <v>0</v>
      </c>
      <c r="Q147" s="124"/>
      <c r="R147" s="124"/>
      <c r="S147" s="124">
        <f t="shared" si="5"/>
        <v>0</v>
      </c>
      <c r="T147" s="353" t="e">
        <f>#REF!</f>
        <v>#REF!</v>
      </c>
      <c r="U147" s="353" t="e">
        <f>#REF!</f>
        <v>#REF!</v>
      </c>
      <c r="V147" s="353" t="e">
        <f>#REF!</f>
        <v>#REF!</v>
      </c>
      <c r="W147" s="124"/>
      <c r="X147" s="124"/>
      <c r="Y147" s="124"/>
      <c r="Z147" s="124"/>
      <c r="AA147" s="351" t="e">
        <f>#REF!</f>
        <v>#REF!</v>
      </c>
      <c r="AB147" s="124"/>
      <c r="AC147" s="124"/>
      <c r="AD147" s="124"/>
      <c r="AE147" s="124" t="e">
        <f>#REF!</f>
        <v>#REF!</v>
      </c>
      <c r="AF147" s="124" t="e">
        <f>#REF!</f>
        <v>#REF!</v>
      </c>
      <c r="AG147" s="124" t="e">
        <f>#REF!</f>
        <v>#REF!</v>
      </c>
      <c r="AH147" s="124" t="e">
        <f>#REF!</f>
        <v>#REF!</v>
      </c>
      <c r="AI147" s="124" t="e">
        <f>#REF!</f>
        <v>#REF!</v>
      </c>
      <c r="AJ147" s="124" t="e">
        <f>#REF!</f>
        <v>#REF!</v>
      </c>
      <c r="AK147" s="124" t="e">
        <f>#REF!</f>
        <v>#REF!</v>
      </c>
      <c r="AL147" s="124" t="e">
        <f>#REF!</f>
        <v>#REF!</v>
      </c>
      <c r="AM147" s="124" t="e">
        <f>#REF!</f>
        <v>#REF!</v>
      </c>
      <c r="AN147" s="124" t="e">
        <f>#REF!</f>
        <v>#REF!</v>
      </c>
      <c r="AO147" s="124" t="e">
        <f>#REF!</f>
        <v>#REF!</v>
      </c>
      <c r="AP147" s="124" t="e">
        <f>#REF!</f>
        <v>#REF!</v>
      </c>
    </row>
    <row r="148" spans="1:42" x14ac:dyDescent="0.25">
      <c r="A148" s="351" t="e">
        <f>#REF!</f>
        <v>#REF!</v>
      </c>
      <c r="B148" s="351" t="e">
        <f>#REF!</f>
        <v>#REF!</v>
      </c>
      <c r="C148" s="351" t="e">
        <f>#REF!</f>
        <v>#REF!</v>
      </c>
      <c r="D148" s="351" t="e">
        <f>#REF!</f>
        <v>#REF!</v>
      </c>
      <c r="E148" s="351" t="e">
        <f>#REF!</f>
        <v>#REF!</v>
      </c>
      <c r="F148" s="351" t="e">
        <f>#REF!</f>
        <v>#REF!</v>
      </c>
      <c r="G148" s="351" t="e">
        <f>#REF!</f>
        <v>#REF!</v>
      </c>
      <c r="H148" s="351" t="e">
        <f>#REF!</f>
        <v>#REF!</v>
      </c>
      <c r="I148" s="124"/>
      <c r="J148" s="124"/>
      <c r="K148" s="124"/>
      <c r="L148" s="124"/>
      <c r="M148" s="124"/>
      <c r="N148" s="351" t="e">
        <f t="shared" si="4"/>
        <v>#REF!</v>
      </c>
      <c r="O148" s="124">
        <f t="shared" si="4"/>
        <v>0</v>
      </c>
      <c r="P148" s="124">
        <f t="shared" si="4"/>
        <v>0</v>
      </c>
      <c r="Q148" s="124"/>
      <c r="R148" s="124"/>
      <c r="S148" s="124">
        <f t="shared" si="5"/>
        <v>0</v>
      </c>
      <c r="T148" s="353" t="e">
        <f>#REF!</f>
        <v>#REF!</v>
      </c>
      <c r="U148" s="353" t="e">
        <f>#REF!</f>
        <v>#REF!</v>
      </c>
      <c r="V148" s="353" t="e">
        <f>#REF!</f>
        <v>#REF!</v>
      </c>
      <c r="W148" s="124"/>
      <c r="X148" s="124"/>
      <c r="Y148" s="124"/>
      <c r="Z148" s="124"/>
      <c r="AA148" s="351" t="e">
        <f>#REF!</f>
        <v>#REF!</v>
      </c>
      <c r="AB148" s="124"/>
      <c r="AC148" s="124"/>
      <c r="AD148" s="124"/>
      <c r="AE148" s="124" t="e">
        <f>#REF!</f>
        <v>#REF!</v>
      </c>
      <c r="AF148" s="124" t="e">
        <f>#REF!</f>
        <v>#REF!</v>
      </c>
      <c r="AG148" s="124" t="e">
        <f>#REF!</f>
        <v>#REF!</v>
      </c>
      <c r="AH148" s="124" t="e">
        <f>#REF!</f>
        <v>#REF!</v>
      </c>
      <c r="AI148" s="124" t="e">
        <f>#REF!</f>
        <v>#REF!</v>
      </c>
      <c r="AJ148" s="124" t="e">
        <f>#REF!</f>
        <v>#REF!</v>
      </c>
      <c r="AK148" s="124" t="e">
        <f>#REF!</f>
        <v>#REF!</v>
      </c>
      <c r="AL148" s="124" t="e">
        <f>#REF!</f>
        <v>#REF!</v>
      </c>
      <c r="AM148" s="124" t="e">
        <f>#REF!</f>
        <v>#REF!</v>
      </c>
      <c r="AN148" s="124" t="e">
        <f>#REF!</f>
        <v>#REF!</v>
      </c>
      <c r="AO148" s="124" t="e">
        <f>#REF!</f>
        <v>#REF!</v>
      </c>
      <c r="AP148" s="124" t="e">
        <f>#REF!</f>
        <v>#REF!</v>
      </c>
    </row>
    <row r="149" spans="1:42" x14ac:dyDescent="0.25">
      <c r="A149" s="351" t="e">
        <f>#REF!</f>
        <v>#REF!</v>
      </c>
      <c r="B149" s="351" t="e">
        <f>#REF!</f>
        <v>#REF!</v>
      </c>
      <c r="C149" s="351" t="e">
        <f>#REF!</f>
        <v>#REF!</v>
      </c>
      <c r="D149" s="351" t="e">
        <f>#REF!</f>
        <v>#REF!</v>
      </c>
      <c r="E149" s="351" t="e">
        <f>#REF!</f>
        <v>#REF!</v>
      </c>
      <c r="F149" s="351" t="e">
        <f>#REF!</f>
        <v>#REF!</v>
      </c>
      <c r="G149" s="351" t="e">
        <f>#REF!</f>
        <v>#REF!</v>
      </c>
      <c r="H149" s="351" t="e">
        <f>#REF!</f>
        <v>#REF!</v>
      </c>
      <c r="I149" s="124"/>
      <c r="J149" s="124"/>
      <c r="K149" s="124"/>
      <c r="L149" s="124"/>
      <c r="M149" s="124"/>
      <c r="N149" s="351" t="e">
        <f t="shared" si="4"/>
        <v>#REF!</v>
      </c>
      <c r="O149" s="124">
        <f t="shared" si="4"/>
        <v>0</v>
      </c>
      <c r="P149" s="124">
        <f t="shared" si="4"/>
        <v>0</v>
      </c>
      <c r="Q149" s="124"/>
      <c r="R149" s="124"/>
      <c r="S149" s="124">
        <f t="shared" si="5"/>
        <v>0</v>
      </c>
      <c r="T149" s="353" t="e">
        <f>#REF!</f>
        <v>#REF!</v>
      </c>
      <c r="U149" s="353" t="e">
        <f>#REF!</f>
        <v>#REF!</v>
      </c>
      <c r="V149" s="353" t="e">
        <f>#REF!</f>
        <v>#REF!</v>
      </c>
      <c r="W149" s="124"/>
      <c r="X149" s="124"/>
      <c r="Y149" s="124"/>
      <c r="Z149" s="124"/>
      <c r="AA149" s="351" t="e">
        <f>#REF!</f>
        <v>#REF!</v>
      </c>
      <c r="AB149" s="124"/>
      <c r="AC149" s="124"/>
      <c r="AD149" s="124"/>
      <c r="AE149" s="124" t="e">
        <f>#REF!</f>
        <v>#REF!</v>
      </c>
      <c r="AF149" s="124" t="e">
        <f>#REF!</f>
        <v>#REF!</v>
      </c>
      <c r="AG149" s="124" t="e">
        <f>#REF!</f>
        <v>#REF!</v>
      </c>
      <c r="AH149" s="124" t="e">
        <f>#REF!</f>
        <v>#REF!</v>
      </c>
      <c r="AI149" s="124" t="e">
        <f>#REF!</f>
        <v>#REF!</v>
      </c>
      <c r="AJ149" s="124" t="e">
        <f>#REF!</f>
        <v>#REF!</v>
      </c>
      <c r="AK149" s="124" t="e">
        <f>#REF!</f>
        <v>#REF!</v>
      </c>
      <c r="AL149" s="124" t="e">
        <f>#REF!</f>
        <v>#REF!</v>
      </c>
      <c r="AM149" s="124" t="e">
        <f>#REF!</f>
        <v>#REF!</v>
      </c>
      <c r="AN149" s="124" t="e">
        <f>#REF!</f>
        <v>#REF!</v>
      </c>
      <c r="AO149" s="124" t="e">
        <f>#REF!</f>
        <v>#REF!</v>
      </c>
      <c r="AP149" s="124" t="e">
        <f>#REF!</f>
        <v>#REF!</v>
      </c>
    </row>
    <row r="150" spans="1:42" x14ac:dyDescent="0.25">
      <c r="A150" s="351" t="e">
        <f>#REF!</f>
        <v>#REF!</v>
      </c>
      <c r="B150" s="351" t="e">
        <f>#REF!</f>
        <v>#REF!</v>
      </c>
      <c r="C150" s="351" t="e">
        <f>#REF!</f>
        <v>#REF!</v>
      </c>
      <c r="D150" s="351" t="e">
        <f>#REF!</f>
        <v>#REF!</v>
      </c>
      <c r="E150" s="351" t="e">
        <f>#REF!</f>
        <v>#REF!</v>
      </c>
      <c r="F150" s="351" t="e">
        <f>#REF!</f>
        <v>#REF!</v>
      </c>
      <c r="G150" s="351" t="e">
        <f>#REF!</f>
        <v>#REF!</v>
      </c>
      <c r="H150" s="351" t="e">
        <f>#REF!</f>
        <v>#REF!</v>
      </c>
      <c r="I150" s="124"/>
      <c r="J150" s="124"/>
      <c r="K150" s="124"/>
      <c r="L150" s="124"/>
      <c r="M150" s="124"/>
      <c r="N150" s="351" t="e">
        <f t="shared" si="4"/>
        <v>#REF!</v>
      </c>
      <c r="O150" s="124">
        <f t="shared" si="4"/>
        <v>0</v>
      </c>
      <c r="P150" s="124">
        <f t="shared" si="4"/>
        <v>0</v>
      </c>
      <c r="Q150" s="124"/>
      <c r="R150" s="124"/>
      <c r="S150" s="124">
        <f t="shared" si="5"/>
        <v>0</v>
      </c>
      <c r="T150" s="353" t="e">
        <f>#REF!</f>
        <v>#REF!</v>
      </c>
      <c r="U150" s="353" t="e">
        <f>#REF!</f>
        <v>#REF!</v>
      </c>
      <c r="V150" s="353" t="e">
        <f>#REF!</f>
        <v>#REF!</v>
      </c>
      <c r="W150" s="124"/>
      <c r="X150" s="124"/>
      <c r="Y150" s="124"/>
      <c r="Z150" s="124"/>
      <c r="AA150" s="351" t="e">
        <f>#REF!</f>
        <v>#REF!</v>
      </c>
      <c r="AB150" s="124"/>
      <c r="AC150" s="124"/>
      <c r="AD150" s="124"/>
      <c r="AE150" s="124" t="e">
        <f>#REF!</f>
        <v>#REF!</v>
      </c>
      <c r="AF150" s="124" t="e">
        <f>#REF!</f>
        <v>#REF!</v>
      </c>
      <c r="AG150" s="124" t="e">
        <f>#REF!</f>
        <v>#REF!</v>
      </c>
      <c r="AH150" s="124" t="e">
        <f>#REF!</f>
        <v>#REF!</v>
      </c>
      <c r="AI150" s="124" t="e">
        <f>#REF!</f>
        <v>#REF!</v>
      </c>
      <c r="AJ150" s="124" t="e">
        <f>#REF!</f>
        <v>#REF!</v>
      </c>
      <c r="AK150" s="124" t="e">
        <f>#REF!</f>
        <v>#REF!</v>
      </c>
      <c r="AL150" s="124" t="e">
        <f>#REF!</f>
        <v>#REF!</v>
      </c>
      <c r="AM150" s="124" t="e">
        <f>#REF!</f>
        <v>#REF!</v>
      </c>
      <c r="AN150" s="124" t="e">
        <f>#REF!</f>
        <v>#REF!</v>
      </c>
      <c r="AO150" s="124" t="e">
        <f>#REF!</f>
        <v>#REF!</v>
      </c>
      <c r="AP150" s="124" t="e">
        <f>#REF!</f>
        <v>#REF!</v>
      </c>
    </row>
    <row r="151" spans="1:42" x14ac:dyDescent="0.25">
      <c r="A151" s="351" t="e">
        <f>#REF!</f>
        <v>#REF!</v>
      </c>
      <c r="B151" s="351" t="e">
        <f>#REF!</f>
        <v>#REF!</v>
      </c>
      <c r="C151" s="351" t="e">
        <f>#REF!</f>
        <v>#REF!</v>
      </c>
      <c r="D151" s="351" t="e">
        <f>#REF!</f>
        <v>#REF!</v>
      </c>
      <c r="E151" s="351" t="e">
        <f>#REF!</f>
        <v>#REF!</v>
      </c>
      <c r="F151" s="351" t="e">
        <f>#REF!</f>
        <v>#REF!</v>
      </c>
      <c r="G151" s="351" t="e">
        <f>#REF!</f>
        <v>#REF!</v>
      </c>
      <c r="H151" s="351" t="e">
        <f>#REF!</f>
        <v>#REF!</v>
      </c>
      <c r="I151" s="124"/>
      <c r="J151" s="124"/>
      <c r="K151" s="124"/>
      <c r="L151" s="124"/>
      <c r="M151" s="124"/>
      <c r="N151" s="351" t="e">
        <f t="shared" si="4"/>
        <v>#REF!</v>
      </c>
      <c r="O151" s="124">
        <f t="shared" si="4"/>
        <v>0</v>
      </c>
      <c r="P151" s="124">
        <f t="shared" si="4"/>
        <v>0</v>
      </c>
      <c r="Q151" s="124"/>
      <c r="R151" s="124"/>
      <c r="S151" s="124">
        <f t="shared" si="5"/>
        <v>0</v>
      </c>
      <c r="T151" s="353" t="e">
        <f>#REF!</f>
        <v>#REF!</v>
      </c>
      <c r="U151" s="353" t="e">
        <f>#REF!</f>
        <v>#REF!</v>
      </c>
      <c r="V151" s="353" t="e">
        <f>#REF!</f>
        <v>#REF!</v>
      </c>
      <c r="W151" s="124"/>
      <c r="X151" s="124"/>
      <c r="Y151" s="124"/>
      <c r="Z151" s="124"/>
      <c r="AA151" s="351" t="e">
        <f>#REF!</f>
        <v>#REF!</v>
      </c>
      <c r="AB151" s="124"/>
      <c r="AC151" s="124"/>
      <c r="AD151" s="124"/>
      <c r="AE151" s="124" t="e">
        <f>#REF!</f>
        <v>#REF!</v>
      </c>
      <c r="AF151" s="124" t="e">
        <f>#REF!</f>
        <v>#REF!</v>
      </c>
      <c r="AG151" s="124" t="e">
        <f>#REF!</f>
        <v>#REF!</v>
      </c>
      <c r="AH151" s="124" t="e">
        <f>#REF!</f>
        <v>#REF!</v>
      </c>
      <c r="AI151" s="124" t="e">
        <f>#REF!</f>
        <v>#REF!</v>
      </c>
      <c r="AJ151" s="124" t="e">
        <f>#REF!</f>
        <v>#REF!</v>
      </c>
      <c r="AK151" s="124" t="e">
        <f>#REF!</f>
        <v>#REF!</v>
      </c>
      <c r="AL151" s="124" t="e">
        <f>#REF!</f>
        <v>#REF!</v>
      </c>
      <c r="AM151" s="124" t="e">
        <f>#REF!</f>
        <v>#REF!</v>
      </c>
      <c r="AN151" s="124" t="e">
        <f>#REF!</f>
        <v>#REF!</v>
      </c>
      <c r="AO151" s="124" t="e">
        <f>#REF!</f>
        <v>#REF!</v>
      </c>
      <c r="AP151" s="124" t="e">
        <f>#REF!</f>
        <v>#REF!</v>
      </c>
    </row>
    <row r="152" spans="1:42" x14ac:dyDescent="0.25">
      <c r="A152" s="351" t="e">
        <f>#REF!</f>
        <v>#REF!</v>
      </c>
      <c r="B152" s="351" t="e">
        <f>#REF!</f>
        <v>#REF!</v>
      </c>
      <c r="C152" s="351" t="e">
        <f>#REF!</f>
        <v>#REF!</v>
      </c>
      <c r="D152" s="351" t="e">
        <f>#REF!</f>
        <v>#REF!</v>
      </c>
      <c r="E152" s="351" t="e">
        <f>#REF!</f>
        <v>#REF!</v>
      </c>
      <c r="F152" s="351" t="e">
        <f>#REF!</f>
        <v>#REF!</v>
      </c>
      <c r="G152" s="351" t="e">
        <f>#REF!</f>
        <v>#REF!</v>
      </c>
      <c r="H152" s="351" t="e">
        <f>#REF!</f>
        <v>#REF!</v>
      </c>
      <c r="I152" s="124"/>
      <c r="J152" s="124"/>
      <c r="K152" s="124"/>
      <c r="L152" s="124"/>
      <c r="M152" s="124"/>
      <c r="N152" s="351" t="e">
        <f t="shared" si="4"/>
        <v>#REF!</v>
      </c>
      <c r="O152" s="124">
        <f t="shared" si="4"/>
        <v>0</v>
      </c>
      <c r="P152" s="124">
        <f t="shared" si="4"/>
        <v>0</v>
      </c>
      <c r="Q152" s="124"/>
      <c r="R152" s="124"/>
      <c r="S152" s="124">
        <f t="shared" si="5"/>
        <v>0</v>
      </c>
      <c r="T152" s="353" t="e">
        <f>#REF!</f>
        <v>#REF!</v>
      </c>
      <c r="U152" s="353" t="e">
        <f>#REF!</f>
        <v>#REF!</v>
      </c>
      <c r="V152" s="353" t="e">
        <f>#REF!</f>
        <v>#REF!</v>
      </c>
      <c r="W152" s="124"/>
      <c r="X152" s="124"/>
      <c r="Y152" s="124"/>
      <c r="Z152" s="124"/>
      <c r="AA152" s="351" t="e">
        <f>#REF!</f>
        <v>#REF!</v>
      </c>
      <c r="AB152" s="124"/>
      <c r="AC152" s="124"/>
      <c r="AD152" s="124"/>
      <c r="AE152" s="124" t="e">
        <f>#REF!</f>
        <v>#REF!</v>
      </c>
      <c r="AF152" s="124" t="e">
        <f>#REF!</f>
        <v>#REF!</v>
      </c>
      <c r="AG152" s="124" t="e">
        <f>#REF!</f>
        <v>#REF!</v>
      </c>
      <c r="AH152" s="124" t="e">
        <f>#REF!</f>
        <v>#REF!</v>
      </c>
      <c r="AI152" s="124" t="e">
        <f>#REF!</f>
        <v>#REF!</v>
      </c>
      <c r="AJ152" s="124" t="e">
        <f>#REF!</f>
        <v>#REF!</v>
      </c>
      <c r="AK152" s="124" t="e">
        <f>#REF!</f>
        <v>#REF!</v>
      </c>
      <c r="AL152" s="124" t="e">
        <f>#REF!</f>
        <v>#REF!</v>
      </c>
      <c r="AM152" s="124" t="e">
        <f>#REF!</f>
        <v>#REF!</v>
      </c>
      <c r="AN152" s="124" t="e">
        <f>#REF!</f>
        <v>#REF!</v>
      </c>
      <c r="AO152" s="124" t="e">
        <f>#REF!</f>
        <v>#REF!</v>
      </c>
      <c r="AP152" s="124" t="e">
        <f>#REF!</f>
        <v>#REF!</v>
      </c>
    </row>
    <row r="153" spans="1:42" x14ac:dyDescent="0.25">
      <c r="A153" s="351" t="e">
        <f>#REF!</f>
        <v>#REF!</v>
      </c>
      <c r="B153" s="351" t="e">
        <f>#REF!</f>
        <v>#REF!</v>
      </c>
      <c r="C153" s="351" t="e">
        <f>#REF!</f>
        <v>#REF!</v>
      </c>
      <c r="D153" s="351" t="e">
        <f>#REF!</f>
        <v>#REF!</v>
      </c>
      <c r="E153" s="351" t="e">
        <f>#REF!</f>
        <v>#REF!</v>
      </c>
      <c r="F153" s="351" t="e">
        <f>#REF!</f>
        <v>#REF!</v>
      </c>
      <c r="G153" s="351" t="e">
        <f>#REF!</f>
        <v>#REF!</v>
      </c>
      <c r="H153" s="351" t="e">
        <f>#REF!</f>
        <v>#REF!</v>
      </c>
      <c r="I153" s="124"/>
      <c r="J153" s="124"/>
      <c r="K153" s="124"/>
      <c r="L153" s="124"/>
      <c r="M153" s="124"/>
      <c r="N153" s="351" t="e">
        <f t="shared" si="4"/>
        <v>#REF!</v>
      </c>
      <c r="O153" s="124">
        <f t="shared" si="4"/>
        <v>0</v>
      </c>
      <c r="P153" s="124">
        <f t="shared" si="4"/>
        <v>0</v>
      </c>
      <c r="Q153" s="124"/>
      <c r="R153" s="124"/>
      <c r="S153" s="124">
        <f t="shared" si="5"/>
        <v>0</v>
      </c>
      <c r="T153" s="353" t="e">
        <f>#REF!</f>
        <v>#REF!</v>
      </c>
      <c r="U153" s="353" t="e">
        <f>#REF!</f>
        <v>#REF!</v>
      </c>
      <c r="V153" s="353" t="e">
        <f>#REF!</f>
        <v>#REF!</v>
      </c>
      <c r="W153" s="124"/>
      <c r="X153" s="124"/>
      <c r="Y153" s="124"/>
      <c r="Z153" s="124"/>
      <c r="AA153" s="351" t="e">
        <f>#REF!</f>
        <v>#REF!</v>
      </c>
      <c r="AB153" s="124"/>
      <c r="AC153" s="124"/>
      <c r="AD153" s="124"/>
      <c r="AE153" s="124" t="e">
        <f>#REF!</f>
        <v>#REF!</v>
      </c>
      <c r="AF153" s="124" t="e">
        <f>#REF!</f>
        <v>#REF!</v>
      </c>
      <c r="AG153" s="124" t="e">
        <f>#REF!</f>
        <v>#REF!</v>
      </c>
      <c r="AH153" s="124" t="e">
        <f>#REF!</f>
        <v>#REF!</v>
      </c>
      <c r="AI153" s="124" t="e">
        <f>#REF!</f>
        <v>#REF!</v>
      </c>
      <c r="AJ153" s="124" t="e">
        <f>#REF!</f>
        <v>#REF!</v>
      </c>
      <c r="AK153" s="124" t="e">
        <f>#REF!</f>
        <v>#REF!</v>
      </c>
      <c r="AL153" s="124" t="e">
        <f>#REF!</f>
        <v>#REF!</v>
      </c>
      <c r="AM153" s="124" t="e">
        <f>#REF!</f>
        <v>#REF!</v>
      </c>
      <c r="AN153" s="124" t="e">
        <f>#REF!</f>
        <v>#REF!</v>
      </c>
      <c r="AO153" s="124" t="e">
        <f>#REF!</f>
        <v>#REF!</v>
      </c>
      <c r="AP153" s="124" t="e">
        <f>#REF!</f>
        <v>#REF!</v>
      </c>
    </row>
    <row r="154" spans="1:42" x14ac:dyDescent="0.25">
      <c r="A154" s="351" t="e">
        <f>#REF!</f>
        <v>#REF!</v>
      </c>
      <c r="B154" s="351" t="e">
        <f>#REF!</f>
        <v>#REF!</v>
      </c>
      <c r="C154" s="351" t="e">
        <f>#REF!</f>
        <v>#REF!</v>
      </c>
      <c r="D154" s="351" t="e">
        <f>#REF!</f>
        <v>#REF!</v>
      </c>
      <c r="E154" s="351" t="e">
        <f>#REF!</f>
        <v>#REF!</v>
      </c>
      <c r="F154" s="351" t="e">
        <f>#REF!</f>
        <v>#REF!</v>
      </c>
      <c r="G154" s="351" t="e">
        <f>#REF!</f>
        <v>#REF!</v>
      </c>
      <c r="H154" s="351" t="e">
        <f>#REF!</f>
        <v>#REF!</v>
      </c>
      <c r="I154" s="124"/>
      <c r="J154" s="124"/>
      <c r="K154" s="124"/>
      <c r="L154" s="124"/>
      <c r="M154" s="124"/>
      <c r="N154" s="351" t="e">
        <f t="shared" si="4"/>
        <v>#REF!</v>
      </c>
      <c r="O154" s="124">
        <f t="shared" si="4"/>
        <v>0</v>
      </c>
      <c r="P154" s="124">
        <f t="shared" si="4"/>
        <v>0</v>
      </c>
      <c r="Q154" s="124"/>
      <c r="R154" s="124"/>
      <c r="S154" s="124">
        <f t="shared" si="5"/>
        <v>0</v>
      </c>
      <c r="T154" s="353" t="e">
        <f>#REF!</f>
        <v>#REF!</v>
      </c>
      <c r="U154" s="353" t="e">
        <f>#REF!</f>
        <v>#REF!</v>
      </c>
      <c r="V154" s="353" t="e">
        <f>#REF!</f>
        <v>#REF!</v>
      </c>
      <c r="W154" s="124"/>
      <c r="X154" s="124"/>
      <c r="Y154" s="124"/>
      <c r="Z154" s="124"/>
      <c r="AA154" s="351" t="e">
        <f>#REF!</f>
        <v>#REF!</v>
      </c>
      <c r="AB154" s="124"/>
      <c r="AC154" s="124"/>
      <c r="AD154" s="124"/>
      <c r="AE154" s="124" t="e">
        <f>#REF!</f>
        <v>#REF!</v>
      </c>
      <c r="AF154" s="124" t="e">
        <f>#REF!</f>
        <v>#REF!</v>
      </c>
      <c r="AG154" s="124" t="e">
        <f>#REF!</f>
        <v>#REF!</v>
      </c>
      <c r="AH154" s="124" t="e">
        <f>#REF!</f>
        <v>#REF!</v>
      </c>
      <c r="AI154" s="124" t="e">
        <f>#REF!</f>
        <v>#REF!</v>
      </c>
      <c r="AJ154" s="124" t="e">
        <f>#REF!</f>
        <v>#REF!</v>
      </c>
      <c r="AK154" s="124" t="e">
        <f>#REF!</f>
        <v>#REF!</v>
      </c>
      <c r="AL154" s="124" t="e">
        <f>#REF!</f>
        <v>#REF!</v>
      </c>
      <c r="AM154" s="124" t="e">
        <f>#REF!</f>
        <v>#REF!</v>
      </c>
      <c r="AN154" s="124" t="e">
        <f>#REF!</f>
        <v>#REF!</v>
      </c>
      <c r="AO154" s="124" t="e">
        <f>#REF!</f>
        <v>#REF!</v>
      </c>
      <c r="AP154" s="124" t="e">
        <f>#REF!</f>
        <v>#REF!</v>
      </c>
    </row>
    <row r="155" spans="1:42" x14ac:dyDescent="0.25">
      <c r="A155" s="351" t="e">
        <f>#REF!</f>
        <v>#REF!</v>
      </c>
      <c r="B155" s="351" t="e">
        <f>#REF!</f>
        <v>#REF!</v>
      </c>
      <c r="C155" s="351" t="e">
        <f>#REF!</f>
        <v>#REF!</v>
      </c>
      <c r="D155" s="351" t="e">
        <f>#REF!</f>
        <v>#REF!</v>
      </c>
      <c r="E155" s="351" t="e">
        <f>#REF!</f>
        <v>#REF!</v>
      </c>
      <c r="F155" s="351" t="e">
        <f>#REF!</f>
        <v>#REF!</v>
      </c>
      <c r="G155" s="351" t="e">
        <f>#REF!</f>
        <v>#REF!</v>
      </c>
      <c r="H155" s="351" t="e">
        <f>#REF!</f>
        <v>#REF!</v>
      </c>
      <c r="I155" s="124"/>
      <c r="J155" s="124"/>
      <c r="K155" s="124"/>
      <c r="L155" s="124"/>
      <c r="M155" s="124"/>
      <c r="N155" s="351" t="e">
        <f t="shared" si="4"/>
        <v>#REF!</v>
      </c>
      <c r="O155" s="124">
        <f t="shared" si="4"/>
        <v>0</v>
      </c>
      <c r="P155" s="124">
        <f t="shared" si="4"/>
        <v>0</v>
      </c>
      <c r="Q155" s="124"/>
      <c r="R155" s="124"/>
      <c r="S155" s="124">
        <f t="shared" si="5"/>
        <v>0</v>
      </c>
      <c r="T155" s="353" t="e">
        <f>#REF!</f>
        <v>#REF!</v>
      </c>
      <c r="U155" s="353" t="e">
        <f>#REF!</f>
        <v>#REF!</v>
      </c>
      <c r="V155" s="353" t="e">
        <f>#REF!</f>
        <v>#REF!</v>
      </c>
      <c r="W155" s="124"/>
      <c r="X155" s="124"/>
      <c r="Y155" s="124"/>
      <c r="Z155" s="124"/>
      <c r="AA155" s="351" t="e">
        <f>#REF!</f>
        <v>#REF!</v>
      </c>
      <c r="AB155" s="124"/>
      <c r="AC155" s="124"/>
      <c r="AD155" s="124"/>
      <c r="AE155" s="124" t="e">
        <f>#REF!</f>
        <v>#REF!</v>
      </c>
      <c r="AF155" s="124" t="e">
        <f>#REF!</f>
        <v>#REF!</v>
      </c>
      <c r="AG155" s="124" t="e">
        <f>#REF!</f>
        <v>#REF!</v>
      </c>
      <c r="AH155" s="124" t="e">
        <f>#REF!</f>
        <v>#REF!</v>
      </c>
      <c r="AI155" s="124" t="e">
        <f>#REF!</f>
        <v>#REF!</v>
      </c>
      <c r="AJ155" s="124" t="e">
        <f>#REF!</f>
        <v>#REF!</v>
      </c>
      <c r="AK155" s="124" t="e">
        <f>#REF!</f>
        <v>#REF!</v>
      </c>
      <c r="AL155" s="124" t="e">
        <f>#REF!</f>
        <v>#REF!</v>
      </c>
      <c r="AM155" s="124" t="e">
        <f>#REF!</f>
        <v>#REF!</v>
      </c>
      <c r="AN155" s="124" t="e">
        <f>#REF!</f>
        <v>#REF!</v>
      </c>
      <c r="AO155" s="124" t="e">
        <f>#REF!</f>
        <v>#REF!</v>
      </c>
      <c r="AP155" s="124" t="e">
        <f>#REF!</f>
        <v>#REF!</v>
      </c>
    </row>
    <row r="156" spans="1:42" x14ac:dyDescent="0.25">
      <c r="A156" s="351" t="e">
        <f>#REF!</f>
        <v>#REF!</v>
      </c>
      <c r="B156" s="351" t="e">
        <f>#REF!</f>
        <v>#REF!</v>
      </c>
      <c r="C156" s="351" t="e">
        <f>#REF!</f>
        <v>#REF!</v>
      </c>
      <c r="D156" s="351" t="e">
        <f>#REF!</f>
        <v>#REF!</v>
      </c>
      <c r="E156" s="351" t="e">
        <f>#REF!</f>
        <v>#REF!</v>
      </c>
      <c r="F156" s="351" t="e">
        <f>#REF!</f>
        <v>#REF!</v>
      </c>
      <c r="G156" s="351" t="e">
        <f>#REF!</f>
        <v>#REF!</v>
      </c>
      <c r="H156" s="351" t="e">
        <f>#REF!</f>
        <v>#REF!</v>
      </c>
      <c r="I156" s="124"/>
      <c r="J156" s="124"/>
      <c r="K156" s="124"/>
      <c r="L156" s="124"/>
      <c r="M156" s="124"/>
      <c r="N156" s="351" t="e">
        <f t="shared" si="4"/>
        <v>#REF!</v>
      </c>
      <c r="O156" s="124">
        <f t="shared" si="4"/>
        <v>0</v>
      </c>
      <c r="P156" s="124">
        <f t="shared" si="4"/>
        <v>0</v>
      </c>
      <c r="Q156" s="124"/>
      <c r="R156" s="124"/>
      <c r="S156" s="124">
        <f t="shared" si="5"/>
        <v>0</v>
      </c>
      <c r="T156" s="353" t="e">
        <f>#REF!</f>
        <v>#REF!</v>
      </c>
      <c r="U156" s="353" t="e">
        <f>#REF!</f>
        <v>#REF!</v>
      </c>
      <c r="V156" s="353" t="e">
        <f>#REF!</f>
        <v>#REF!</v>
      </c>
      <c r="W156" s="124"/>
      <c r="X156" s="124"/>
      <c r="Y156" s="124"/>
      <c r="Z156" s="124"/>
      <c r="AA156" s="351" t="e">
        <f>#REF!</f>
        <v>#REF!</v>
      </c>
      <c r="AB156" s="124"/>
      <c r="AC156" s="124"/>
      <c r="AD156" s="124"/>
      <c r="AE156" s="124" t="e">
        <f>#REF!</f>
        <v>#REF!</v>
      </c>
      <c r="AF156" s="124" t="e">
        <f>#REF!</f>
        <v>#REF!</v>
      </c>
      <c r="AG156" s="124" t="e">
        <f>#REF!</f>
        <v>#REF!</v>
      </c>
      <c r="AH156" s="124" t="e">
        <f>#REF!</f>
        <v>#REF!</v>
      </c>
      <c r="AI156" s="124" t="e">
        <f>#REF!</f>
        <v>#REF!</v>
      </c>
      <c r="AJ156" s="124" t="e">
        <f>#REF!</f>
        <v>#REF!</v>
      </c>
      <c r="AK156" s="124" t="e">
        <f>#REF!</f>
        <v>#REF!</v>
      </c>
      <c r="AL156" s="124" t="e">
        <f>#REF!</f>
        <v>#REF!</v>
      </c>
      <c r="AM156" s="124" t="e">
        <f>#REF!</f>
        <v>#REF!</v>
      </c>
      <c r="AN156" s="124" t="e">
        <f>#REF!</f>
        <v>#REF!</v>
      </c>
      <c r="AO156" s="124" t="e">
        <f>#REF!</f>
        <v>#REF!</v>
      </c>
      <c r="AP156" s="124" t="e">
        <f>#REF!</f>
        <v>#REF!</v>
      </c>
    </row>
    <row r="157" spans="1:42" x14ac:dyDescent="0.25">
      <c r="A157" s="351" t="e">
        <f>#REF!</f>
        <v>#REF!</v>
      </c>
      <c r="B157" s="351" t="e">
        <f>#REF!</f>
        <v>#REF!</v>
      </c>
      <c r="C157" s="351" t="e">
        <f>#REF!</f>
        <v>#REF!</v>
      </c>
      <c r="D157" s="351" t="e">
        <f>#REF!</f>
        <v>#REF!</v>
      </c>
      <c r="E157" s="351" t="e">
        <f>#REF!</f>
        <v>#REF!</v>
      </c>
      <c r="F157" s="351" t="e">
        <f>#REF!</f>
        <v>#REF!</v>
      </c>
      <c r="G157" s="351" t="e">
        <f>#REF!</f>
        <v>#REF!</v>
      </c>
      <c r="H157" s="351" t="e">
        <f>#REF!</f>
        <v>#REF!</v>
      </c>
      <c r="I157" s="124"/>
      <c r="J157" s="124"/>
      <c r="K157" s="124"/>
      <c r="L157" s="124"/>
      <c r="M157" s="124"/>
      <c r="N157" s="351" t="e">
        <f t="shared" si="4"/>
        <v>#REF!</v>
      </c>
      <c r="O157" s="124">
        <f t="shared" si="4"/>
        <v>0</v>
      </c>
      <c r="P157" s="124">
        <f t="shared" si="4"/>
        <v>0</v>
      </c>
      <c r="Q157" s="124"/>
      <c r="R157" s="124"/>
      <c r="S157" s="124">
        <f t="shared" si="5"/>
        <v>0</v>
      </c>
      <c r="T157" s="353" t="e">
        <f>#REF!</f>
        <v>#REF!</v>
      </c>
      <c r="U157" s="353" t="e">
        <f>#REF!</f>
        <v>#REF!</v>
      </c>
      <c r="V157" s="353" t="e">
        <f>#REF!</f>
        <v>#REF!</v>
      </c>
      <c r="W157" s="124"/>
      <c r="X157" s="124"/>
      <c r="Y157" s="124"/>
      <c r="Z157" s="124"/>
      <c r="AA157" s="351" t="e">
        <f>#REF!</f>
        <v>#REF!</v>
      </c>
      <c r="AB157" s="124"/>
      <c r="AC157" s="124"/>
      <c r="AD157" s="124"/>
      <c r="AE157" s="124" t="e">
        <f>#REF!</f>
        <v>#REF!</v>
      </c>
      <c r="AF157" s="124" t="e">
        <f>#REF!</f>
        <v>#REF!</v>
      </c>
      <c r="AG157" s="124" t="e">
        <f>#REF!</f>
        <v>#REF!</v>
      </c>
      <c r="AH157" s="124" t="e">
        <f>#REF!</f>
        <v>#REF!</v>
      </c>
      <c r="AI157" s="124" t="e">
        <f>#REF!</f>
        <v>#REF!</v>
      </c>
      <c r="AJ157" s="124" t="e">
        <f>#REF!</f>
        <v>#REF!</v>
      </c>
      <c r="AK157" s="124" t="e">
        <f>#REF!</f>
        <v>#REF!</v>
      </c>
      <c r="AL157" s="124" t="e">
        <f>#REF!</f>
        <v>#REF!</v>
      </c>
      <c r="AM157" s="124" t="e">
        <f>#REF!</f>
        <v>#REF!</v>
      </c>
      <c r="AN157" s="124" t="e">
        <f>#REF!</f>
        <v>#REF!</v>
      </c>
      <c r="AO157" s="124" t="e">
        <f>#REF!</f>
        <v>#REF!</v>
      </c>
      <c r="AP157" s="124" t="e">
        <f>#REF!</f>
        <v>#REF!</v>
      </c>
    </row>
    <row r="158" spans="1:42" x14ac:dyDescent="0.25">
      <c r="A158" s="351" t="e">
        <f>#REF!</f>
        <v>#REF!</v>
      </c>
      <c r="B158" s="351" t="e">
        <f>#REF!</f>
        <v>#REF!</v>
      </c>
      <c r="C158" s="351" t="e">
        <f>#REF!</f>
        <v>#REF!</v>
      </c>
      <c r="D158" s="351" t="e">
        <f>#REF!</f>
        <v>#REF!</v>
      </c>
      <c r="E158" s="351" t="e">
        <f>#REF!</f>
        <v>#REF!</v>
      </c>
      <c r="F158" s="351" t="e">
        <f>#REF!</f>
        <v>#REF!</v>
      </c>
      <c r="G158" s="351" t="e">
        <f>#REF!</f>
        <v>#REF!</v>
      </c>
      <c r="H158" s="351" t="e">
        <f>#REF!</f>
        <v>#REF!</v>
      </c>
      <c r="I158" s="124"/>
      <c r="J158" s="124"/>
      <c r="K158" s="124"/>
      <c r="L158" s="124"/>
      <c r="M158" s="124"/>
      <c r="N158" s="351" t="e">
        <f t="shared" si="4"/>
        <v>#REF!</v>
      </c>
      <c r="O158" s="124">
        <f t="shared" si="4"/>
        <v>0</v>
      </c>
      <c r="P158" s="124">
        <f t="shared" si="4"/>
        <v>0</v>
      </c>
      <c r="Q158" s="124"/>
      <c r="R158" s="124"/>
      <c r="S158" s="124">
        <f t="shared" si="5"/>
        <v>0</v>
      </c>
      <c r="T158" s="353" t="e">
        <f>#REF!</f>
        <v>#REF!</v>
      </c>
      <c r="U158" s="353" t="e">
        <f>#REF!</f>
        <v>#REF!</v>
      </c>
      <c r="V158" s="353" t="e">
        <f>#REF!</f>
        <v>#REF!</v>
      </c>
      <c r="W158" s="124"/>
      <c r="X158" s="124"/>
      <c r="Y158" s="124"/>
      <c r="Z158" s="124"/>
      <c r="AA158" s="351" t="e">
        <f>#REF!</f>
        <v>#REF!</v>
      </c>
      <c r="AB158" s="124"/>
      <c r="AC158" s="124"/>
      <c r="AD158" s="124"/>
      <c r="AE158" s="124" t="e">
        <f>#REF!</f>
        <v>#REF!</v>
      </c>
      <c r="AF158" s="124" t="e">
        <f>#REF!</f>
        <v>#REF!</v>
      </c>
      <c r="AG158" s="124" t="e">
        <f>#REF!</f>
        <v>#REF!</v>
      </c>
      <c r="AH158" s="124" t="e">
        <f>#REF!</f>
        <v>#REF!</v>
      </c>
      <c r="AI158" s="124" t="e">
        <f>#REF!</f>
        <v>#REF!</v>
      </c>
      <c r="AJ158" s="124" t="e">
        <f>#REF!</f>
        <v>#REF!</v>
      </c>
      <c r="AK158" s="124" t="e">
        <f>#REF!</f>
        <v>#REF!</v>
      </c>
      <c r="AL158" s="124" t="e">
        <f>#REF!</f>
        <v>#REF!</v>
      </c>
      <c r="AM158" s="124" t="e">
        <f>#REF!</f>
        <v>#REF!</v>
      </c>
      <c r="AN158" s="124" t="e">
        <f>#REF!</f>
        <v>#REF!</v>
      </c>
      <c r="AO158" s="124" t="e">
        <f>#REF!</f>
        <v>#REF!</v>
      </c>
      <c r="AP158" s="124" t="e">
        <f>#REF!</f>
        <v>#REF!</v>
      </c>
    </row>
    <row r="159" spans="1:42" x14ac:dyDescent="0.25">
      <c r="A159" s="351" t="e">
        <f>#REF!</f>
        <v>#REF!</v>
      </c>
      <c r="B159" s="351" t="e">
        <f>#REF!</f>
        <v>#REF!</v>
      </c>
      <c r="C159" s="351" t="e">
        <f>#REF!</f>
        <v>#REF!</v>
      </c>
      <c r="D159" s="351" t="e">
        <f>#REF!</f>
        <v>#REF!</v>
      </c>
      <c r="E159" s="351" t="e">
        <f>#REF!</f>
        <v>#REF!</v>
      </c>
      <c r="F159" s="351" t="e">
        <f>#REF!</f>
        <v>#REF!</v>
      </c>
      <c r="G159" s="351" t="e">
        <f>#REF!</f>
        <v>#REF!</v>
      </c>
      <c r="H159" s="351" t="e">
        <f>#REF!</f>
        <v>#REF!</v>
      </c>
      <c r="I159" s="124"/>
      <c r="J159" s="124"/>
      <c r="K159" s="124"/>
      <c r="L159" s="124"/>
      <c r="M159" s="124"/>
      <c r="N159" s="351" t="e">
        <f t="shared" si="4"/>
        <v>#REF!</v>
      </c>
      <c r="O159" s="124">
        <f t="shared" si="4"/>
        <v>0</v>
      </c>
      <c r="P159" s="124">
        <f t="shared" si="4"/>
        <v>0</v>
      </c>
      <c r="Q159" s="124"/>
      <c r="R159" s="124"/>
      <c r="S159" s="124">
        <f t="shared" si="5"/>
        <v>0</v>
      </c>
      <c r="T159" s="353" t="e">
        <f>#REF!</f>
        <v>#REF!</v>
      </c>
      <c r="U159" s="353" t="e">
        <f>#REF!</f>
        <v>#REF!</v>
      </c>
      <c r="V159" s="353" t="e">
        <f>#REF!</f>
        <v>#REF!</v>
      </c>
      <c r="W159" s="124"/>
      <c r="X159" s="124"/>
      <c r="Y159" s="124"/>
      <c r="Z159" s="124"/>
      <c r="AA159" s="351" t="e">
        <f>#REF!</f>
        <v>#REF!</v>
      </c>
      <c r="AB159" s="124"/>
      <c r="AC159" s="124"/>
      <c r="AD159" s="124"/>
      <c r="AE159" s="124" t="e">
        <f>#REF!</f>
        <v>#REF!</v>
      </c>
      <c r="AF159" s="124" t="e">
        <f>#REF!</f>
        <v>#REF!</v>
      </c>
      <c r="AG159" s="124" t="e">
        <f>#REF!</f>
        <v>#REF!</v>
      </c>
      <c r="AH159" s="124" t="e">
        <f>#REF!</f>
        <v>#REF!</v>
      </c>
      <c r="AI159" s="124" t="e">
        <f>#REF!</f>
        <v>#REF!</v>
      </c>
      <c r="AJ159" s="124" t="e">
        <f>#REF!</f>
        <v>#REF!</v>
      </c>
      <c r="AK159" s="124" t="e">
        <f>#REF!</f>
        <v>#REF!</v>
      </c>
      <c r="AL159" s="124" t="e">
        <f>#REF!</f>
        <v>#REF!</v>
      </c>
      <c r="AM159" s="124" t="e">
        <f>#REF!</f>
        <v>#REF!</v>
      </c>
      <c r="AN159" s="124" t="e">
        <f>#REF!</f>
        <v>#REF!</v>
      </c>
      <c r="AO159" s="124" t="e">
        <f>#REF!</f>
        <v>#REF!</v>
      </c>
      <c r="AP159" s="124" t="e">
        <f>#REF!</f>
        <v>#REF!</v>
      </c>
    </row>
    <row r="160" spans="1:42" x14ac:dyDescent="0.25">
      <c r="A160" s="351" t="e">
        <f>#REF!</f>
        <v>#REF!</v>
      </c>
      <c r="B160" s="351" t="e">
        <f>#REF!</f>
        <v>#REF!</v>
      </c>
      <c r="C160" s="351" t="e">
        <f>#REF!</f>
        <v>#REF!</v>
      </c>
      <c r="D160" s="351" t="e">
        <f>#REF!</f>
        <v>#REF!</v>
      </c>
      <c r="E160" s="351" t="e">
        <f>#REF!</f>
        <v>#REF!</v>
      </c>
      <c r="F160" s="351" t="e">
        <f>#REF!</f>
        <v>#REF!</v>
      </c>
      <c r="G160" s="351" t="e">
        <f>#REF!</f>
        <v>#REF!</v>
      </c>
      <c r="H160" s="351" t="e">
        <f>#REF!</f>
        <v>#REF!</v>
      </c>
      <c r="I160" s="124"/>
      <c r="J160" s="124"/>
      <c r="K160" s="124"/>
      <c r="L160" s="124"/>
      <c r="M160" s="124"/>
      <c r="N160" s="351" t="e">
        <f t="shared" si="4"/>
        <v>#REF!</v>
      </c>
      <c r="O160" s="124">
        <f t="shared" si="4"/>
        <v>0</v>
      </c>
      <c r="P160" s="124">
        <f t="shared" si="4"/>
        <v>0</v>
      </c>
      <c r="Q160" s="124"/>
      <c r="R160" s="124"/>
      <c r="S160" s="124">
        <f t="shared" si="5"/>
        <v>0</v>
      </c>
      <c r="T160" s="353" t="e">
        <f>#REF!</f>
        <v>#REF!</v>
      </c>
      <c r="U160" s="353" t="e">
        <f>#REF!</f>
        <v>#REF!</v>
      </c>
      <c r="V160" s="353" t="e">
        <f>#REF!</f>
        <v>#REF!</v>
      </c>
      <c r="W160" s="124"/>
      <c r="X160" s="124"/>
      <c r="Y160" s="124"/>
      <c r="Z160" s="124"/>
      <c r="AA160" s="351" t="e">
        <f>#REF!</f>
        <v>#REF!</v>
      </c>
      <c r="AB160" s="124"/>
      <c r="AC160" s="124"/>
      <c r="AD160" s="124"/>
      <c r="AE160" s="124" t="e">
        <f>#REF!</f>
        <v>#REF!</v>
      </c>
      <c r="AF160" s="124" t="e">
        <f>#REF!</f>
        <v>#REF!</v>
      </c>
      <c r="AG160" s="124" t="e">
        <f>#REF!</f>
        <v>#REF!</v>
      </c>
      <c r="AH160" s="124" t="e">
        <f>#REF!</f>
        <v>#REF!</v>
      </c>
      <c r="AI160" s="124" t="e">
        <f>#REF!</f>
        <v>#REF!</v>
      </c>
      <c r="AJ160" s="124" t="e">
        <f>#REF!</f>
        <v>#REF!</v>
      </c>
      <c r="AK160" s="124" t="e">
        <f>#REF!</f>
        <v>#REF!</v>
      </c>
      <c r="AL160" s="124" t="e">
        <f>#REF!</f>
        <v>#REF!</v>
      </c>
      <c r="AM160" s="124" t="e">
        <f>#REF!</f>
        <v>#REF!</v>
      </c>
      <c r="AN160" s="124" t="e">
        <f>#REF!</f>
        <v>#REF!</v>
      </c>
      <c r="AO160" s="124" t="e">
        <f>#REF!</f>
        <v>#REF!</v>
      </c>
      <c r="AP160" s="124" t="e">
        <f>#REF!</f>
        <v>#REF!</v>
      </c>
    </row>
    <row r="161" spans="1:42" x14ac:dyDescent="0.25">
      <c r="A161" s="351" t="e">
        <f>#REF!</f>
        <v>#REF!</v>
      </c>
      <c r="B161" s="351" t="e">
        <f>#REF!</f>
        <v>#REF!</v>
      </c>
      <c r="C161" s="351" t="e">
        <f>#REF!</f>
        <v>#REF!</v>
      </c>
      <c r="D161" s="351" t="e">
        <f>#REF!</f>
        <v>#REF!</v>
      </c>
      <c r="E161" s="351" t="e">
        <f>#REF!</f>
        <v>#REF!</v>
      </c>
      <c r="F161" s="351" t="e">
        <f>#REF!</f>
        <v>#REF!</v>
      </c>
      <c r="G161" s="351" t="e">
        <f>#REF!</f>
        <v>#REF!</v>
      </c>
      <c r="H161" s="351" t="e">
        <f>#REF!</f>
        <v>#REF!</v>
      </c>
      <c r="I161" s="124"/>
      <c r="J161" s="124"/>
      <c r="K161" s="124"/>
      <c r="L161" s="124"/>
      <c r="M161" s="124"/>
      <c r="N161" s="351" t="e">
        <f t="shared" si="4"/>
        <v>#REF!</v>
      </c>
      <c r="O161" s="124">
        <f t="shared" si="4"/>
        <v>0</v>
      </c>
      <c r="P161" s="124">
        <f t="shared" si="4"/>
        <v>0</v>
      </c>
      <c r="Q161" s="124"/>
      <c r="R161" s="124"/>
      <c r="S161" s="124">
        <f t="shared" si="5"/>
        <v>0</v>
      </c>
      <c r="T161" s="353" t="e">
        <f>#REF!</f>
        <v>#REF!</v>
      </c>
      <c r="U161" s="353" t="e">
        <f>#REF!</f>
        <v>#REF!</v>
      </c>
      <c r="V161" s="353" t="e">
        <f>#REF!</f>
        <v>#REF!</v>
      </c>
      <c r="W161" s="124"/>
      <c r="X161" s="124"/>
      <c r="Y161" s="124"/>
      <c r="Z161" s="124"/>
      <c r="AA161" s="351" t="e">
        <f>#REF!</f>
        <v>#REF!</v>
      </c>
      <c r="AB161" s="124"/>
      <c r="AC161" s="124"/>
      <c r="AD161" s="124"/>
      <c r="AE161" s="124" t="e">
        <f>#REF!</f>
        <v>#REF!</v>
      </c>
      <c r="AF161" s="124" t="e">
        <f>#REF!</f>
        <v>#REF!</v>
      </c>
      <c r="AG161" s="124" t="e">
        <f>#REF!</f>
        <v>#REF!</v>
      </c>
      <c r="AH161" s="124" t="e">
        <f>#REF!</f>
        <v>#REF!</v>
      </c>
      <c r="AI161" s="124" t="e">
        <f>#REF!</f>
        <v>#REF!</v>
      </c>
      <c r="AJ161" s="124" t="e">
        <f>#REF!</f>
        <v>#REF!</v>
      </c>
      <c r="AK161" s="124" t="e">
        <f>#REF!</f>
        <v>#REF!</v>
      </c>
      <c r="AL161" s="124" t="e">
        <f>#REF!</f>
        <v>#REF!</v>
      </c>
      <c r="AM161" s="124" t="e">
        <f>#REF!</f>
        <v>#REF!</v>
      </c>
      <c r="AN161" s="124" t="e">
        <f>#REF!</f>
        <v>#REF!</v>
      </c>
      <c r="AO161" s="124" t="e">
        <f>#REF!</f>
        <v>#REF!</v>
      </c>
      <c r="AP161" s="124" t="e">
        <f>#REF!</f>
        <v>#REF!</v>
      </c>
    </row>
    <row r="162" spans="1:42" x14ac:dyDescent="0.25">
      <c r="A162" s="351" t="e">
        <f>#REF!</f>
        <v>#REF!</v>
      </c>
      <c r="B162" s="351" t="e">
        <f>#REF!</f>
        <v>#REF!</v>
      </c>
      <c r="C162" s="351" t="e">
        <f>#REF!</f>
        <v>#REF!</v>
      </c>
      <c r="D162" s="351" t="e">
        <f>#REF!</f>
        <v>#REF!</v>
      </c>
      <c r="E162" s="351" t="e">
        <f>#REF!</f>
        <v>#REF!</v>
      </c>
      <c r="F162" s="351" t="e">
        <f>#REF!</f>
        <v>#REF!</v>
      </c>
      <c r="G162" s="351" t="e">
        <f>#REF!</f>
        <v>#REF!</v>
      </c>
      <c r="H162" s="351" t="e">
        <f>#REF!</f>
        <v>#REF!</v>
      </c>
      <c r="I162" s="124"/>
      <c r="J162" s="124"/>
      <c r="K162" s="124"/>
      <c r="L162" s="124"/>
      <c r="M162" s="124"/>
      <c r="N162" s="351" t="e">
        <f t="shared" si="4"/>
        <v>#REF!</v>
      </c>
      <c r="O162" s="124">
        <f t="shared" si="4"/>
        <v>0</v>
      </c>
      <c r="P162" s="124">
        <f t="shared" si="4"/>
        <v>0</v>
      </c>
      <c r="Q162" s="124"/>
      <c r="R162" s="124"/>
      <c r="S162" s="124">
        <f t="shared" si="5"/>
        <v>0</v>
      </c>
      <c r="T162" s="353" t="e">
        <f>#REF!</f>
        <v>#REF!</v>
      </c>
      <c r="U162" s="353" t="e">
        <f>#REF!</f>
        <v>#REF!</v>
      </c>
      <c r="V162" s="353" t="e">
        <f>#REF!</f>
        <v>#REF!</v>
      </c>
      <c r="W162" s="124"/>
      <c r="X162" s="124"/>
      <c r="Y162" s="124"/>
      <c r="Z162" s="124"/>
      <c r="AA162" s="351" t="e">
        <f>#REF!</f>
        <v>#REF!</v>
      </c>
      <c r="AB162" s="124"/>
      <c r="AC162" s="124"/>
      <c r="AD162" s="124"/>
      <c r="AE162" s="124" t="e">
        <f>#REF!</f>
        <v>#REF!</v>
      </c>
      <c r="AF162" s="124" t="e">
        <f>#REF!</f>
        <v>#REF!</v>
      </c>
      <c r="AG162" s="124" t="e">
        <f>#REF!</f>
        <v>#REF!</v>
      </c>
      <c r="AH162" s="124" t="e">
        <f>#REF!</f>
        <v>#REF!</v>
      </c>
      <c r="AI162" s="124" t="e">
        <f>#REF!</f>
        <v>#REF!</v>
      </c>
      <c r="AJ162" s="124" t="e">
        <f>#REF!</f>
        <v>#REF!</v>
      </c>
      <c r="AK162" s="124" t="e">
        <f>#REF!</f>
        <v>#REF!</v>
      </c>
      <c r="AL162" s="124" t="e">
        <f>#REF!</f>
        <v>#REF!</v>
      </c>
      <c r="AM162" s="124" t="e">
        <f>#REF!</f>
        <v>#REF!</v>
      </c>
      <c r="AN162" s="124" t="e">
        <f>#REF!</f>
        <v>#REF!</v>
      </c>
      <c r="AO162" s="124" t="e">
        <f>#REF!</f>
        <v>#REF!</v>
      </c>
      <c r="AP162" s="124" t="e">
        <f>#REF!</f>
        <v>#REF!</v>
      </c>
    </row>
    <row r="163" spans="1:42" x14ac:dyDescent="0.25">
      <c r="A163" s="351" t="e">
        <f>#REF!</f>
        <v>#REF!</v>
      </c>
      <c r="B163" s="351" t="e">
        <f>#REF!</f>
        <v>#REF!</v>
      </c>
      <c r="C163" s="351" t="e">
        <f>#REF!</f>
        <v>#REF!</v>
      </c>
      <c r="D163" s="351" t="e">
        <f>#REF!</f>
        <v>#REF!</v>
      </c>
      <c r="E163" s="351" t="e">
        <f>#REF!</f>
        <v>#REF!</v>
      </c>
      <c r="F163" s="351" t="e">
        <f>#REF!</f>
        <v>#REF!</v>
      </c>
      <c r="G163" s="351" t="e">
        <f>#REF!</f>
        <v>#REF!</v>
      </c>
      <c r="H163" s="351" t="e">
        <f>#REF!</f>
        <v>#REF!</v>
      </c>
      <c r="I163" s="124"/>
      <c r="J163" s="124"/>
      <c r="K163" s="124"/>
      <c r="L163" s="124"/>
      <c r="M163" s="124"/>
      <c r="N163" s="351" t="e">
        <f t="shared" ref="N163:P226" si="6">H163+K163</f>
        <v>#REF!</v>
      </c>
      <c r="O163" s="124">
        <f t="shared" si="6"/>
        <v>0</v>
      </c>
      <c r="P163" s="124">
        <f t="shared" si="6"/>
        <v>0</v>
      </c>
      <c r="Q163" s="124"/>
      <c r="R163" s="124"/>
      <c r="S163" s="124">
        <f t="shared" si="5"/>
        <v>0</v>
      </c>
      <c r="T163" s="353" t="e">
        <f>#REF!</f>
        <v>#REF!</v>
      </c>
      <c r="U163" s="353" t="e">
        <f>#REF!</f>
        <v>#REF!</v>
      </c>
      <c r="V163" s="353" t="e">
        <f>#REF!</f>
        <v>#REF!</v>
      </c>
      <c r="W163" s="124"/>
      <c r="X163" s="124"/>
      <c r="Y163" s="124"/>
      <c r="Z163" s="124"/>
      <c r="AA163" s="351" t="e">
        <f>#REF!</f>
        <v>#REF!</v>
      </c>
      <c r="AB163" s="124"/>
      <c r="AC163" s="124"/>
      <c r="AD163" s="124"/>
      <c r="AE163" s="124" t="e">
        <f>#REF!</f>
        <v>#REF!</v>
      </c>
      <c r="AF163" s="124" t="e">
        <f>#REF!</f>
        <v>#REF!</v>
      </c>
      <c r="AG163" s="124" t="e">
        <f>#REF!</f>
        <v>#REF!</v>
      </c>
      <c r="AH163" s="124" t="e">
        <f>#REF!</f>
        <v>#REF!</v>
      </c>
      <c r="AI163" s="124" t="e">
        <f>#REF!</f>
        <v>#REF!</v>
      </c>
      <c r="AJ163" s="124" t="e">
        <f>#REF!</f>
        <v>#REF!</v>
      </c>
      <c r="AK163" s="124" t="e">
        <f>#REF!</f>
        <v>#REF!</v>
      </c>
      <c r="AL163" s="124" t="e">
        <f>#REF!</f>
        <v>#REF!</v>
      </c>
      <c r="AM163" s="124" t="e">
        <f>#REF!</f>
        <v>#REF!</v>
      </c>
      <c r="AN163" s="124" t="e">
        <f>#REF!</f>
        <v>#REF!</v>
      </c>
      <c r="AO163" s="124" t="e">
        <f>#REF!</f>
        <v>#REF!</v>
      </c>
      <c r="AP163" s="124" t="e">
        <f>#REF!</f>
        <v>#REF!</v>
      </c>
    </row>
    <row r="164" spans="1:42" x14ac:dyDescent="0.25">
      <c r="A164" s="351" t="e">
        <f>#REF!</f>
        <v>#REF!</v>
      </c>
      <c r="B164" s="351" t="e">
        <f>#REF!</f>
        <v>#REF!</v>
      </c>
      <c r="C164" s="351" t="e">
        <f>#REF!</f>
        <v>#REF!</v>
      </c>
      <c r="D164" s="351" t="e">
        <f>#REF!</f>
        <v>#REF!</v>
      </c>
      <c r="E164" s="351" t="e">
        <f>#REF!</f>
        <v>#REF!</v>
      </c>
      <c r="F164" s="351" t="e">
        <f>#REF!</f>
        <v>#REF!</v>
      </c>
      <c r="G164" s="351" t="e">
        <f>#REF!</f>
        <v>#REF!</v>
      </c>
      <c r="H164" s="351" t="e">
        <f>#REF!</f>
        <v>#REF!</v>
      </c>
      <c r="I164" s="124"/>
      <c r="J164" s="124"/>
      <c r="K164" s="124"/>
      <c r="L164" s="124"/>
      <c r="M164" s="124"/>
      <c r="N164" s="351" t="e">
        <f t="shared" si="6"/>
        <v>#REF!</v>
      </c>
      <c r="O164" s="124">
        <f t="shared" si="6"/>
        <v>0</v>
      </c>
      <c r="P164" s="124">
        <f t="shared" si="6"/>
        <v>0</v>
      </c>
      <c r="Q164" s="124"/>
      <c r="R164" s="124"/>
      <c r="S164" s="124">
        <f t="shared" si="5"/>
        <v>0</v>
      </c>
      <c r="T164" s="353" t="e">
        <f>#REF!</f>
        <v>#REF!</v>
      </c>
      <c r="U164" s="353" t="e">
        <f>#REF!</f>
        <v>#REF!</v>
      </c>
      <c r="V164" s="353" t="e">
        <f>#REF!</f>
        <v>#REF!</v>
      </c>
      <c r="W164" s="124"/>
      <c r="X164" s="124"/>
      <c r="Y164" s="124"/>
      <c r="Z164" s="124"/>
      <c r="AA164" s="351" t="e">
        <f>#REF!</f>
        <v>#REF!</v>
      </c>
      <c r="AB164" s="124"/>
      <c r="AC164" s="124"/>
      <c r="AD164" s="124"/>
      <c r="AE164" s="124" t="e">
        <f>#REF!</f>
        <v>#REF!</v>
      </c>
      <c r="AF164" s="124" t="e">
        <f>#REF!</f>
        <v>#REF!</v>
      </c>
      <c r="AG164" s="124" t="e">
        <f>#REF!</f>
        <v>#REF!</v>
      </c>
      <c r="AH164" s="124" t="e">
        <f>#REF!</f>
        <v>#REF!</v>
      </c>
      <c r="AI164" s="124" t="e">
        <f>#REF!</f>
        <v>#REF!</v>
      </c>
      <c r="AJ164" s="124" t="e">
        <f>#REF!</f>
        <v>#REF!</v>
      </c>
      <c r="AK164" s="124" t="e">
        <f>#REF!</f>
        <v>#REF!</v>
      </c>
      <c r="AL164" s="124" t="e">
        <f>#REF!</f>
        <v>#REF!</v>
      </c>
      <c r="AM164" s="124" t="e">
        <f>#REF!</f>
        <v>#REF!</v>
      </c>
      <c r="AN164" s="124" t="e">
        <f>#REF!</f>
        <v>#REF!</v>
      </c>
      <c r="AO164" s="124" t="e">
        <f>#REF!</f>
        <v>#REF!</v>
      </c>
      <c r="AP164" s="124" t="e">
        <f>#REF!</f>
        <v>#REF!</v>
      </c>
    </row>
    <row r="165" spans="1:42" x14ac:dyDescent="0.25">
      <c r="A165" s="351" t="e">
        <f>#REF!</f>
        <v>#REF!</v>
      </c>
      <c r="B165" s="351" t="e">
        <f>#REF!</f>
        <v>#REF!</v>
      </c>
      <c r="C165" s="351" t="e">
        <f>#REF!</f>
        <v>#REF!</v>
      </c>
      <c r="D165" s="351" t="e">
        <f>#REF!</f>
        <v>#REF!</v>
      </c>
      <c r="E165" s="351" t="e">
        <f>#REF!</f>
        <v>#REF!</v>
      </c>
      <c r="F165" s="351" t="e">
        <f>#REF!</f>
        <v>#REF!</v>
      </c>
      <c r="G165" s="351" t="e">
        <f>#REF!</f>
        <v>#REF!</v>
      </c>
      <c r="H165" s="351" t="e">
        <f>#REF!</f>
        <v>#REF!</v>
      </c>
      <c r="I165" s="124"/>
      <c r="J165" s="124"/>
      <c r="K165" s="124"/>
      <c r="L165" s="124"/>
      <c r="M165" s="124"/>
      <c r="N165" s="351" t="e">
        <f t="shared" si="6"/>
        <v>#REF!</v>
      </c>
      <c r="O165" s="124">
        <f t="shared" si="6"/>
        <v>0</v>
      </c>
      <c r="P165" s="124">
        <f t="shared" si="6"/>
        <v>0</v>
      </c>
      <c r="Q165" s="124"/>
      <c r="R165" s="124"/>
      <c r="S165" s="124">
        <f t="shared" si="5"/>
        <v>0</v>
      </c>
      <c r="T165" s="353" t="e">
        <f>#REF!</f>
        <v>#REF!</v>
      </c>
      <c r="U165" s="353" t="e">
        <f>#REF!</f>
        <v>#REF!</v>
      </c>
      <c r="V165" s="353" t="e">
        <f>#REF!</f>
        <v>#REF!</v>
      </c>
      <c r="W165" s="124"/>
      <c r="X165" s="124"/>
      <c r="Y165" s="124"/>
      <c r="Z165" s="124"/>
      <c r="AA165" s="351" t="e">
        <f>#REF!</f>
        <v>#REF!</v>
      </c>
      <c r="AB165" s="124"/>
      <c r="AC165" s="124"/>
      <c r="AD165" s="124"/>
      <c r="AE165" s="124" t="e">
        <f>#REF!</f>
        <v>#REF!</v>
      </c>
      <c r="AF165" s="124" t="e">
        <f>#REF!</f>
        <v>#REF!</v>
      </c>
      <c r="AG165" s="124" t="e">
        <f>#REF!</f>
        <v>#REF!</v>
      </c>
      <c r="AH165" s="124" t="e">
        <f>#REF!</f>
        <v>#REF!</v>
      </c>
      <c r="AI165" s="124" t="e">
        <f>#REF!</f>
        <v>#REF!</v>
      </c>
      <c r="AJ165" s="124" t="e">
        <f>#REF!</f>
        <v>#REF!</v>
      </c>
      <c r="AK165" s="124" t="e">
        <f>#REF!</f>
        <v>#REF!</v>
      </c>
      <c r="AL165" s="124" t="e">
        <f>#REF!</f>
        <v>#REF!</v>
      </c>
      <c r="AM165" s="124" t="e">
        <f>#REF!</f>
        <v>#REF!</v>
      </c>
      <c r="AN165" s="124" t="e">
        <f>#REF!</f>
        <v>#REF!</v>
      </c>
      <c r="AO165" s="124" t="e">
        <f>#REF!</f>
        <v>#REF!</v>
      </c>
      <c r="AP165" s="124" t="e">
        <f>#REF!</f>
        <v>#REF!</v>
      </c>
    </row>
    <row r="166" spans="1:42" x14ac:dyDescent="0.25">
      <c r="A166" s="351" t="e">
        <f>#REF!</f>
        <v>#REF!</v>
      </c>
      <c r="B166" s="351" t="e">
        <f>#REF!</f>
        <v>#REF!</v>
      </c>
      <c r="C166" s="351" t="e">
        <f>#REF!</f>
        <v>#REF!</v>
      </c>
      <c r="D166" s="351" t="e">
        <f>#REF!</f>
        <v>#REF!</v>
      </c>
      <c r="E166" s="351" t="e">
        <f>#REF!</f>
        <v>#REF!</v>
      </c>
      <c r="F166" s="351" t="e">
        <f>#REF!</f>
        <v>#REF!</v>
      </c>
      <c r="G166" s="351" t="e">
        <f>#REF!</f>
        <v>#REF!</v>
      </c>
      <c r="H166" s="351" t="e">
        <f>#REF!</f>
        <v>#REF!</v>
      </c>
      <c r="I166" s="124"/>
      <c r="J166" s="124"/>
      <c r="K166" s="124"/>
      <c r="L166" s="124"/>
      <c r="M166" s="124"/>
      <c r="N166" s="351" t="e">
        <f t="shared" si="6"/>
        <v>#REF!</v>
      </c>
      <c r="O166" s="124">
        <f t="shared" si="6"/>
        <v>0</v>
      </c>
      <c r="P166" s="124">
        <f t="shared" si="6"/>
        <v>0</v>
      </c>
      <c r="Q166" s="124"/>
      <c r="R166" s="124"/>
      <c r="S166" s="124">
        <f t="shared" si="5"/>
        <v>0</v>
      </c>
      <c r="T166" s="353" t="e">
        <f>#REF!</f>
        <v>#REF!</v>
      </c>
      <c r="U166" s="353" t="e">
        <f>#REF!</f>
        <v>#REF!</v>
      </c>
      <c r="V166" s="353" t="e">
        <f>#REF!</f>
        <v>#REF!</v>
      </c>
      <c r="W166" s="124"/>
      <c r="X166" s="124"/>
      <c r="Y166" s="124"/>
      <c r="Z166" s="124"/>
      <c r="AA166" s="351" t="e">
        <f>#REF!</f>
        <v>#REF!</v>
      </c>
      <c r="AB166" s="124"/>
      <c r="AC166" s="124"/>
      <c r="AD166" s="124"/>
      <c r="AE166" s="124" t="e">
        <f>#REF!</f>
        <v>#REF!</v>
      </c>
      <c r="AF166" s="124" t="e">
        <f>#REF!</f>
        <v>#REF!</v>
      </c>
      <c r="AG166" s="124" t="e">
        <f>#REF!</f>
        <v>#REF!</v>
      </c>
      <c r="AH166" s="124" t="e">
        <f>#REF!</f>
        <v>#REF!</v>
      </c>
      <c r="AI166" s="124" t="e">
        <f>#REF!</f>
        <v>#REF!</v>
      </c>
      <c r="AJ166" s="124" t="e">
        <f>#REF!</f>
        <v>#REF!</v>
      </c>
      <c r="AK166" s="124" t="e">
        <f>#REF!</f>
        <v>#REF!</v>
      </c>
      <c r="AL166" s="124" t="e">
        <f>#REF!</f>
        <v>#REF!</v>
      </c>
      <c r="AM166" s="124" t="e">
        <f>#REF!</f>
        <v>#REF!</v>
      </c>
      <c r="AN166" s="124" t="e">
        <f>#REF!</f>
        <v>#REF!</v>
      </c>
      <c r="AO166" s="124" t="e">
        <f>#REF!</f>
        <v>#REF!</v>
      </c>
      <c r="AP166" s="124" t="e">
        <f>#REF!</f>
        <v>#REF!</v>
      </c>
    </row>
    <row r="167" spans="1:42" x14ac:dyDescent="0.25">
      <c r="A167" s="351" t="e">
        <f>#REF!</f>
        <v>#REF!</v>
      </c>
      <c r="B167" s="351" t="e">
        <f>#REF!</f>
        <v>#REF!</v>
      </c>
      <c r="C167" s="351" t="e">
        <f>#REF!</f>
        <v>#REF!</v>
      </c>
      <c r="D167" s="351" t="e">
        <f>#REF!</f>
        <v>#REF!</v>
      </c>
      <c r="E167" s="351" t="e">
        <f>#REF!</f>
        <v>#REF!</v>
      </c>
      <c r="F167" s="351" t="e">
        <f>#REF!</f>
        <v>#REF!</v>
      </c>
      <c r="G167" s="351" t="e">
        <f>#REF!</f>
        <v>#REF!</v>
      </c>
      <c r="H167" s="351" t="e">
        <f>#REF!</f>
        <v>#REF!</v>
      </c>
      <c r="I167" s="124"/>
      <c r="J167" s="124"/>
      <c r="K167" s="124"/>
      <c r="L167" s="124"/>
      <c r="M167" s="124"/>
      <c r="N167" s="351" t="e">
        <f t="shared" si="6"/>
        <v>#REF!</v>
      </c>
      <c r="O167" s="124">
        <f t="shared" si="6"/>
        <v>0</v>
      </c>
      <c r="P167" s="124">
        <f t="shared" si="6"/>
        <v>0</v>
      </c>
      <c r="Q167" s="124"/>
      <c r="R167" s="124"/>
      <c r="S167" s="124">
        <f t="shared" si="5"/>
        <v>0</v>
      </c>
      <c r="T167" s="353" t="e">
        <f>#REF!</f>
        <v>#REF!</v>
      </c>
      <c r="U167" s="353" t="e">
        <f>#REF!</f>
        <v>#REF!</v>
      </c>
      <c r="V167" s="353" t="e">
        <f>#REF!</f>
        <v>#REF!</v>
      </c>
      <c r="W167" s="124"/>
      <c r="X167" s="124"/>
      <c r="Y167" s="124"/>
      <c r="Z167" s="124"/>
      <c r="AA167" s="351" t="e">
        <f>#REF!</f>
        <v>#REF!</v>
      </c>
      <c r="AB167" s="124"/>
      <c r="AC167" s="124"/>
      <c r="AD167" s="124"/>
      <c r="AE167" s="124" t="e">
        <f>#REF!</f>
        <v>#REF!</v>
      </c>
      <c r="AF167" s="124" t="e">
        <f>#REF!</f>
        <v>#REF!</v>
      </c>
      <c r="AG167" s="124" t="e">
        <f>#REF!</f>
        <v>#REF!</v>
      </c>
      <c r="AH167" s="124" t="e">
        <f>#REF!</f>
        <v>#REF!</v>
      </c>
      <c r="AI167" s="124" t="e">
        <f>#REF!</f>
        <v>#REF!</v>
      </c>
      <c r="AJ167" s="124" t="e">
        <f>#REF!</f>
        <v>#REF!</v>
      </c>
      <c r="AK167" s="124" t="e">
        <f>#REF!</f>
        <v>#REF!</v>
      </c>
      <c r="AL167" s="124" t="e">
        <f>#REF!</f>
        <v>#REF!</v>
      </c>
      <c r="AM167" s="124" t="e">
        <f>#REF!</f>
        <v>#REF!</v>
      </c>
      <c r="AN167" s="124" t="e">
        <f>#REF!</f>
        <v>#REF!</v>
      </c>
      <c r="AO167" s="124" t="e">
        <f>#REF!</f>
        <v>#REF!</v>
      </c>
      <c r="AP167" s="124" t="e">
        <f>#REF!</f>
        <v>#REF!</v>
      </c>
    </row>
    <row r="168" spans="1:42" x14ac:dyDescent="0.25">
      <c r="A168" s="351" t="e">
        <f>#REF!</f>
        <v>#REF!</v>
      </c>
      <c r="B168" s="351" t="e">
        <f>#REF!</f>
        <v>#REF!</v>
      </c>
      <c r="C168" s="351" t="e">
        <f>#REF!</f>
        <v>#REF!</v>
      </c>
      <c r="D168" s="351" t="e">
        <f>#REF!</f>
        <v>#REF!</v>
      </c>
      <c r="E168" s="351" t="e">
        <f>#REF!</f>
        <v>#REF!</v>
      </c>
      <c r="F168" s="351" t="e">
        <f>#REF!</f>
        <v>#REF!</v>
      </c>
      <c r="G168" s="351" t="e">
        <f>#REF!</f>
        <v>#REF!</v>
      </c>
      <c r="H168" s="351" t="e">
        <f>#REF!</f>
        <v>#REF!</v>
      </c>
      <c r="I168" s="124"/>
      <c r="J168" s="124"/>
      <c r="K168" s="124"/>
      <c r="L168" s="124"/>
      <c r="M168" s="124"/>
      <c r="N168" s="351" t="e">
        <f t="shared" si="6"/>
        <v>#REF!</v>
      </c>
      <c r="O168" s="124">
        <f t="shared" si="6"/>
        <v>0</v>
      </c>
      <c r="P168" s="124">
        <f t="shared" si="6"/>
        <v>0</v>
      </c>
      <c r="Q168" s="124"/>
      <c r="R168" s="124"/>
      <c r="S168" s="124">
        <f t="shared" si="5"/>
        <v>0</v>
      </c>
      <c r="T168" s="353" t="e">
        <f>#REF!</f>
        <v>#REF!</v>
      </c>
      <c r="U168" s="353" t="e">
        <f>#REF!</f>
        <v>#REF!</v>
      </c>
      <c r="V168" s="353" t="e">
        <f>#REF!</f>
        <v>#REF!</v>
      </c>
      <c r="W168" s="124"/>
      <c r="X168" s="124"/>
      <c r="Y168" s="124"/>
      <c r="Z168" s="124"/>
      <c r="AA168" s="351" t="e">
        <f>#REF!</f>
        <v>#REF!</v>
      </c>
      <c r="AB168" s="124"/>
      <c r="AC168" s="124"/>
      <c r="AD168" s="124"/>
      <c r="AE168" s="124" t="e">
        <f>#REF!</f>
        <v>#REF!</v>
      </c>
      <c r="AF168" s="124" t="e">
        <f>#REF!</f>
        <v>#REF!</v>
      </c>
      <c r="AG168" s="124" t="e">
        <f>#REF!</f>
        <v>#REF!</v>
      </c>
      <c r="AH168" s="124" t="e">
        <f>#REF!</f>
        <v>#REF!</v>
      </c>
      <c r="AI168" s="124" t="e">
        <f>#REF!</f>
        <v>#REF!</v>
      </c>
      <c r="AJ168" s="124" t="e">
        <f>#REF!</f>
        <v>#REF!</v>
      </c>
      <c r="AK168" s="124" t="e">
        <f>#REF!</f>
        <v>#REF!</v>
      </c>
      <c r="AL168" s="124" t="e">
        <f>#REF!</f>
        <v>#REF!</v>
      </c>
      <c r="AM168" s="124" t="e">
        <f>#REF!</f>
        <v>#REF!</v>
      </c>
      <c r="AN168" s="124" t="e">
        <f>#REF!</f>
        <v>#REF!</v>
      </c>
      <c r="AO168" s="124" t="e">
        <f>#REF!</f>
        <v>#REF!</v>
      </c>
      <c r="AP168" s="124" t="e">
        <f>#REF!</f>
        <v>#REF!</v>
      </c>
    </row>
    <row r="169" spans="1:42" x14ac:dyDescent="0.25">
      <c r="A169" s="351" t="e">
        <f>#REF!</f>
        <v>#REF!</v>
      </c>
      <c r="B169" s="351" t="e">
        <f>#REF!</f>
        <v>#REF!</v>
      </c>
      <c r="C169" s="351" t="e">
        <f>#REF!</f>
        <v>#REF!</v>
      </c>
      <c r="D169" s="351" t="e">
        <f>#REF!</f>
        <v>#REF!</v>
      </c>
      <c r="E169" s="351" t="e">
        <f>#REF!</f>
        <v>#REF!</v>
      </c>
      <c r="F169" s="351" t="e">
        <f>#REF!</f>
        <v>#REF!</v>
      </c>
      <c r="G169" s="351" t="e">
        <f>#REF!</f>
        <v>#REF!</v>
      </c>
      <c r="H169" s="351" t="e">
        <f>#REF!</f>
        <v>#REF!</v>
      </c>
      <c r="I169" s="124"/>
      <c r="J169" s="124"/>
      <c r="K169" s="124"/>
      <c r="L169" s="124"/>
      <c r="M169" s="124"/>
      <c r="N169" s="351" t="e">
        <f t="shared" si="6"/>
        <v>#REF!</v>
      </c>
      <c r="O169" s="124">
        <f t="shared" si="6"/>
        <v>0</v>
      </c>
      <c r="P169" s="124">
        <f t="shared" si="6"/>
        <v>0</v>
      </c>
      <c r="Q169" s="124"/>
      <c r="R169" s="124"/>
      <c r="S169" s="124">
        <f t="shared" si="5"/>
        <v>0</v>
      </c>
      <c r="T169" s="353" t="e">
        <f>#REF!</f>
        <v>#REF!</v>
      </c>
      <c r="U169" s="353" t="e">
        <f>#REF!</f>
        <v>#REF!</v>
      </c>
      <c r="V169" s="353" t="e">
        <f>#REF!</f>
        <v>#REF!</v>
      </c>
      <c r="W169" s="124"/>
      <c r="X169" s="124"/>
      <c r="Y169" s="124"/>
      <c r="Z169" s="124"/>
      <c r="AA169" s="351" t="e">
        <f>#REF!</f>
        <v>#REF!</v>
      </c>
      <c r="AB169" s="124"/>
      <c r="AC169" s="124"/>
      <c r="AD169" s="124"/>
      <c r="AE169" s="124" t="e">
        <f>#REF!</f>
        <v>#REF!</v>
      </c>
      <c r="AF169" s="124" t="e">
        <f>#REF!</f>
        <v>#REF!</v>
      </c>
      <c r="AG169" s="124" t="e">
        <f>#REF!</f>
        <v>#REF!</v>
      </c>
      <c r="AH169" s="124" t="e">
        <f>#REF!</f>
        <v>#REF!</v>
      </c>
      <c r="AI169" s="124" t="e">
        <f>#REF!</f>
        <v>#REF!</v>
      </c>
      <c r="AJ169" s="124" t="e">
        <f>#REF!</f>
        <v>#REF!</v>
      </c>
      <c r="AK169" s="124" t="e">
        <f>#REF!</f>
        <v>#REF!</v>
      </c>
      <c r="AL169" s="124" t="e">
        <f>#REF!</f>
        <v>#REF!</v>
      </c>
      <c r="AM169" s="124" t="e">
        <f>#REF!</f>
        <v>#REF!</v>
      </c>
      <c r="AN169" s="124" t="e">
        <f>#REF!</f>
        <v>#REF!</v>
      </c>
      <c r="AO169" s="124" t="e">
        <f>#REF!</f>
        <v>#REF!</v>
      </c>
      <c r="AP169" s="124" t="e">
        <f>#REF!</f>
        <v>#REF!</v>
      </c>
    </row>
    <row r="170" spans="1:42" x14ac:dyDescent="0.25">
      <c r="A170" s="351" t="e">
        <f>#REF!</f>
        <v>#REF!</v>
      </c>
      <c r="B170" s="351" t="e">
        <f>#REF!</f>
        <v>#REF!</v>
      </c>
      <c r="C170" s="351" t="e">
        <f>#REF!</f>
        <v>#REF!</v>
      </c>
      <c r="D170" s="351" t="e">
        <f>#REF!</f>
        <v>#REF!</v>
      </c>
      <c r="E170" s="351" t="e">
        <f>#REF!</f>
        <v>#REF!</v>
      </c>
      <c r="F170" s="351" t="e">
        <f>#REF!</f>
        <v>#REF!</v>
      </c>
      <c r="G170" s="351" t="e">
        <f>#REF!</f>
        <v>#REF!</v>
      </c>
      <c r="H170" s="351" t="e">
        <f>#REF!</f>
        <v>#REF!</v>
      </c>
      <c r="I170" s="124"/>
      <c r="J170" s="124"/>
      <c r="K170" s="124"/>
      <c r="L170" s="124"/>
      <c r="M170" s="124"/>
      <c r="N170" s="351" t="e">
        <f t="shared" si="6"/>
        <v>#REF!</v>
      </c>
      <c r="O170" s="124">
        <f t="shared" si="6"/>
        <v>0</v>
      </c>
      <c r="P170" s="124">
        <f t="shared" si="6"/>
        <v>0</v>
      </c>
      <c r="Q170" s="124"/>
      <c r="R170" s="124"/>
      <c r="S170" s="124">
        <f t="shared" si="5"/>
        <v>0</v>
      </c>
      <c r="T170" s="353" t="e">
        <f>#REF!</f>
        <v>#REF!</v>
      </c>
      <c r="U170" s="353" t="e">
        <f>#REF!</f>
        <v>#REF!</v>
      </c>
      <c r="V170" s="353" t="e">
        <f>#REF!</f>
        <v>#REF!</v>
      </c>
      <c r="W170" s="124"/>
      <c r="X170" s="124"/>
      <c r="Y170" s="124"/>
      <c r="Z170" s="124"/>
      <c r="AA170" s="351" t="e">
        <f>#REF!</f>
        <v>#REF!</v>
      </c>
      <c r="AB170" s="124"/>
      <c r="AC170" s="124"/>
      <c r="AD170" s="124"/>
      <c r="AE170" s="124" t="e">
        <f>#REF!</f>
        <v>#REF!</v>
      </c>
      <c r="AF170" s="124" t="e">
        <f>#REF!</f>
        <v>#REF!</v>
      </c>
      <c r="AG170" s="124" t="e">
        <f>#REF!</f>
        <v>#REF!</v>
      </c>
      <c r="AH170" s="124" t="e">
        <f>#REF!</f>
        <v>#REF!</v>
      </c>
      <c r="AI170" s="124" t="e">
        <f>#REF!</f>
        <v>#REF!</v>
      </c>
      <c r="AJ170" s="124" t="e">
        <f>#REF!</f>
        <v>#REF!</v>
      </c>
      <c r="AK170" s="124" t="e">
        <f>#REF!</f>
        <v>#REF!</v>
      </c>
      <c r="AL170" s="124" t="e">
        <f>#REF!</f>
        <v>#REF!</v>
      </c>
      <c r="AM170" s="124" t="e">
        <f>#REF!</f>
        <v>#REF!</v>
      </c>
      <c r="AN170" s="124" t="e">
        <f>#REF!</f>
        <v>#REF!</v>
      </c>
      <c r="AO170" s="124" t="e">
        <f>#REF!</f>
        <v>#REF!</v>
      </c>
      <c r="AP170" s="124" t="e">
        <f>#REF!</f>
        <v>#REF!</v>
      </c>
    </row>
    <row r="171" spans="1:42" x14ac:dyDescent="0.25">
      <c r="A171" s="351" t="e">
        <f>#REF!</f>
        <v>#REF!</v>
      </c>
      <c r="B171" s="351" t="e">
        <f>#REF!</f>
        <v>#REF!</v>
      </c>
      <c r="C171" s="351" t="e">
        <f>#REF!</f>
        <v>#REF!</v>
      </c>
      <c r="D171" s="351" t="e">
        <f>#REF!</f>
        <v>#REF!</v>
      </c>
      <c r="E171" s="351" t="e">
        <f>#REF!</f>
        <v>#REF!</v>
      </c>
      <c r="F171" s="351" t="e">
        <f>#REF!</f>
        <v>#REF!</v>
      </c>
      <c r="G171" s="351" t="e">
        <f>#REF!</f>
        <v>#REF!</v>
      </c>
      <c r="H171" s="351" t="e">
        <f>#REF!</f>
        <v>#REF!</v>
      </c>
      <c r="I171" s="124"/>
      <c r="J171" s="124"/>
      <c r="K171" s="124"/>
      <c r="L171" s="124"/>
      <c r="M171" s="124"/>
      <c r="N171" s="351" t="e">
        <f t="shared" si="6"/>
        <v>#REF!</v>
      </c>
      <c r="O171" s="124">
        <f t="shared" si="6"/>
        <v>0</v>
      </c>
      <c r="P171" s="124">
        <f t="shared" si="6"/>
        <v>0</v>
      </c>
      <c r="Q171" s="124"/>
      <c r="R171" s="124"/>
      <c r="S171" s="124">
        <f t="shared" si="5"/>
        <v>0</v>
      </c>
      <c r="T171" s="353" t="e">
        <f>#REF!</f>
        <v>#REF!</v>
      </c>
      <c r="U171" s="353" t="e">
        <f>#REF!</f>
        <v>#REF!</v>
      </c>
      <c r="V171" s="353" t="e">
        <f>#REF!</f>
        <v>#REF!</v>
      </c>
      <c r="W171" s="124"/>
      <c r="X171" s="124"/>
      <c r="Y171" s="124"/>
      <c r="Z171" s="124"/>
      <c r="AA171" s="351" t="e">
        <f>#REF!</f>
        <v>#REF!</v>
      </c>
      <c r="AB171" s="124"/>
      <c r="AC171" s="124"/>
      <c r="AD171" s="124"/>
      <c r="AE171" s="124" t="e">
        <f>#REF!</f>
        <v>#REF!</v>
      </c>
      <c r="AF171" s="124" t="e">
        <f>#REF!</f>
        <v>#REF!</v>
      </c>
      <c r="AG171" s="124" t="e">
        <f>#REF!</f>
        <v>#REF!</v>
      </c>
      <c r="AH171" s="124" t="e">
        <f>#REF!</f>
        <v>#REF!</v>
      </c>
      <c r="AI171" s="124" t="e">
        <f>#REF!</f>
        <v>#REF!</v>
      </c>
      <c r="AJ171" s="124" t="e">
        <f>#REF!</f>
        <v>#REF!</v>
      </c>
      <c r="AK171" s="124" t="e">
        <f>#REF!</f>
        <v>#REF!</v>
      </c>
      <c r="AL171" s="124" t="e">
        <f>#REF!</f>
        <v>#REF!</v>
      </c>
      <c r="AM171" s="124" t="e">
        <f>#REF!</f>
        <v>#REF!</v>
      </c>
      <c r="AN171" s="124" t="e">
        <f>#REF!</f>
        <v>#REF!</v>
      </c>
      <c r="AO171" s="124" t="e">
        <f>#REF!</f>
        <v>#REF!</v>
      </c>
      <c r="AP171" s="124" t="e">
        <f>#REF!</f>
        <v>#REF!</v>
      </c>
    </row>
    <row r="172" spans="1:42" x14ac:dyDescent="0.25">
      <c r="A172" s="351" t="e">
        <f>#REF!</f>
        <v>#REF!</v>
      </c>
      <c r="B172" s="351" t="e">
        <f>#REF!</f>
        <v>#REF!</v>
      </c>
      <c r="C172" s="351" t="e">
        <f>#REF!</f>
        <v>#REF!</v>
      </c>
      <c r="D172" s="351" t="e">
        <f>#REF!</f>
        <v>#REF!</v>
      </c>
      <c r="E172" s="351" t="e">
        <f>#REF!</f>
        <v>#REF!</v>
      </c>
      <c r="F172" s="351" t="e">
        <f>#REF!</f>
        <v>#REF!</v>
      </c>
      <c r="G172" s="351" t="e">
        <f>#REF!</f>
        <v>#REF!</v>
      </c>
      <c r="H172" s="351" t="e">
        <f>#REF!</f>
        <v>#REF!</v>
      </c>
      <c r="I172" s="124"/>
      <c r="J172" s="124"/>
      <c r="K172" s="124"/>
      <c r="L172" s="124"/>
      <c r="M172" s="124"/>
      <c r="N172" s="351" t="e">
        <f t="shared" si="6"/>
        <v>#REF!</v>
      </c>
      <c r="O172" s="124">
        <f t="shared" si="6"/>
        <v>0</v>
      </c>
      <c r="P172" s="124">
        <f t="shared" si="6"/>
        <v>0</v>
      </c>
      <c r="Q172" s="124"/>
      <c r="R172" s="124"/>
      <c r="S172" s="124">
        <f t="shared" si="5"/>
        <v>0</v>
      </c>
      <c r="T172" s="353" t="e">
        <f>#REF!</f>
        <v>#REF!</v>
      </c>
      <c r="U172" s="353" t="e">
        <f>#REF!</f>
        <v>#REF!</v>
      </c>
      <c r="V172" s="353" t="e">
        <f>#REF!</f>
        <v>#REF!</v>
      </c>
      <c r="W172" s="124"/>
      <c r="X172" s="124"/>
      <c r="Y172" s="124"/>
      <c r="Z172" s="124"/>
      <c r="AA172" s="351" t="e">
        <f>#REF!</f>
        <v>#REF!</v>
      </c>
      <c r="AB172" s="124"/>
      <c r="AC172" s="124"/>
      <c r="AD172" s="124"/>
      <c r="AE172" s="124" t="e">
        <f>#REF!</f>
        <v>#REF!</v>
      </c>
      <c r="AF172" s="124" t="e">
        <f>#REF!</f>
        <v>#REF!</v>
      </c>
      <c r="AG172" s="124" t="e">
        <f>#REF!</f>
        <v>#REF!</v>
      </c>
      <c r="AH172" s="124" t="e">
        <f>#REF!</f>
        <v>#REF!</v>
      </c>
      <c r="AI172" s="124" t="e">
        <f>#REF!</f>
        <v>#REF!</v>
      </c>
      <c r="AJ172" s="124" t="e">
        <f>#REF!</f>
        <v>#REF!</v>
      </c>
      <c r="AK172" s="124" t="e">
        <f>#REF!</f>
        <v>#REF!</v>
      </c>
      <c r="AL172" s="124" t="e">
        <f>#REF!</f>
        <v>#REF!</v>
      </c>
      <c r="AM172" s="124" t="e">
        <f>#REF!</f>
        <v>#REF!</v>
      </c>
      <c r="AN172" s="124" t="e">
        <f>#REF!</f>
        <v>#REF!</v>
      </c>
      <c r="AO172" s="124" t="e">
        <f>#REF!</f>
        <v>#REF!</v>
      </c>
      <c r="AP172" s="124" t="e">
        <f>#REF!</f>
        <v>#REF!</v>
      </c>
    </row>
    <row r="173" spans="1:42" x14ac:dyDescent="0.25">
      <c r="A173" s="351" t="e">
        <f>#REF!</f>
        <v>#REF!</v>
      </c>
      <c r="B173" s="351" t="e">
        <f>#REF!</f>
        <v>#REF!</v>
      </c>
      <c r="C173" s="351" t="e">
        <f>#REF!</f>
        <v>#REF!</v>
      </c>
      <c r="D173" s="351" t="e">
        <f>#REF!</f>
        <v>#REF!</v>
      </c>
      <c r="E173" s="351" t="e">
        <f>#REF!</f>
        <v>#REF!</v>
      </c>
      <c r="F173" s="351" t="e">
        <f>#REF!</f>
        <v>#REF!</v>
      </c>
      <c r="G173" s="351" t="e">
        <f>#REF!</f>
        <v>#REF!</v>
      </c>
      <c r="H173" s="351" t="e">
        <f>#REF!</f>
        <v>#REF!</v>
      </c>
      <c r="I173" s="124"/>
      <c r="J173" s="124"/>
      <c r="K173" s="124"/>
      <c r="L173" s="124"/>
      <c r="M173" s="124"/>
      <c r="N173" s="351" t="e">
        <f t="shared" si="6"/>
        <v>#REF!</v>
      </c>
      <c r="O173" s="124">
        <f t="shared" si="6"/>
        <v>0</v>
      </c>
      <c r="P173" s="124">
        <f t="shared" si="6"/>
        <v>0</v>
      </c>
      <c r="Q173" s="124"/>
      <c r="R173" s="124"/>
      <c r="S173" s="124">
        <f t="shared" si="5"/>
        <v>0</v>
      </c>
      <c r="T173" s="353" t="e">
        <f>#REF!</f>
        <v>#REF!</v>
      </c>
      <c r="U173" s="353" t="e">
        <f>#REF!</f>
        <v>#REF!</v>
      </c>
      <c r="V173" s="353" t="e">
        <f>#REF!</f>
        <v>#REF!</v>
      </c>
      <c r="W173" s="124"/>
      <c r="X173" s="124"/>
      <c r="Y173" s="124"/>
      <c r="Z173" s="124"/>
      <c r="AA173" s="351" t="e">
        <f>#REF!</f>
        <v>#REF!</v>
      </c>
      <c r="AB173" s="124"/>
      <c r="AC173" s="124"/>
      <c r="AD173" s="124"/>
      <c r="AE173" s="124" t="e">
        <f>#REF!</f>
        <v>#REF!</v>
      </c>
      <c r="AF173" s="124" t="e">
        <f>#REF!</f>
        <v>#REF!</v>
      </c>
      <c r="AG173" s="124" t="e">
        <f>#REF!</f>
        <v>#REF!</v>
      </c>
      <c r="AH173" s="124" t="e">
        <f>#REF!</f>
        <v>#REF!</v>
      </c>
      <c r="AI173" s="124" t="e">
        <f>#REF!</f>
        <v>#REF!</v>
      </c>
      <c r="AJ173" s="124" t="e">
        <f>#REF!</f>
        <v>#REF!</v>
      </c>
      <c r="AK173" s="124" t="e">
        <f>#REF!</f>
        <v>#REF!</v>
      </c>
      <c r="AL173" s="124" t="e">
        <f>#REF!</f>
        <v>#REF!</v>
      </c>
      <c r="AM173" s="124" t="e">
        <f>#REF!</f>
        <v>#REF!</v>
      </c>
      <c r="AN173" s="124" t="e">
        <f>#REF!</f>
        <v>#REF!</v>
      </c>
      <c r="AO173" s="124" t="e">
        <f>#REF!</f>
        <v>#REF!</v>
      </c>
      <c r="AP173" s="124" t="e">
        <f>#REF!</f>
        <v>#REF!</v>
      </c>
    </row>
    <row r="174" spans="1:42" x14ac:dyDescent="0.25">
      <c r="A174" s="351" t="e">
        <f>#REF!</f>
        <v>#REF!</v>
      </c>
      <c r="B174" s="351" t="e">
        <f>#REF!</f>
        <v>#REF!</v>
      </c>
      <c r="C174" s="351" t="e">
        <f>#REF!</f>
        <v>#REF!</v>
      </c>
      <c r="D174" s="351" t="e">
        <f>#REF!</f>
        <v>#REF!</v>
      </c>
      <c r="E174" s="351" t="e">
        <f>#REF!</f>
        <v>#REF!</v>
      </c>
      <c r="F174" s="351" t="e">
        <f>#REF!</f>
        <v>#REF!</v>
      </c>
      <c r="G174" s="351" t="e">
        <f>#REF!</f>
        <v>#REF!</v>
      </c>
      <c r="H174" s="351" t="e">
        <f>#REF!</f>
        <v>#REF!</v>
      </c>
      <c r="I174" s="124"/>
      <c r="J174" s="124"/>
      <c r="K174" s="124"/>
      <c r="L174" s="124"/>
      <c r="M174" s="124"/>
      <c r="N174" s="351" t="e">
        <f t="shared" si="6"/>
        <v>#REF!</v>
      </c>
      <c r="O174" s="124">
        <f t="shared" si="6"/>
        <v>0</v>
      </c>
      <c r="P174" s="124">
        <f t="shared" si="6"/>
        <v>0</v>
      </c>
      <c r="Q174" s="124"/>
      <c r="R174" s="124"/>
      <c r="S174" s="124">
        <f t="shared" si="5"/>
        <v>0</v>
      </c>
      <c r="T174" s="353" t="e">
        <f>#REF!</f>
        <v>#REF!</v>
      </c>
      <c r="U174" s="353" t="e">
        <f>#REF!</f>
        <v>#REF!</v>
      </c>
      <c r="V174" s="353" t="e">
        <f>#REF!</f>
        <v>#REF!</v>
      </c>
      <c r="W174" s="124"/>
      <c r="X174" s="124"/>
      <c r="Y174" s="124"/>
      <c r="Z174" s="124"/>
      <c r="AA174" s="351" t="e">
        <f>#REF!</f>
        <v>#REF!</v>
      </c>
      <c r="AB174" s="124"/>
      <c r="AC174" s="124"/>
      <c r="AD174" s="124"/>
      <c r="AE174" s="124" t="e">
        <f>#REF!</f>
        <v>#REF!</v>
      </c>
      <c r="AF174" s="124" t="e">
        <f>#REF!</f>
        <v>#REF!</v>
      </c>
      <c r="AG174" s="124" t="e">
        <f>#REF!</f>
        <v>#REF!</v>
      </c>
      <c r="AH174" s="124" t="e">
        <f>#REF!</f>
        <v>#REF!</v>
      </c>
      <c r="AI174" s="124" t="e">
        <f>#REF!</f>
        <v>#REF!</v>
      </c>
      <c r="AJ174" s="124" t="e">
        <f>#REF!</f>
        <v>#REF!</v>
      </c>
      <c r="AK174" s="124" t="e">
        <f>#REF!</f>
        <v>#REF!</v>
      </c>
      <c r="AL174" s="124" t="e">
        <f>#REF!</f>
        <v>#REF!</v>
      </c>
      <c r="AM174" s="124" t="e">
        <f>#REF!</f>
        <v>#REF!</v>
      </c>
      <c r="AN174" s="124" t="e">
        <f>#REF!</f>
        <v>#REF!</v>
      </c>
      <c r="AO174" s="124" t="e">
        <f>#REF!</f>
        <v>#REF!</v>
      </c>
      <c r="AP174" s="124" t="e">
        <f>#REF!</f>
        <v>#REF!</v>
      </c>
    </row>
    <row r="175" spans="1:42" x14ac:dyDescent="0.25">
      <c r="A175" s="351" t="e">
        <f>#REF!</f>
        <v>#REF!</v>
      </c>
      <c r="B175" s="351" t="e">
        <f>#REF!</f>
        <v>#REF!</v>
      </c>
      <c r="C175" s="351" t="e">
        <f>#REF!</f>
        <v>#REF!</v>
      </c>
      <c r="D175" s="351" t="e">
        <f>#REF!</f>
        <v>#REF!</v>
      </c>
      <c r="E175" s="351" t="e">
        <f>#REF!</f>
        <v>#REF!</v>
      </c>
      <c r="F175" s="351" t="e">
        <f>#REF!</f>
        <v>#REF!</v>
      </c>
      <c r="G175" s="351" t="e">
        <f>#REF!</f>
        <v>#REF!</v>
      </c>
      <c r="H175" s="351" t="e">
        <f>#REF!</f>
        <v>#REF!</v>
      </c>
      <c r="I175" s="124"/>
      <c r="J175" s="124"/>
      <c r="K175" s="124"/>
      <c r="L175" s="124"/>
      <c r="M175" s="124"/>
      <c r="N175" s="351" t="e">
        <f t="shared" si="6"/>
        <v>#REF!</v>
      </c>
      <c r="O175" s="124">
        <f t="shared" si="6"/>
        <v>0</v>
      </c>
      <c r="P175" s="124">
        <f t="shared" si="6"/>
        <v>0</v>
      </c>
      <c r="Q175" s="124"/>
      <c r="R175" s="124"/>
      <c r="S175" s="124">
        <f t="shared" si="5"/>
        <v>0</v>
      </c>
      <c r="T175" s="353" t="e">
        <f>#REF!</f>
        <v>#REF!</v>
      </c>
      <c r="U175" s="353" t="e">
        <f>#REF!</f>
        <v>#REF!</v>
      </c>
      <c r="V175" s="353" t="e">
        <f>#REF!</f>
        <v>#REF!</v>
      </c>
      <c r="W175" s="124"/>
      <c r="X175" s="124"/>
      <c r="Y175" s="124"/>
      <c r="Z175" s="124"/>
      <c r="AA175" s="351" t="e">
        <f>#REF!</f>
        <v>#REF!</v>
      </c>
      <c r="AB175" s="124"/>
      <c r="AC175" s="124"/>
      <c r="AD175" s="124"/>
      <c r="AE175" s="124" t="e">
        <f>#REF!</f>
        <v>#REF!</v>
      </c>
      <c r="AF175" s="124" t="e">
        <f>#REF!</f>
        <v>#REF!</v>
      </c>
      <c r="AG175" s="124" t="e">
        <f>#REF!</f>
        <v>#REF!</v>
      </c>
      <c r="AH175" s="124" t="e">
        <f>#REF!</f>
        <v>#REF!</v>
      </c>
      <c r="AI175" s="124" t="e">
        <f>#REF!</f>
        <v>#REF!</v>
      </c>
      <c r="AJ175" s="124" t="e">
        <f>#REF!</f>
        <v>#REF!</v>
      </c>
      <c r="AK175" s="124" t="e">
        <f>#REF!</f>
        <v>#REF!</v>
      </c>
      <c r="AL175" s="124" t="e">
        <f>#REF!</f>
        <v>#REF!</v>
      </c>
      <c r="AM175" s="124" t="e">
        <f>#REF!</f>
        <v>#REF!</v>
      </c>
      <c r="AN175" s="124" t="e">
        <f>#REF!</f>
        <v>#REF!</v>
      </c>
      <c r="AO175" s="124" t="e">
        <f>#REF!</f>
        <v>#REF!</v>
      </c>
      <c r="AP175" s="124" t="e">
        <f>#REF!</f>
        <v>#REF!</v>
      </c>
    </row>
    <row r="176" spans="1:42" x14ac:dyDescent="0.25">
      <c r="A176" s="351" t="e">
        <f>#REF!</f>
        <v>#REF!</v>
      </c>
      <c r="B176" s="351" t="e">
        <f>#REF!</f>
        <v>#REF!</v>
      </c>
      <c r="C176" s="351" t="e">
        <f>#REF!</f>
        <v>#REF!</v>
      </c>
      <c r="D176" s="351" t="e">
        <f>#REF!</f>
        <v>#REF!</v>
      </c>
      <c r="E176" s="351" t="e">
        <f>#REF!</f>
        <v>#REF!</v>
      </c>
      <c r="F176" s="351" t="e">
        <f>#REF!</f>
        <v>#REF!</v>
      </c>
      <c r="G176" s="351" t="e">
        <f>#REF!</f>
        <v>#REF!</v>
      </c>
      <c r="H176" s="351" t="e">
        <f>#REF!</f>
        <v>#REF!</v>
      </c>
      <c r="I176" s="124"/>
      <c r="J176" s="124"/>
      <c r="K176" s="124"/>
      <c r="L176" s="124"/>
      <c r="M176" s="124"/>
      <c r="N176" s="351" t="e">
        <f t="shared" si="6"/>
        <v>#REF!</v>
      </c>
      <c r="O176" s="124">
        <f t="shared" si="6"/>
        <v>0</v>
      </c>
      <c r="P176" s="124">
        <f t="shared" si="6"/>
        <v>0</v>
      </c>
      <c r="Q176" s="124"/>
      <c r="R176" s="124"/>
      <c r="S176" s="124">
        <f t="shared" si="5"/>
        <v>0</v>
      </c>
      <c r="T176" s="353" t="e">
        <f>#REF!</f>
        <v>#REF!</v>
      </c>
      <c r="U176" s="353" t="e">
        <f>#REF!</f>
        <v>#REF!</v>
      </c>
      <c r="V176" s="353" t="e">
        <f>#REF!</f>
        <v>#REF!</v>
      </c>
      <c r="W176" s="124"/>
      <c r="X176" s="124"/>
      <c r="Y176" s="124"/>
      <c r="Z176" s="124"/>
      <c r="AA176" s="351" t="e">
        <f>#REF!</f>
        <v>#REF!</v>
      </c>
      <c r="AB176" s="124"/>
      <c r="AC176" s="124"/>
      <c r="AD176" s="124"/>
      <c r="AE176" s="124" t="e">
        <f>#REF!</f>
        <v>#REF!</v>
      </c>
      <c r="AF176" s="124" t="e">
        <f>#REF!</f>
        <v>#REF!</v>
      </c>
      <c r="AG176" s="124" t="e">
        <f>#REF!</f>
        <v>#REF!</v>
      </c>
      <c r="AH176" s="124" t="e">
        <f>#REF!</f>
        <v>#REF!</v>
      </c>
      <c r="AI176" s="124" t="e">
        <f>#REF!</f>
        <v>#REF!</v>
      </c>
      <c r="AJ176" s="124" t="e">
        <f>#REF!</f>
        <v>#REF!</v>
      </c>
      <c r="AK176" s="124" t="e">
        <f>#REF!</f>
        <v>#REF!</v>
      </c>
      <c r="AL176" s="124" t="e">
        <f>#REF!</f>
        <v>#REF!</v>
      </c>
      <c r="AM176" s="124" t="e">
        <f>#REF!</f>
        <v>#REF!</v>
      </c>
      <c r="AN176" s="124" t="e">
        <f>#REF!</f>
        <v>#REF!</v>
      </c>
      <c r="AO176" s="124" t="e">
        <f>#REF!</f>
        <v>#REF!</v>
      </c>
      <c r="AP176" s="124" t="e">
        <f>#REF!</f>
        <v>#REF!</v>
      </c>
    </row>
    <row r="177" spans="1:42" x14ac:dyDescent="0.25">
      <c r="A177" s="351" t="e">
        <f>#REF!</f>
        <v>#REF!</v>
      </c>
      <c r="B177" s="351" t="e">
        <f>#REF!</f>
        <v>#REF!</v>
      </c>
      <c r="C177" s="351" t="e">
        <f>#REF!</f>
        <v>#REF!</v>
      </c>
      <c r="D177" s="351" t="e">
        <f>#REF!</f>
        <v>#REF!</v>
      </c>
      <c r="E177" s="351" t="e">
        <f>#REF!</f>
        <v>#REF!</v>
      </c>
      <c r="F177" s="351" t="e">
        <f>#REF!</f>
        <v>#REF!</v>
      </c>
      <c r="G177" s="351" t="e">
        <f>#REF!</f>
        <v>#REF!</v>
      </c>
      <c r="H177" s="351" t="e">
        <f>#REF!</f>
        <v>#REF!</v>
      </c>
      <c r="I177" s="124"/>
      <c r="J177" s="124"/>
      <c r="K177" s="124"/>
      <c r="L177" s="124"/>
      <c r="M177" s="124"/>
      <c r="N177" s="351" t="e">
        <f t="shared" si="6"/>
        <v>#REF!</v>
      </c>
      <c r="O177" s="124">
        <f t="shared" si="6"/>
        <v>0</v>
      </c>
      <c r="P177" s="124">
        <f t="shared" si="6"/>
        <v>0</v>
      </c>
      <c r="Q177" s="124"/>
      <c r="R177" s="124"/>
      <c r="S177" s="124">
        <f t="shared" si="5"/>
        <v>0</v>
      </c>
      <c r="T177" s="353" t="e">
        <f>#REF!</f>
        <v>#REF!</v>
      </c>
      <c r="U177" s="353" t="e">
        <f>#REF!</f>
        <v>#REF!</v>
      </c>
      <c r="V177" s="353" t="e">
        <f>#REF!</f>
        <v>#REF!</v>
      </c>
      <c r="W177" s="124"/>
      <c r="X177" s="124"/>
      <c r="Y177" s="124"/>
      <c r="Z177" s="124"/>
      <c r="AA177" s="351" t="e">
        <f>#REF!</f>
        <v>#REF!</v>
      </c>
      <c r="AB177" s="124"/>
      <c r="AC177" s="124"/>
      <c r="AD177" s="124"/>
      <c r="AE177" s="124" t="e">
        <f>#REF!</f>
        <v>#REF!</v>
      </c>
      <c r="AF177" s="124" t="e">
        <f>#REF!</f>
        <v>#REF!</v>
      </c>
      <c r="AG177" s="124" t="e">
        <f>#REF!</f>
        <v>#REF!</v>
      </c>
      <c r="AH177" s="124" t="e">
        <f>#REF!</f>
        <v>#REF!</v>
      </c>
      <c r="AI177" s="124" t="e">
        <f>#REF!</f>
        <v>#REF!</v>
      </c>
      <c r="AJ177" s="124" t="e">
        <f>#REF!</f>
        <v>#REF!</v>
      </c>
      <c r="AK177" s="124" t="e">
        <f>#REF!</f>
        <v>#REF!</v>
      </c>
      <c r="AL177" s="124" t="e">
        <f>#REF!</f>
        <v>#REF!</v>
      </c>
      <c r="AM177" s="124" t="e">
        <f>#REF!</f>
        <v>#REF!</v>
      </c>
      <c r="AN177" s="124" t="e">
        <f>#REF!</f>
        <v>#REF!</v>
      </c>
      <c r="AO177" s="124" t="e">
        <f>#REF!</f>
        <v>#REF!</v>
      </c>
      <c r="AP177" s="124" t="e">
        <f>#REF!</f>
        <v>#REF!</v>
      </c>
    </row>
    <row r="178" spans="1:42" x14ac:dyDescent="0.25">
      <c r="A178" s="351" t="e">
        <f>#REF!</f>
        <v>#REF!</v>
      </c>
      <c r="B178" s="351" t="e">
        <f>#REF!</f>
        <v>#REF!</v>
      </c>
      <c r="C178" s="351" t="e">
        <f>#REF!</f>
        <v>#REF!</v>
      </c>
      <c r="D178" s="351" t="e">
        <f>#REF!</f>
        <v>#REF!</v>
      </c>
      <c r="E178" s="351" t="e">
        <f>#REF!</f>
        <v>#REF!</v>
      </c>
      <c r="F178" s="351" t="e">
        <f>#REF!</f>
        <v>#REF!</v>
      </c>
      <c r="G178" s="351" t="e">
        <f>#REF!</f>
        <v>#REF!</v>
      </c>
      <c r="H178" s="351" t="e">
        <f>#REF!</f>
        <v>#REF!</v>
      </c>
      <c r="I178" s="124"/>
      <c r="J178" s="124"/>
      <c r="K178" s="124"/>
      <c r="L178" s="124"/>
      <c r="M178" s="124"/>
      <c r="N178" s="351" t="e">
        <f t="shared" si="6"/>
        <v>#REF!</v>
      </c>
      <c r="O178" s="124">
        <f t="shared" si="6"/>
        <v>0</v>
      </c>
      <c r="P178" s="124">
        <f t="shared" si="6"/>
        <v>0</v>
      </c>
      <c r="Q178" s="124"/>
      <c r="R178" s="124"/>
      <c r="S178" s="124">
        <f t="shared" si="5"/>
        <v>0</v>
      </c>
      <c r="T178" s="353" t="e">
        <f>#REF!</f>
        <v>#REF!</v>
      </c>
      <c r="U178" s="353" t="e">
        <f>#REF!</f>
        <v>#REF!</v>
      </c>
      <c r="V178" s="353" t="e">
        <f>#REF!</f>
        <v>#REF!</v>
      </c>
      <c r="W178" s="124"/>
      <c r="X178" s="124"/>
      <c r="Y178" s="124"/>
      <c r="Z178" s="124"/>
      <c r="AA178" s="351" t="e">
        <f>#REF!</f>
        <v>#REF!</v>
      </c>
      <c r="AB178" s="124"/>
      <c r="AC178" s="124"/>
      <c r="AD178" s="124"/>
      <c r="AE178" s="124" t="e">
        <f>#REF!</f>
        <v>#REF!</v>
      </c>
      <c r="AF178" s="124" t="e">
        <f>#REF!</f>
        <v>#REF!</v>
      </c>
      <c r="AG178" s="124" t="e">
        <f>#REF!</f>
        <v>#REF!</v>
      </c>
      <c r="AH178" s="124" t="e">
        <f>#REF!</f>
        <v>#REF!</v>
      </c>
      <c r="AI178" s="124" t="e">
        <f>#REF!</f>
        <v>#REF!</v>
      </c>
      <c r="AJ178" s="124" t="e">
        <f>#REF!</f>
        <v>#REF!</v>
      </c>
      <c r="AK178" s="124" t="e">
        <f>#REF!</f>
        <v>#REF!</v>
      </c>
      <c r="AL178" s="124" t="e">
        <f>#REF!</f>
        <v>#REF!</v>
      </c>
      <c r="AM178" s="124" t="e">
        <f>#REF!</f>
        <v>#REF!</v>
      </c>
      <c r="AN178" s="124" t="e">
        <f>#REF!</f>
        <v>#REF!</v>
      </c>
      <c r="AO178" s="124" t="e">
        <f>#REF!</f>
        <v>#REF!</v>
      </c>
      <c r="AP178" s="124" t="e">
        <f>#REF!</f>
        <v>#REF!</v>
      </c>
    </row>
    <row r="179" spans="1:42" x14ac:dyDescent="0.25">
      <c r="A179" s="351" t="e">
        <f>#REF!</f>
        <v>#REF!</v>
      </c>
      <c r="B179" s="351" t="e">
        <f>#REF!</f>
        <v>#REF!</v>
      </c>
      <c r="C179" s="351" t="e">
        <f>#REF!</f>
        <v>#REF!</v>
      </c>
      <c r="D179" s="351" t="e">
        <f>#REF!</f>
        <v>#REF!</v>
      </c>
      <c r="E179" s="351" t="e">
        <f>#REF!</f>
        <v>#REF!</v>
      </c>
      <c r="F179" s="351" t="e">
        <f>#REF!</f>
        <v>#REF!</v>
      </c>
      <c r="G179" s="351" t="e">
        <f>#REF!</f>
        <v>#REF!</v>
      </c>
      <c r="H179" s="351" t="e">
        <f>#REF!</f>
        <v>#REF!</v>
      </c>
      <c r="I179" s="124"/>
      <c r="J179" s="124"/>
      <c r="K179" s="124"/>
      <c r="L179" s="124"/>
      <c r="M179" s="124"/>
      <c r="N179" s="351" t="e">
        <f t="shared" si="6"/>
        <v>#REF!</v>
      </c>
      <c r="O179" s="124">
        <f t="shared" si="6"/>
        <v>0</v>
      </c>
      <c r="P179" s="124">
        <f t="shared" si="6"/>
        <v>0</v>
      </c>
      <c r="Q179" s="124"/>
      <c r="R179" s="124"/>
      <c r="S179" s="124">
        <f t="shared" si="5"/>
        <v>0</v>
      </c>
      <c r="T179" s="353" t="e">
        <f>#REF!</f>
        <v>#REF!</v>
      </c>
      <c r="U179" s="353" t="e">
        <f>#REF!</f>
        <v>#REF!</v>
      </c>
      <c r="V179" s="353" t="e">
        <f>#REF!</f>
        <v>#REF!</v>
      </c>
      <c r="W179" s="124"/>
      <c r="X179" s="124"/>
      <c r="Y179" s="124"/>
      <c r="Z179" s="124"/>
      <c r="AA179" s="351" t="e">
        <f>#REF!</f>
        <v>#REF!</v>
      </c>
      <c r="AB179" s="124"/>
      <c r="AC179" s="124"/>
      <c r="AD179" s="124"/>
      <c r="AE179" s="124" t="e">
        <f>#REF!</f>
        <v>#REF!</v>
      </c>
      <c r="AF179" s="124" t="e">
        <f>#REF!</f>
        <v>#REF!</v>
      </c>
      <c r="AG179" s="124" t="e">
        <f>#REF!</f>
        <v>#REF!</v>
      </c>
      <c r="AH179" s="124" t="e">
        <f>#REF!</f>
        <v>#REF!</v>
      </c>
      <c r="AI179" s="124" t="e">
        <f>#REF!</f>
        <v>#REF!</v>
      </c>
      <c r="AJ179" s="124" t="e">
        <f>#REF!</f>
        <v>#REF!</v>
      </c>
      <c r="AK179" s="124" t="e">
        <f>#REF!</f>
        <v>#REF!</v>
      </c>
      <c r="AL179" s="124" t="e">
        <f>#REF!</f>
        <v>#REF!</v>
      </c>
      <c r="AM179" s="124" t="e">
        <f>#REF!</f>
        <v>#REF!</v>
      </c>
      <c r="AN179" s="124" t="e">
        <f>#REF!</f>
        <v>#REF!</v>
      </c>
      <c r="AO179" s="124" t="e">
        <f>#REF!</f>
        <v>#REF!</v>
      </c>
      <c r="AP179" s="124" t="e">
        <f>#REF!</f>
        <v>#REF!</v>
      </c>
    </row>
    <row r="180" spans="1:42" x14ac:dyDescent="0.25">
      <c r="A180" s="351" t="e">
        <f>#REF!</f>
        <v>#REF!</v>
      </c>
      <c r="B180" s="351" t="e">
        <f>#REF!</f>
        <v>#REF!</v>
      </c>
      <c r="C180" s="351" t="e">
        <f>#REF!</f>
        <v>#REF!</v>
      </c>
      <c r="D180" s="351" t="e">
        <f>#REF!</f>
        <v>#REF!</v>
      </c>
      <c r="E180" s="351" t="e">
        <f>#REF!</f>
        <v>#REF!</v>
      </c>
      <c r="F180" s="351" t="e">
        <f>#REF!</f>
        <v>#REF!</v>
      </c>
      <c r="G180" s="351" t="e">
        <f>#REF!</f>
        <v>#REF!</v>
      </c>
      <c r="H180" s="351" t="e">
        <f>#REF!</f>
        <v>#REF!</v>
      </c>
      <c r="I180" s="124"/>
      <c r="J180" s="124"/>
      <c r="K180" s="124"/>
      <c r="L180" s="124"/>
      <c r="M180" s="124"/>
      <c r="N180" s="351" t="e">
        <f t="shared" si="6"/>
        <v>#REF!</v>
      </c>
      <c r="O180" s="124">
        <f t="shared" si="6"/>
        <v>0</v>
      </c>
      <c r="P180" s="124">
        <f t="shared" si="6"/>
        <v>0</v>
      </c>
      <c r="Q180" s="124"/>
      <c r="R180" s="124"/>
      <c r="S180" s="124">
        <f t="shared" si="5"/>
        <v>0</v>
      </c>
      <c r="T180" s="353" t="e">
        <f>#REF!</f>
        <v>#REF!</v>
      </c>
      <c r="U180" s="353" t="e">
        <f>#REF!</f>
        <v>#REF!</v>
      </c>
      <c r="V180" s="353" t="e">
        <f>#REF!</f>
        <v>#REF!</v>
      </c>
      <c r="W180" s="124"/>
      <c r="X180" s="124"/>
      <c r="Y180" s="124"/>
      <c r="Z180" s="124"/>
      <c r="AA180" s="351" t="e">
        <f>#REF!</f>
        <v>#REF!</v>
      </c>
      <c r="AB180" s="124"/>
      <c r="AC180" s="124"/>
      <c r="AD180" s="124"/>
      <c r="AE180" s="124" t="e">
        <f>#REF!</f>
        <v>#REF!</v>
      </c>
      <c r="AF180" s="124" t="e">
        <f>#REF!</f>
        <v>#REF!</v>
      </c>
      <c r="AG180" s="124" t="e">
        <f>#REF!</f>
        <v>#REF!</v>
      </c>
      <c r="AH180" s="124" t="e">
        <f>#REF!</f>
        <v>#REF!</v>
      </c>
      <c r="AI180" s="124" t="e">
        <f>#REF!</f>
        <v>#REF!</v>
      </c>
      <c r="AJ180" s="124" t="e">
        <f>#REF!</f>
        <v>#REF!</v>
      </c>
      <c r="AK180" s="124" t="e">
        <f>#REF!</f>
        <v>#REF!</v>
      </c>
      <c r="AL180" s="124" t="e">
        <f>#REF!</f>
        <v>#REF!</v>
      </c>
      <c r="AM180" s="124" t="e">
        <f>#REF!</f>
        <v>#REF!</v>
      </c>
      <c r="AN180" s="124" t="e">
        <f>#REF!</f>
        <v>#REF!</v>
      </c>
      <c r="AO180" s="124" t="e">
        <f>#REF!</f>
        <v>#REF!</v>
      </c>
      <c r="AP180" s="124" t="e">
        <f>#REF!</f>
        <v>#REF!</v>
      </c>
    </row>
    <row r="181" spans="1:42" x14ac:dyDescent="0.25">
      <c r="A181" s="351" t="e">
        <f>#REF!</f>
        <v>#REF!</v>
      </c>
      <c r="B181" s="351" t="e">
        <f>#REF!</f>
        <v>#REF!</v>
      </c>
      <c r="C181" s="351" t="e">
        <f>#REF!</f>
        <v>#REF!</v>
      </c>
      <c r="D181" s="351" t="e">
        <f>#REF!</f>
        <v>#REF!</v>
      </c>
      <c r="E181" s="351" t="e">
        <f>#REF!</f>
        <v>#REF!</v>
      </c>
      <c r="F181" s="351" t="e">
        <f>#REF!</f>
        <v>#REF!</v>
      </c>
      <c r="G181" s="351" t="e">
        <f>#REF!</f>
        <v>#REF!</v>
      </c>
      <c r="H181" s="351" t="e">
        <f>#REF!</f>
        <v>#REF!</v>
      </c>
      <c r="I181" s="124"/>
      <c r="J181" s="124"/>
      <c r="K181" s="124"/>
      <c r="L181" s="124"/>
      <c r="M181" s="124"/>
      <c r="N181" s="351" t="e">
        <f t="shared" si="6"/>
        <v>#REF!</v>
      </c>
      <c r="O181" s="124">
        <f t="shared" si="6"/>
        <v>0</v>
      </c>
      <c r="P181" s="124">
        <f t="shared" si="6"/>
        <v>0</v>
      </c>
      <c r="Q181" s="124"/>
      <c r="R181" s="124"/>
      <c r="S181" s="124">
        <f t="shared" si="5"/>
        <v>0</v>
      </c>
      <c r="T181" s="353" t="e">
        <f>#REF!</f>
        <v>#REF!</v>
      </c>
      <c r="U181" s="353" t="e">
        <f>#REF!</f>
        <v>#REF!</v>
      </c>
      <c r="V181" s="353" t="e">
        <f>#REF!</f>
        <v>#REF!</v>
      </c>
      <c r="W181" s="124"/>
      <c r="X181" s="124"/>
      <c r="Y181" s="124"/>
      <c r="Z181" s="124"/>
      <c r="AA181" s="351" t="e">
        <f>#REF!</f>
        <v>#REF!</v>
      </c>
      <c r="AB181" s="124"/>
      <c r="AC181" s="124"/>
      <c r="AD181" s="124"/>
      <c r="AE181" s="124" t="e">
        <f>#REF!</f>
        <v>#REF!</v>
      </c>
      <c r="AF181" s="124" t="e">
        <f>#REF!</f>
        <v>#REF!</v>
      </c>
      <c r="AG181" s="124" t="e">
        <f>#REF!</f>
        <v>#REF!</v>
      </c>
      <c r="AH181" s="124" t="e">
        <f>#REF!</f>
        <v>#REF!</v>
      </c>
      <c r="AI181" s="124" t="e">
        <f>#REF!</f>
        <v>#REF!</v>
      </c>
      <c r="AJ181" s="124" t="e">
        <f>#REF!</f>
        <v>#REF!</v>
      </c>
      <c r="AK181" s="124" t="e">
        <f>#REF!</f>
        <v>#REF!</v>
      </c>
      <c r="AL181" s="124" t="e">
        <f>#REF!</f>
        <v>#REF!</v>
      </c>
      <c r="AM181" s="124" t="e">
        <f>#REF!</f>
        <v>#REF!</v>
      </c>
      <c r="AN181" s="124" t="e">
        <f>#REF!</f>
        <v>#REF!</v>
      </c>
      <c r="AO181" s="124" t="e">
        <f>#REF!</f>
        <v>#REF!</v>
      </c>
      <c r="AP181" s="124" t="e">
        <f>#REF!</f>
        <v>#REF!</v>
      </c>
    </row>
    <row r="182" spans="1:42" x14ac:dyDescent="0.25">
      <c r="A182" s="351" t="e">
        <f>#REF!</f>
        <v>#REF!</v>
      </c>
      <c r="B182" s="351" t="e">
        <f>#REF!</f>
        <v>#REF!</v>
      </c>
      <c r="C182" s="351" t="e">
        <f>#REF!</f>
        <v>#REF!</v>
      </c>
      <c r="D182" s="351" t="e">
        <f>#REF!</f>
        <v>#REF!</v>
      </c>
      <c r="E182" s="351" t="e">
        <f>#REF!</f>
        <v>#REF!</v>
      </c>
      <c r="F182" s="351" t="e">
        <f>#REF!</f>
        <v>#REF!</v>
      </c>
      <c r="G182" s="351" t="e">
        <f>#REF!</f>
        <v>#REF!</v>
      </c>
      <c r="H182" s="351" t="e">
        <f>#REF!</f>
        <v>#REF!</v>
      </c>
      <c r="I182" s="124"/>
      <c r="J182" s="124"/>
      <c r="K182" s="124"/>
      <c r="L182" s="124"/>
      <c r="M182" s="124"/>
      <c r="N182" s="351" t="e">
        <f t="shared" si="6"/>
        <v>#REF!</v>
      </c>
      <c r="O182" s="124">
        <f t="shared" si="6"/>
        <v>0</v>
      </c>
      <c r="P182" s="124">
        <f t="shared" si="6"/>
        <v>0</v>
      </c>
      <c r="Q182" s="124"/>
      <c r="R182" s="124"/>
      <c r="S182" s="124">
        <f t="shared" si="5"/>
        <v>0</v>
      </c>
      <c r="T182" s="353" t="e">
        <f>#REF!</f>
        <v>#REF!</v>
      </c>
      <c r="U182" s="353" t="e">
        <f>#REF!</f>
        <v>#REF!</v>
      </c>
      <c r="V182" s="353" t="e">
        <f>#REF!</f>
        <v>#REF!</v>
      </c>
      <c r="W182" s="124"/>
      <c r="X182" s="124"/>
      <c r="Y182" s="124"/>
      <c r="Z182" s="124"/>
      <c r="AA182" s="351" t="e">
        <f>#REF!</f>
        <v>#REF!</v>
      </c>
      <c r="AB182" s="124"/>
      <c r="AC182" s="124"/>
      <c r="AD182" s="124"/>
      <c r="AE182" s="124" t="e">
        <f>#REF!</f>
        <v>#REF!</v>
      </c>
      <c r="AF182" s="124" t="e">
        <f>#REF!</f>
        <v>#REF!</v>
      </c>
      <c r="AG182" s="124" t="e">
        <f>#REF!</f>
        <v>#REF!</v>
      </c>
      <c r="AH182" s="124" t="e">
        <f>#REF!</f>
        <v>#REF!</v>
      </c>
      <c r="AI182" s="124" t="e">
        <f>#REF!</f>
        <v>#REF!</v>
      </c>
      <c r="AJ182" s="124" t="e">
        <f>#REF!</f>
        <v>#REF!</v>
      </c>
      <c r="AK182" s="124" t="e">
        <f>#REF!</f>
        <v>#REF!</v>
      </c>
      <c r="AL182" s="124" t="e">
        <f>#REF!</f>
        <v>#REF!</v>
      </c>
      <c r="AM182" s="124" t="e">
        <f>#REF!</f>
        <v>#REF!</v>
      </c>
      <c r="AN182" s="124" t="e">
        <f>#REF!</f>
        <v>#REF!</v>
      </c>
      <c r="AO182" s="124" t="e">
        <f>#REF!</f>
        <v>#REF!</v>
      </c>
      <c r="AP182" s="124" t="e">
        <f>#REF!</f>
        <v>#REF!</v>
      </c>
    </row>
    <row r="183" spans="1:42" x14ac:dyDescent="0.25">
      <c r="A183" s="351" t="e">
        <f>#REF!</f>
        <v>#REF!</v>
      </c>
      <c r="B183" s="351" t="e">
        <f>#REF!</f>
        <v>#REF!</v>
      </c>
      <c r="C183" s="351" t="e">
        <f>#REF!</f>
        <v>#REF!</v>
      </c>
      <c r="D183" s="351" t="e">
        <f>#REF!</f>
        <v>#REF!</v>
      </c>
      <c r="E183" s="351" t="e">
        <f>#REF!</f>
        <v>#REF!</v>
      </c>
      <c r="F183" s="351" t="e">
        <f>#REF!</f>
        <v>#REF!</v>
      </c>
      <c r="G183" s="351" t="e">
        <f>#REF!</f>
        <v>#REF!</v>
      </c>
      <c r="H183" s="351" t="e">
        <f>#REF!</f>
        <v>#REF!</v>
      </c>
      <c r="I183" s="124"/>
      <c r="J183" s="124"/>
      <c r="K183" s="124"/>
      <c r="L183" s="124"/>
      <c r="M183" s="124"/>
      <c r="N183" s="351" t="e">
        <f t="shared" si="6"/>
        <v>#REF!</v>
      </c>
      <c r="O183" s="124">
        <f t="shared" si="6"/>
        <v>0</v>
      </c>
      <c r="P183" s="124">
        <f t="shared" si="6"/>
        <v>0</v>
      </c>
      <c r="Q183" s="124"/>
      <c r="R183" s="124"/>
      <c r="S183" s="124">
        <f t="shared" si="5"/>
        <v>0</v>
      </c>
      <c r="T183" s="353" t="e">
        <f>#REF!</f>
        <v>#REF!</v>
      </c>
      <c r="U183" s="353" t="e">
        <f>#REF!</f>
        <v>#REF!</v>
      </c>
      <c r="V183" s="353" t="e">
        <f>#REF!</f>
        <v>#REF!</v>
      </c>
      <c r="W183" s="124"/>
      <c r="X183" s="124"/>
      <c r="Y183" s="124"/>
      <c r="Z183" s="124"/>
      <c r="AA183" s="351" t="e">
        <f>#REF!</f>
        <v>#REF!</v>
      </c>
      <c r="AB183" s="124"/>
      <c r="AC183" s="124"/>
      <c r="AD183" s="124"/>
      <c r="AE183" s="124" t="e">
        <f>#REF!</f>
        <v>#REF!</v>
      </c>
      <c r="AF183" s="124" t="e">
        <f>#REF!</f>
        <v>#REF!</v>
      </c>
      <c r="AG183" s="124" t="e">
        <f>#REF!</f>
        <v>#REF!</v>
      </c>
      <c r="AH183" s="124" t="e">
        <f>#REF!</f>
        <v>#REF!</v>
      </c>
      <c r="AI183" s="124" t="e">
        <f>#REF!</f>
        <v>#REF!</v>
      </c>
      <c r="AJ183" s="124" t="e">
        <f>#REF!</f>
        <v>#REF!</v>
      </c>
      <c r="AK183" s="124" t="e">
        <f>#REF!</f>
        <v>#REF!</v>
      </c>
      <c r="AL183" s="124" t="e">
        <f>#REF!</f>
        <v>#REF!</v>
      </c>
      <c r="AM183" s="124" t="e">
        <f>#REF!</f>
        <v>#REF!</v>
      </c>
      <c r="AN183" s="124" t="e">
        <f>#REF!</f>
        <v>#REF!</v>
      </c>
      <c r="AO183" s="124" t="e">
        <f>#REF!</f>
        <v>#REF!</v>
      </c>
      <c r="AP183" s="124" t="e">
        <f>#REF!</f>
        <v>#REF!</v>
      </c>
    </row>
    <row r="184" spans="1:42" x14ac:dyDescent="0.25">
      <c r="A184" s="351" t="e">
        <f>#REF!</f>
        <v>#REF!</v>
      </c>
      <c r="B184" s="351" t="e">
        <f>#REF!</f>
        <v>#REF!</v>
      </c>
      <c r="C184" s="351" t="e">
        <f>#REF!</f>
        <v>#REF!</v>
      </c>
      <c r="D184" s="351" t="e">
        <f>#REF!</f>
        <v>#REF!</v>
      </c>
      <c r="E184" s="351" t="e">
        <f>#REF!</f>
        <v>#REF!</v>
      </c>
      <c r="F184" s="351" t="e">
        <f>#REF!</f>
        <v>#REF!</v>
      </c>
      <c r="G184" s="351" t="e">
        <f>#REF!</f>
        <v>#REF!</v>
      </c>
      <c r="H184" s="351" t="e">
        <f>#REF!</f>
        <v>#REF!</v>
      </c>
      <c r="I184" s="124"/>
      <c r="J184" s="124"/>
      <c r="K184" s="124"/>
      <c r="L184" s="124"/>
      <c r="M184" s="124"/>
      <c r="N184" s="351" t="e">
        <f t="shared" si="6"/>
        <v>#REF!</v>
      </c>
      <c r="O184" s="124">
        <f t="shared" si="6"/>
        <v>0</v>
      </c>
      <c r="P184" s="124">
        <f t="shared" si="6"/>
        <v>0</v>
      </c>
      <c r="Q184" s="124"/>
      <c r="R184" s="124"/>
      <c r="S184" s="124">
        <f t="shared" si="5"/>
        <v>0</v>
      </c>
      <c r="T184" s="353" t="e">
        <f>#REF!</f>
        <v>#REF!</v>
      </c>
      <c r="U184" s="353" t="e">
        <f>#REF!</f>
        <v>#REF!</v>
      </c>
      <c r="V184" s="353" t="e">
        <f>#REF!</f>
        <v>#REF!</v>
      </c>
      <c r="W184" s="124"/>
      <c r="X184" s="124"/>
      <c r="Y184" s="124"/>
      <c r="Z184" s="124"/>
      <c r="AA184" s="351" t="e">
        <f>#REF!</f>
        <v>#REF!</v>
      </c>
      <c r="AB184" s="124"/>
      <c r="AC184" s="124"/>
      <c r="AD184" s="124"/>
      <c r="AE184" s="124" t="e">
        <f>#REF!</f>
        <v>#REF!</v>
      </c>
      <c r="AF184" s="124" t="e">
        <f>#REF!</f>
        <v>#REF!</v>
      </c>
      <c r="AG184" s="124" t="e">
        <f>#REF!</f>
        <v>#REF!</v>
      </c>
      <c r="AH184" s="124" t="e">
        <f>#REF!</f>
        <v>#REF!</v>
      </c>
      <c r="AI184" s="124" t="e">
        <f>#REF!</f>
        <v>#REF!</v>
      </c>
      <c r="AJ184" s="124" t="e">
        <f>#REF!</f>
        <v>#REF!</v>
      </c>
      <c r="AK184" s="124" t="e">
        <f>#REF!</f>
        <v>#REF!</v>
      </c>
      <c r="AL184" s="124" t="e">
        <f>#REF!</f>
        <v>#REF!</v>
      </c>
      <c r="AM184" s="124" t="e">
        <f>#REF!</f>
        <v>#REF!</v>
      </c>
      <c r="AN184" s="124" t="e">
        <f>#REF!</f>
        <v>#REF!</v>
      </c>
      <c r="AO184" s="124" t="e">
        <f>#REF!</f>
        <v>#REF!</v>
      </c>
      <c r="AP184" s="124" t="e">
        <f>#REF!</f>
        <v>#REF!</v>
      </c>
    </row>
    <row r="185" spans="1:42" x14ac:dyDescent="0.25">
      <c r="A185" s="351" t="e">
        <f>#REF!</f>
        <v>#REF!</v>
      </c>
      <c r="B185" s="351" t="e">
        <f>#REF!</f>
        <v>#REF!</v>
      </c>
      <c r="C185" s="351" t="e">
        <f>#REF!</f>
        <v>#REF!</v>
      </c>
      <c r="D185" s="351" t="e">
        <f>#REF!</f>
        <v>#REF!</v>
      </c>
      <c r="E185" s="351" t="e">
        <f>#REF!</f>
        <v>#REF!</v>
      </c>
      <c r="F185" s="351" t="e">
        <f>#REF!</f>
        <v>#REF!</v>
      </c>
      <c r="G185" s="351" t="e">
        <f>#REF!</f>
        <v>#REF!</v>
      </c>
      <c r="H185" s="351" t="e">
        <f>#REF!</f>
        <v>#REF!</v>
      </c>
      <c r="I185" s="124"/>
      <c r="J185" s="124"/>
      <c r="K185" s="124"/>
      <c r="L185" s="124"/>
      <c r="M185" s="124"/>
      <c r="N185" s="351" t="e">
        <f t="shared" si="6"/>
        <v>#REF!</v>
      </c>
      <c r="O185" s="124">
        <f t="shared" si="6"/>
        <v>0</v>
      </c>
      <c r="P185" s="124">
        <f t="shared" si="6"/>
        <v>0</v>
      </c>
      <c r="Q185" s="124"/>
      <c r="R185" s="124"/>
      <c r="S185" s="124">
        <f t="shared" si="5"/>
        <v>0</v>
      </c>
      <c r="T185" s="353" t="e">
        <f>#REF!</f>
        <v>#REF!</v>
      </c>
      <c r="U185" s="353" t="e">
        <f>#REF!</f>
        <v>#REF!</v>
      </c>
      <c r="V185" s="353" t="e">
        <f>#REF!</f>
        <v>#REF!</v>
      </c>
      <c r="W185" s="124"/>
      <c r="X185" s="124"/>
      <c r="Y185" s="124"/>
      <c r="Z185" s="124"/>
      <c r="AA185" s="351" t="e">
        <f>#REF!</f>
        <v>#REF!</v>
      </c>
      <c r="AB185" s="124"/>
      <c r="AC185" s="124"/>
      <c r="AD185" s="124"/>
      <c r="AE185" s="124" t="e">
        <f>#REF!</f>
        <v>#REF!</v>
      </c>
      <c r="AF185" s="124" t="e">
        <f>#REF!</f>
        <v>#REF!</v>
      </c>
      <c r="AG185" s="124" t="e">
        <f>#REF!</f>
        <v>#REF!</v>
      </c>
      <c r="AH185" s="124" t="e">
        <f>#REF!</f>
        <v>#REF!</v>
      </c>
      <c r="AI185" s="124" t="e">
        <f>#REF!</f>
        <v>#REF!</v>
      </c>
      <c r="AJ185" s="124" t="e">
        <f>#REF!</f>
        <v>#REF!</v>
      </c>
      <c r="AK185" s="124" t="e">
        <f>#REF!</f>
        <v>#REF!</v>
      </c>
      <c r="AL185" s="124" t="e">
        <f>#REF!</f>
        <v>#REF!</v>
      </c>
      <c r="AM185" s="124" t="e">
        <f>#REF!</f>
        <v>#REF!</v>
      </c>
      <c r="AN185" s="124" t="e">
        <f>#REF!</f>
        <v>#REF!</v>
      </c>
      <c r="AO185" s="124" t="e">
        <f>#REF!</f>
        <v>#REF!</v>
      </c>
      <c r="AP185" s="124" t="e">
        <f>#REF!</f>
        <v>#REF!</v>
      </c>
    </row>
    <row r="186" spans="1:42" x14ac:dyDescent="0.25">
      <c r="A186" s="351" t="e">
        <f>#REF!</f>
        <v>#REF!</v>
      </c>
      <c r="B186" s="351" t="e">
        <f>#REF!</f>
        <v>#REF!</v>
      </c>
      <c r="C186" s="351" t="e">
        <f>#REF!</f>
        <v>#REF!</v>
      </c>
      <c r="D186" s="351" t="e">
        <f>#REF!</f>
        <v>#REF!</v>
      </c>
      <c r="E186" s="351" t="e">
        <f>#REF!</f>
        <v>#REF!</v>
      </c>
      <c r="F186" s="351" t="e">
        <f>#REF!</f>
        <v>#REF!</v>
      </c>
      <c r="G186" s="351" t="e">
        <f>#REF!</f>
        <v>#REF!</v>
      </c>
      <c r="H186" s="351" t="e">
        <f>#REF!</f>
        <v>#REF!</v>
      </c>
      <c r="I186" s="124"/>
      <c r="J186" s="124"/>
      <c r="K186" s="124"/>
      <c r="L186" s="124"/>
      <c r="M186" s="124"/>
      <c r="N186" s="351" t="e">
        <f t="shared" si="6"/>
        <v>#REF!</v>
      </c>
      <c r="O186" s="124">
        <f t="shared" si="6"/>
        <v>0</v>
      </c>
      <c r="P186" s="124">
        <f t="shared" si="6"/>
        <v>0</v>
      </c>
      <c r="Q186" s="124"/>
      <c r="R186" s="124"/>
      <c r="S186" s="124">
        <f t="shared" si="5"/>
        <v>0</v>
      </c>
      <c r="T186" s="353" t="e">
        <f>#REF!</f>
        <v>#REF!</v>
      </c>
      <c r="U186" s="353" t="e">
        <f>#REF!</f>
        <v>#REF!</v>
      </c>
      <c r="V186" s="353" t="e">
        <f>#REF!</f>
        <v>#REF!</v>
      </c>
      <c r="W186" s="124"/>
      <c r="X186" s="124"/>
      <c r="Y186" s="124"/>
      <c r="Z186" s="124"/>
      <c r="AA186" s="351" t="e">
        <f>#REF!</f>
        <v>#REF!</v>
      </c>
      <c r="AB186" s="124"/>
      <c r="AC186" s="124"/>
      <c r="AD186" s="124"/>
      <c r="AE186" s="124" t="e">
        <f>#REF!</f>
        <v>#REF!</v>
      </c>
      <c r="AF186" s="124" t="e">
        <f>#REF!</f>
        <v>#REF!</v>
      </c>
      <c r="AG186" s="124" t="e">
        <f>#REF!</f>
        <v>#REF!</v>
      </c>
      <c r="AH186" s="124" t="e">
        <f>#REF!</f>
        <v>#REF!</v>
      </c>
      <c r="AI186" s="124" t="e">
        <f>#REF!</f>
        <v>#REF!</v>
      </c>
      <c r="AJ186" s="124" t="e">
        <f>#REF!</f>
        <v>#REF!</v>
      </c>
      <c r="AK186" s="124" t="e">
        <f>#REF!</f>
        <v>#REF!</v>
      </c>
      <c r="AL186" s="124" t="e">
        <f>#REF!</f>
        <v>#REF!</v>
      </c>
      <c r="AM186" s="124" t="e">
        <f>#REF!</f>
        <v>#REF!</v>
      </c>
      <c r="AN186" s="124" t="e">
        <f>#REF!</f>
        <v>#REF!</v>
      </c>
      <c r="AO186" s="124" t="e">
        <f>#REF!</f>
        <v>#REF!</v>
      </c>
      <c r="AP186" s="124" t="e">
        <f>#REF!</f>
        <v>#REF!</v>
      </c>
    </row>
    <row r="187" spans="1:42" x14ac:dyDescent="0.25">
      <c r="A187" s="351" t="e">
        <f>#REF!</f>
        <v>#REF!</v>
      </c>
      <c r="B187" s="351" t="e">
        <f>#REF!</f>
        <v>#REF!</v>
      </c>
      <c r="C187" s="351" t="e">
        <f>#REF!</f>
        <v>#REF!</v>
      </c>
      <c r="D187" s="351" t="e">
        <f>#REF!</f>
        <v>#REF!</v>
      </c>
      <c r="E187" s="351" t="e">
        <f>#REF!</f>
        <v>#REF!</v>
      </c>
      <c r="F187" s="351" t="e">
        <f>#REF!</f>
        <v>#REF!</v>
      </c>
      <c r="G187" s="351" t="e">
        <f>#REF!</f>
        <v>#REF!</v>
      </c>
      <c r="H187" s="351" t="e">
        <f>#REF!</f>
        <v>#REF!</v>
      </c>
      <c r="I187" s="124"/>
      <c r="J187" s="124"/>
      <c r="K187" s="124"/>
      <c r="L187" s="124"/>
      <c r="M187" s="124"/>
      <c r="N187" s="351" t="e">
        <f t="shared" si="6"/>
        <v>#REF!</v>
      </c>
      <c r="O187" s="124">
        <f t="shared" si="6"/>
        <v>0</v>
      </c>
      <c r="P187" s="124">
        <f t="shared" si="6"/>
        <v>0</v>
      </c>
      <c r="Q187" s="124"/>
      <c r="R187" s="124"/>
      <c r="S187" s="124">
        <f t="shared" si="5"/>
        <v>0</v>
      </c>
      <c r="T187" s="353" t="e">
        <f>#REF!</f>
        <v>#REF!</v>
      </c>
      <c r="U187" s="353" t="e">
        <f>#REF!</f>
        <v>#REF!</v>
      </c>
      <c r="V187" s="353" t="e">
        <f>#REF!</f>
        <v>#REF!</v>
      </c>
      <c r="W187" s="124"/>
      <c r="X187" s="124"/>
      <c r="Y187" s="124"/>
      <c r="Z187" s="124"/>
      <c r="AA187" s="351" t="e">
        <f>#REF!</f>
        <v>#REF!</v>
      </c>
      <c r="AB187" s="124"/>
      <c r="AC187" s="124"/>
      <c r="AD187" s="124"/>
      <c r="AE187" s="124" t="e">
        <f>#REF!</f>
        <v>#REF!</v>
      </c>
      <c r="AF187" s="124" t="e">
        <f>#REF!</f>
        <v>#REF!</v>
      </c>
      <c r="AG187" s="124" t="e">
        <f>#REF!</f>
        <v>#REF!</v>
      </c>
      <c r="AH187" s="124" t="e">
        <f>#REF!</f>
        <v>#REF!</v>
      </c>
      <c r="AI187" s="124" t="e">
        <f>#REF!</f>
        <v>#REF!</v>
      </c>
      <c r="AJ187" s="124" t="e">
        <f>#REF!</f>
        <v>#REF!</v>
      </c>
      <c r="AK187" s="124" t="e">
        <f>#REF!</f>
        <v>#REF!</v>
      </c>
      <c r="AL187" s="124" t="e">
        <f>#REF!</f>
        <v>#REF!</v>
      </c>
      <c r="AM187" s="124" t="e">
        <f>#REF!</f>
        <v>#REF!</v>
      </c>
      <c r="AN187" s="124" t="e">
        <f>#REF!</f>
        <v>#REF!</v>
      </c>
      <c r="AO187" s="124" t="e">
        <f>#REF!</f>
        <v>#REF!</v>
      </c>
      <c r="AP187" s="124" t="e">
        <f>#REF!</f>
        <v>#REF!</v>
      </c>
    </row>
    <row r="188" spans="1:42" x14ac:dyDescent="0.25">
      <c r="A188" s="351" t="e">
        <f>#REF!</f>
        <v>#REF!</v>
      </c>
      <c r="B188" s="351" t="e">
        <f>#REF!</f>
        <v>#REF!</v>
      </c>
      <c r="C188" s="351" t="e">
        <f>#REF!</f>
        <v>#REF!</v>
      </c>
      <c r="D188" s="351" t="e">
        <f>#REF!</f>
        <v>#REF!</v>
      </c>
      <c r="E188" s="351" t="e">
        <f>#REF!</f>
        <v>#REF!</v>
      </c>
      <c r="F188" s="351" t="e">
        <f>#REF!</f>
        <v>#REF!</v>
      </c>
      <c r="G188" s="351" t="e">
        <f>#REF!</f>
        <v>#REF!</v>
      </c>
      <c r="H188" s="351" t="e">
        <f>#REF!</f>
        <v>#REF!</v>
      </c>
      <c r="I188" s="124"/>
      <c r="J188" s="124"/>
      <c r="K188" s="124"/>
      <c r="L188" s="124"/>
      <c r="M188" s="124"/>
      <c r="N188" s="351" t="e">
        <f t="shared" si="6"/>
        <v>#REF!</v>
      </c>
      <c r="O188" s="124">
        <f t="shared" si="6"/>
        <v>0</v>
      </c>
      <c r="P188" s="124">
        <f t="shared" si="6"/>
        <v>0</v>
      </c>
      <c r="Q188" s="124"/>
      <c r="R188" s="124"/>
      <c r="S188" s="124">
        <f t="shared" si="5"/>
        <v>0</v>
      </c>
      <c r="T188" s="353" t="e">
        <f>#REF!</f>
        <v>#REF!</v>
      </c>
      <c r="U188" s="353" t="e">
        <f>#REF!</f>
        <v>#REF!</v>
      </c>
      <c r="V188" s="353" t="e">
        <f>#REF!</f>
        <v>#REF!</v>
      </c>
      <c r="W188" s="124"/>
      <c r="X188" s="124"/>
      <c r="Y188" s="124"/>
      <c r="Z188" s="124"/>
      <c r="AA188" s="351" t="e">
        <f>#REF!</f>
        <v>#REF!</v>
      </c>
      <c r="AB188" s="124"/>
      <c r="AC188" s="124"/>
      <c r="AD188" s="124"/>
      <c r="AE188" s="124" t="e">
        <f>#REF!</f>
        <v>#REF!</v>
      </c>
      <c r="AF188" s="124" t="e">
        <f>#REF!</f>
        <v>#REF!</v>
      </c>
      <c r="AG188" s="124" t="e">
        <f>#REF!</f>
        <v>#REF!</v>
      </c>
      <c r="AH188" s="124" t="e">
        <f>#REF!</f>
        <v>#REF!</v>
      </c>
      <c r="AI188" s="124" t="e">
        <f>#REF!</f>
        <v>#REF!</v>
      </c>
      <c r="AJ188" s="124" t="e">
        <f>#REF!</f>
        <v>#REF!</v>
      </c>
      <c r="AK188" s="124" t="e">
        <f>#REF!</f>
        <v>#REF!</v>
      </c>
      <c r="AL188" s="124" t="e">
        <f>#REF!</f>
        <v>#REF!</v>
      </c>
      <c r="AM188" s="124" t="e">
        <f>#REF!</f>
        <v>#REF!</v>
      </c>
      <c r="AN188" s="124" t="e">
        <f>#REF!</f>
        <v>#REF!</v>
      </c>
      <c r="AO188" s="124" t="e">
        <f>#REF!</f>
        <v>#REF!</v>
      </c>
      <c r="AP188" s="124" t="e">
        <f>#REF!</f>
        <v>#REF!</v>
      </c>
    </row>
    <row r="189" spans="1:42" x14ac:dyDescent="0.25">
      <c r="A189" s="351" t="e">
        <f>#REF!</f>
        <v>#REF!</v>
      </c>
      <c r="B189" s="351" t="e">
        <f>#REF!</f>
        <v>#REF!</v>
      </c>
      <c r="C189" s="351" t="e">
        <f>#REF!</f>
        <v>#REF!</v>
      </c>
      <c r="D189" s="351" t="e">
        <f>#REF!</f>
        <v>#REF!</v>
      </c>
      <c r="E189" s="351" t="e">
        <f>#REF!</f>
        <v>#REF!</v>
      </c>
      <c r="F189" s="351" t="e">
        <f>#REF!</f>
        <v>#REF!</v>
      </c>
      <c r="G189" s="351" t="e">
        <f>#REF!</f>
        <v>#REF!</v>
      </c>
      <c r="H189" s="351" t="e">
        <f>#REF!</f>
        <v>#REF!</v>
      </c>
      <c r="I189" s="124"/>
      <c r="J189" s="124"/>
      <c r="K189" s="124"/>
      <c r="L189" s="124"/>
      <c r="M189" s="124"/>
      <c r="N189" s="351" t="e">
        <f t="shared" si="6"/>
        <v>#REF!</v>
      </c>
      <c r="O189" s="124">
        <f t="shared" si="6"/>
        <v>0</v>
      </c>
      <c r="P189" s="124">
        <f t="shared" si="6"/>
        <v>0</v>
      </c>
      <c r="Q189" s="124"/>
      <c r="R189" s="124"/>
      <c r="S189" s="124">
        <f t="shared" si="5"/>
        <v>0</v>
      </c>
      <c r="T189" s="353" t="e">
        <f>#REF!</f>
        <v>#REF!</v>
      </c>
      <c r="U189" s="353" t="e">
        <f>#REF!</f>
        <v>#REF!</v>
      </c>
      <c r="V189" s="353" t="e">
        <f>#REF!</f>
        <v>#REF!</v>
      </c>
      <c r="W189" s="124"/>
      <c r="X189" s="124"/>
      <c r="Y189" s="124"/>
      <c r="Z189" s="124"/>
      <c r="AA189" s="351" t="e">
        <f>#REF!</f>
        <v>#REF!</v>
      </c>
      <c r="AB189" s="124"/>
      <c r="AC189" s="124"/>
      <c r="AD189" s="124"/>
      <c r="AE189" s="124" t="e">
        <f>#REF!</f>
        <v>#REF!</v>
      </c>
      <c r="AF189" s="124" t="e">
        <f>#REF!</f>
        <v>#REF!</v>
      </c>
      <c r="AG189" s="124" t="e">
        <f>#REF!</f>
        <v>#REF!</v>
      </c>
      <c r="AH189" s="124" t="e">
        <f>#REF!</f>
        <v>#REF!</v>
      </c>
      <c r="AI189" s="124" t="e">
        <f>#REF!</f>
        <v>#REF!</v>
      </c>
      <c r="AJ189" s="124" t="e">
        <f>#REF!</f>
        <v>#REF!</v>
      </c>
      <c r="AK189" s="124" t="e">
        <f>#REF!</f>
        <v>#REF!</v>
      </c>
      <c r="AL189" s="124" t="e">
        <f>#REF!</f>
        <v>#REF!</v>
      </c>
      <c r="AM189" s="124" t="e">
        <f>#REF!</f>
        <v>#REF!</v>
      </c>
      <c r="AN189" s="124" t="e">
        <f>#REF!</f>
        <v>#REF!</v>
      </c>
      <c r="AO189" s="124" t="e">
        <f>#REF!</f>
        <v>#REF!</v>
      </c>
      <c r="AP189" s="124" t="e">
        <f>#REF!</f>
        <v>#REF!</v>
      </c>
    </row>
    <row r="190" spans="1:42" x14ac:dyDescent="0.25">
      <c r="A190" s="351" t="e">
        <f>#REF!</f>
        <v>#REF!</v>
      </c>
      <c r="B190" s="351" t="e">
        <f>#REF!</f>
        <v>#REF!</v>
      </c>
      <c r="C190" s="351" t="e">
        <f>#REF!</f>
        <v>#REF!</v>
      </c>
      <c r="D190" s="351" t="e">
        <f>#REF!</f>
        <v>#REF!</v>
      </c>
      <c r="E190" s="351" t="e">
        <f>#REF!</f>
        <v>#REF!</v>
      </c>
      <c r="F190" s="351" t="e">
        <f>#REF!</f>
        <v>#REF!</v>
      </c>
      <c r="G190" s="351" t="e">
        <f>#REF!</f>
        <v>#REF!</v>
      </c>
      <c r="H190" s="351" t="e">
        <f>#REF!</f>
        <v>#REF!</v>
      </c>
      <c r="I190" s="124"/>
      <c r="J190" s="124"/>
      <c r="K190" s="124"/>
      <c r="L190" s="124"/>
      <c r="M190" s="124"/>
      <c r="N190" s="351" t="e">
        <f t="shared" si="6"/>
        <v>#REF!</v>
      </c>
      <c r="O190" s="124">
        <f t="shared" si="6"/>
        <v>0</v>
      </c>
      <c r="P190" s="124">
        <f t="shared" si="6"/>
        <v>0</v>
      </c>
      <c r="Q190" s="124"/>
      <c r="R190" s="124"/>
      <c r="S190" s="124">
        <f t="shared" si="5"/>
        <v>0</v>
      </c>
      <c r="T190" s="353" t="e">
        <f>#REF!</f>
        <v>#REF!</v>
      </c>
      <c r="U190" s="353" t="e">
        <f>#REF!</f>
        <v>#REF!</v>
      </c>
      <c r="V190" s="353" t="e">
        <f>#REF!</f>
        <v>#REF!</v>
      </c>
      <c r="W190" s="124"/>
      <c r="X190" s="124"/>
      <c r="Y190" s="124"/>
      <c r="Z190" s="124"/>
      <c r="AA190" s="351" t="e">
        <f>#REF!</f>
        <v>#REF!</v>
      </c>
      <c r="AB190" s="124"/>
      <c r="AC190" s="124"/>
      <c r="AD190" s="124"/>
      <c r="AE190" s="124" t="e">
        <f>#REF!</f>
        <v>#REF!</v>
      </c>
      <c r="AF190" s="124" t="e">
        <f>#REF!</f>
        <v>#REF!</v>
      </c>
      <c r="AG190" s="124" t="e">
        <f>#REF!</f>
        <v>#REF!</v>
      </c>
      <c r="AH190" s="124" t="e">
        <f>#REF!</f>
        <v>#REF!</v>
      </c>
      <c r="AI190" s="124" t="e">
        <f>#REF!</f>
        <v>#REF!</v>
      </c>
      <c r="AJ190" s="124" t="e">
        <f>#REF!</f>
        <v>#REF!</v>
      </c>
      <c r="AK190" s="124" t="e">
        <f>#REF!</f>
        <v>#REF!</v>
      </c>
      <c r="AL190" s="124" t="e">
        <f>#REF!</f>
        <v>#REF!</v>
      </c>
      <c r="AM190" s="124" t="e">
        <f>#REF!</f>
        <v>#REF!</v>
      </c>
      <c r="AN190" s="124" t="e">
        <f>#REF!</f>
        <v>#REF!</v>
      </c>
      <c r="AO190" s="124" t="e">
        <f>#REF!</f>
        <v>#REF!</v>
      </c>
      <c r="AP190" s="124" t="e">
        <f>#REF!</f>
        <v>#REF!</v>
      </c>
    </row>
    <row r="191" spans="1:42" x14ac:dyDescent="0.25">
      <c r="A191" s="351" t="e">
        <f>#REF!</f>
        <v>#REF!</v>
      </c>
      <c r="B191" s="351" t="e">
        <f>#REF!</f>
        <v>#REF!</v>
      </c>
      <c r="C191" s="351" t="e">
        <f>#REF!</f>
        <v>#REF!</v>
      </c>
      <c r="D191" s="351" t="e">
        <f>#REF!</f>
        <v>#REF!</v>
      </c>
      <c r="E191" s="351" t="e">
        <f>#REF!</f>
        <v>#REF!</v>
      </c>
      <c r="F191" s="351" t="e">
        <f>#REF!</f>
        <v>#REF!</v>
      </c>
      <c r="G191" s="351" t="e">
        <f>#REF!</f>
        <v>#REF!</v>
      </c>
      <c r="H191" s="351" t="e">
        <f>#REF!</f>
        <v>#REF!</v>
      </c>
      <c r="I191" s="124"/>
      <c r="J191" s="124"/>
      <c r="K191" s="124"/>
      <c r="L191" s="124"/>
      <c r="M191" s="124"/>
      <c r="N191" s="351" t="e">
        <f t="shared" si="6"/>
        <v>#REF!</v>
      </c>
      <c r="O191" s="124">
        <f t="shared" si="6"/>
        <v>0</v>
      </c>
      <c r="P191" s="124">
        <f t="shared" si="6"/>
        <v>0</v>
      </c>
      <c r="Q191" s="124"/>
      <c r="R191" s="124"/>
      <c r="S191" s="124">
        <f t="shared" si="5"/>
        <v>0</v>
      </c>
      <c r="T191" s="353" t="e">
        <f>#REF!</f>
        <v>#REF!</v>
      </c>
      <c r="U191" s="353" t="e">
        <f>#REF!</f>
        <v>#REF!</v>
      </c>
      <c r="V191" s="353" t="e">
        <f>#REF!</f>
        <v>#REF!</v>
      </c>
      <c r="W191" s="124"/>
      <c r="X191" s="124"/>
      <c r="Y191" s="124"/>
      <c r="Z191" s="124"/>
      <c r="AA191" s="351" t="e">
        <f>#REF!</f>
        <v>#REF!</v>
      </c>
      <c r="AB191" s="124"/>
      <c r="AC191" s="124"/>
      <c r="AD191" s="124"/>
      <c r="AE191" s="124" t="e">
        <f>#REF!</f>
        <v>#REF!</v>
      </c>
      <c r="AF191" s="124" t="e">
        <f>#REF!</f>
        <v>#REF!</v>
      </c>
      <c r="AG191" s="124" t="e">
        <f>#REF!</f>
        <v>#REF!</v>
      </c>
      <c r="AH191" s="124" t="e">
        <f>#REF!</f>
        <v>#REF!</v>
      </c>
      <c r="AI191" s="124" t="e">
        <f>#REF!</f>
        <v>#REF!</v>
      </c>
      <c r="AJ191" s="124" t="e">
        <f>#REF!</f>
        <v>#REF!</v>
      </c>
      <c r="AK191" s="124" t="e">
        <f>#REF!</f>
        <v>#REF!</v>
      </c>
      <c r="AL191" s="124" t="e">
        <f>#REF!</f>
        <v>#REF!</v>
      </c>
      <c r="AM191" s="124" t="e">
        <f>#REF!</f>
        <v>#REF!</v>
      </c>
      <c r="AN191" s="124" t="e">
        <f>#REF!</f>
        <v>#REF!</v>
      </c>
      <c r="AO191" s="124" t="e">
        <f>#REF!</f>
        <v>#REF!</v>
      </c>
      <c r="AP191" s="124" t="e">
        <f>#REF!</f>
        <v>#REF!</v>
      </c>
    </row>
    <row r="192" spans="1:42" x14ac:dyDescent="0.25">
      <c r="A192" s="351" t="e">
        <f>#REF!</f>
        <v>#REF!</v>
      </c>
      <c r="B192" s="351" t="e">
        <f>#REF!</f>
        <v>#REF!</v>
      </c>
      <c r="C192" s="351" t="e">
        <f>#REF!</f>
        <v>#REF!</v>
      </c>
      <c r="D192" s="351" t="e">
        <f>#REF!</f>
        <v>#REF!</v>
      </c>
      <c r="E192" s="351" t="e">
        <f>#REF!</f>
        <v>#REF!</v>
      </c>
      <c r="F192" s="351" t="e">
        <f>#REF!</f>
        <v>#REF!</v>
      </c>
      <c r="G192" s="351" t="e">
        <f>#REF!</f>
        <v>#REF!</v>
      </c>
      <c r="H192" s="351" t="e">
        <f>#REF!</f>
        <v>#REF!</v>
      </c>
      <c r="I192" s="124"/>
      <c r="J192" s="124"/>
      <c r="K192" s="124"/>
      <c r="L192" s="124"/>
      <c r="M192" s="124"/>
      <c r="N192" s="351" t="e">
        <f t="shared" si="6"/>
        <v>#REF!</v>
      </c>
      <c r="O192" s="124">
        <f t="shared" si="6"/>
        <v>0</v>
      </c>
      <c r="P192" s="124">
        <f t="shared" si="6"/>
        <v>0</v>
      </c>
      <c r="Q192" s="124"/>
      <c r="R192" s="124"/>
      <c r="S192" s="124">
        <f t="shared" ref="S192:S248" si="7">Q192+R192</f>
        <v>0</v>
      </c>
      <c r="T192" s="353" t="e">
        <f>#REF!</f>
        <v>#REF!</v>
      </c>
      <c r="U192" s="353" t="e">
        <f>#REF!</f>
        <v>#REF!</v>
      </c>
      <c r="V192" s="353" t="e">
        <f>#REF!</f>
        <v>#REF!</v>
      </c>
      <c r="W192" s="124"/>
      <c r="X192" s="124"/>
      <c r="Y192" s="124"/>
      <c r="Z192" s="124"/>
      <c r="AA192" s="351" t="e">
        <f>#REF!</f>
        <v>#REF!</v>
      </c>
      <c r="AB192" s="124"/>
      <c r="AC192" s="124"/>
      <c r="AD192" s="124"/>
      <c r="AE192" s="124" t="e">
        <f>#REF!</f>
        <v>#REF!</v>
      </c>
      <c r="AF192" s="124" t="e">
        <f>#REF!</f>
        <v>#REF!</v>
      </c>
      <c r="AG192" s="124" t="e">
        <f>#REF!</f>
        <v>#REF!</v>
      </c>
      <c r="AH192" s="124" t="e">
        <f>#REF!</f>
        <v>#REF!</v>
      </c>
      <c r="AI192" s="124" t="e">
        <f>#REF!</f>
        <v>#REF!</v>
      </c>
      <c r="AJ192" s="124" t="e">
        <f>#REF!</f>
        <v>#REF!</v>
      </c>
      <c r="AK192" s="124" t="e">
        <f>#REF!</f>
        <v>#REF!</v>
      </c>
      <c r="AL192" s="124" t="e">
        <f>#REF!</f>
        <v>#REF!</v>
      </c>
      <c r="AM192" s="124" t="e">
        <f>#REF!</f>
        <v>#REF!</v>
      </c>
      <c r="AN192" s="124" t="e">
        <f>#REF!</f>
        <v>#REF!</v>
      </c>
      <c r="AO192" s="124" t="e">
        <f>#REF!</f>
        <v>#REF!</v>
      </c>
      <c r="AP192" s="124" t="e">
        <f>#REF!</f>
        <v>#REF!</v>
      </c>
    </row>
    <row r="193" spans="1:42" x14ac:dyDescent="0.25">
      <c r="A193" s="351" t="e">
        <f>#REF!</f>
        <v>#REF!</v>
      </c>
      <c r="B193" s="351" t="e">
        <f>#REF!</f>
        <v>#REF!</v>
      </c>
      <c r="C193" s="351" t="e">
        <f>#REF!</f>
        <v>#REF!</v>
      </c>
      <c r="D193" s="351" t="e">
        <f>#REF!</f>
        <v>#REF!</v>
      </c>
      <c r="E193" s="351" t="e">
        <f>#REF!</f>
        <v>#REF!</v>
      </c>
      <c r="F193" s="351" t="e">
        <f>#REF!</f>
        <v>#REF!</v>
      </c>
      <c r="G193" s="351" t="e">
        <f>#REF!</f>
        <v>#REF!</v>
      </c>
      <c r="H193" s="351" t="e">
        <f>#REF!</f>
        <v>#REF!</v>
      </c>
      <c r="I193" s="124"/>
      <c r="J193" s="124"/>
      <c r="K193" s="124"/>
      <c r="L193" s="124"/>
      <c r="M193" s="124"/>
      <c r="N193" s="351" t="e">
        <f t="shared" si="6"/>
        <v>#REF!</v>
      </c>
      <c r="O193" s="124">
        <f t="shared" si="6"/>
        <v>0</v>
      </c>
      <c r="P193" s="124">
        <f t="shared" si="6"/>
        <v>0</v>
      </c>
      <c r="Q193" s="124"/>
      <c r="R193" s="124"/>
      <c r="S193" s="124">
        <f t="shared" si="7"/>
        <v>0</v>
      </c>
      <c r="T193" s="353" t="e">
        <f>#REF!</f>
        <v>#REF!</v>
      </c>
      <c r="U193" s="353" t="e">
        <f>#REF!</f>
        <v>#REF!</v>
      </c>
      <c r="V193" s="353" t="e">
        <f>#REF!</f>
        <v>#REF!</v>
      </c>
      <c r="W193" s="124"/>
      <c r="X193" s="124"/>
      <c r="Y193" s="124"/>
      <c r="Z193" s="124"/>
      <c r="AA193" s="351" t="e">
        <f>#REF!</f>
        <v>#REF!</v>
      </c>
      <c r="AB193" s="124"/>
      <c r="AC193" s="124"/>
      <c r="AD193" s="124"/>
      <c r="AE193" s="124" t="e">
        <f>#REF!</f>
        <v>#REF!</v>
      </c>
      <c r="AF193" s="124" t="e">
        <f>#REF!</f>
        <v>#REF!</v>
      </c>
      <c r="AG193" s="124" t="e">
        <f>#REF!</f>
        <v>#REF!</v>
      </c>
      <c r="AH193" s="124" t="e">
        <f>#REF!</f>
        <v>#REF!</v>
      </c>
      <c r="AI193" s="124" t="e">
        <f>#REF!</f>
        <v>#REF!</v>
      </c>
      <c r="AJ193" s="124" t="e">
        <f>#REF!</f>
        <v>#REF!</v>
      </c>
      <c r="AK193" s="124" t="e">
        <f>#REF!</f>
        <v>#REF!</v>
      </c>
      <c r="AL193" s="124" t="e">
        <f>#REF!</f>
        <v>#REF!</v>
      </c>
      <c r="AM193" s="124" t="e">
        <f>#REF!</f>
        <v>#REF!</v>
      </c>
      <c r="AN193" s="124" t="e">
        <f>#REF!</f>
        <v>#REF!</v>
      </c>
      <c r="AO193" s="124" t="e">
        <f>#REF!</f>
        <v>#REF!</v>
      </c>
      <c r="AP193" s="124" t="e">
        <f>#REF!</f>
        <v>#REF!</v>
      </c>
    </row>
    <row r="194" spans="1:42" x14ac:dyDescent="0.25">
      <c r="A194" s="351" t="e">
        <f>#REF!</f>
        <v>#REF!</v>
      </c>
      <c r="B194" s="351" t="e">
        <f>#REF!</f>
        <v>#REF!</v>
      </c>
      <c r="C194" s="351" t="e">
        <f>#REF!</f>
        <v>#REF!</v>
      </c>
      <c r="D194" s="351" t="e">
        <f>#REF!</f>
        <v>#REF!</v>
      </c>
      <c r="E194" s="351" t="e">
        <f>#REF!</f>
        <v>#REF!</v>
      </c>
      <c r="F194" s="351" t="e">
        <f>#REF!</f>
        <v>#REF!</v>
      </c>
      <c r="G194" s="351" t="e">
        <f>#REF!</f>
        <v>#REF!</v>
      </c>
      <c r="H194" s="351" t="e">
        <f>#REF!</f>
        <v>#REF!</v>
      </c>
      <c r="I194" s="124"/>
      <c r="J194" s="124"/>
      <c r="K194" s="124"/>
      <c r="L194" s="124"/>
      <c r="M194" s="124"/>
      <c r="N194" s="351" t="e">
        <f t="shared" si="6"/>
        <v>#REF!</v>
      </c>
      <c r="O194" s="124">
        <f t="shared" si="6"/>
        <v>0</v>
      </c>
      <c r="P194" s="124">
        <f t="shared" si="6"/>
        <v>0</v>
      </c>
      <c r="Q194" s="124"/>
      <c r="R194" s="124"/>
      <c r="S194" s="124">
        <f t="shared" si="7"/>
        <v>0</v>
      </c>
      <c r="T194" s="353" t="e">
        <f>#REF!</f>
        <v>#REF!</v>
      </c>
      <c r="U194" s="353" t="e">
        <f>#REF!</f>
        <v>#REF!</v>
      </c>
      <c r="V194" s="353" t="e">
        <f>#REF!</f>
        <v>#REF!</v>
      </c>
      <c r="W194" s="124"/>
      <c r="X194" s="124"/>
      <c r="Y194" s="124"/>
      <c r="Z194" s="124"/>
      <c r="AA194" s="351" t="e">
        <f>#REF!</f>
        <v>#REF!</v>
      </c>
      <c r="AB194" s="124"/>
      <c r="AC194" s="124"/>
      <c r="AD194" s="124"/>
      <c r="AE194" s="124" t="e">
        <f>#REF!</f>
        <v>#REF!</v>
      </c>
      <c r="AF194" s="124" t="e">
        <f>#REF!</f>
        <v>#REF!</v>
      </c>
      <c r="AG194" s="124" t="e">
        <f>#REF!</f>
        <v>#REF!</v>
      </c>
      <c r="AH194" s="124" t="e">
        <f>#REF!</f>
        <v>#REF!</v>
      </c>
      <c r="AI194" s="124" t="e">
        <f>#REF!</f>
        <v>#REF!</v>
      </c>
      <c r="AJ194" s="124" t="e">
        <f>#REF!</f>
        <v>#REF!</v>
      </c>
      <c r="AK194" s="124" t="e">
        <f>#REF!</f>
        <v>#REF!</v>
      </c>
      <c r="AL194" s="124" t="e">
        <f>#REF!</f>
        <v>#REF!</v>
      </c>
      <c r="AM194" s="124" t="e">
        <f>#REF!</f>
        <v>#REF!</v>
      </c>
      <c r="AN194" s="124" t="e">
        <f>#REF!</f>
        <v>#REF!</v>
      </c>
      <c r="AO194" s="124" t="e">
        <f>#REF!</f>
        <v>#REF!</v>
      </c>
      <c r="AP194" s="124" t="e">
        <f>#REF!</f>
        <v>#REF!</v>
      </c>
    </row>
    <row r="195" spans="1:42" x14ac:dyDescent="0.25">
      <c r="A195" s="351" t="e">
        <f>#REF!</f>
        <v>#REF!</v>
      </c>
      <c r="B195" s="351" t="e">
        <f>#REF!</f>
        <v>#REF!</v>
      </c>
      <c r="C195" s="351" t="e">
        <f>#REF!</f>
        <v>#REF!</v>
      </c>
      <c r="D195" s="351" t="e">
        <f>#REF!</f>
        <v>#REF!</v>
      </c>
      <c r="E195" s="351" t="e">
        <f>#REF!</f>
        <v>#REF!</v>
      </c>
      <c r="F195" s="351" t="e">
        <f>#REF!</f>
        <v>#REF!</v>
      </c>
      <c r="G195" s="351" t="e">
        <f>#REF!</f>
        <v>#REF!</v>
      </c>
      <c r="H195" s="351" t="e">
        <f>#REF!</f>
        <v>#REF!</v>
      </c>
      <c r="I195" s="124"/>
      <c r="J195" s="124"/>
      <c r="K195" s="124"/>
      <c r="L195" s="124"/>
      <c r="M195" s="124"/>
      <c r="N195" s="351" t="e">
        <f t="shared" si="6"/>
        <v>#REF!</v>
      </c>
      <c r="O195" s="124">
        <f t="shared" si="6"/>
        <v>0</v>
      </c>
      <c r="P195" s="124">
        <f t="shared" si="6"/>
        <v>0</v>
      </c>
      <c r="Q195" s="124"/>
      <c r="R195" s="124"/>
      <c r="S195" s="124">
        <f t="shared" si="7"/>
        <v>0</v>
      </c>
      <c r="T195" s="353" t="e">
        <f>#REF!</f>
        <v>#REF!</v>
      </c>
      <c r="U195" s="353" t="e">
        <f>#REF!</f>
        <v>#REF!</v>
      </c>
      <c r="V195" s="353" t="e">
        <f>#REF!</f>
        <v>#REF!</v>
      </c>
      <c r="W195" s="124"/>
      <c r="X195" s="124"/>
      <c r="Y195" s="124"/>
      <c r="Z195" s="124"/>
      <c r="AA195" s="351" t="e">
        <f>#REF!</f>
        <v>#REF!</v>
      </c>
      <c r="AB195" s="124"/>
      <c r="AC195" s="124"/>
      <c r="AD195" s="124"/>
      <c r="AE195" s="124" t="e">
        <f>#REF!</f>
        <v>#REF!</v>
      </c>
      <c r="AF195" s="124" t="e">
        <f>#REF!</f>
        <v>#REF!</v>
      </c>
      <c r="AG195" s="124" t="e">
        <f>#REF!</f>
        <v>#REF!</v>
      </c>
      <c r="AH195" s="124" t="e">
        <f>#REF!</f>
        <v>#REF!</v>
      </c>
      <c r="AI195" s="124" t="e">
        <f>#REF!</f>
        <v>#REF!</v>
      </c>
      <c r="AJ195" s="124" t="e">
        <f>#REF!</f>
        <v>#REF!</v>
      </c>
      <c r="AK195" s="124" t="e">
        <f>#REF!</f>
        <v>#REF!</v>
      </c>
      <c r="AL195" s="124" t="e">
        <f>#REF!</f>
        <v>#REF!</v>
      </c>
      <c r="AM195" s="124" t="e">
        <f>#REF!</f>
        <v>#REF!</v>
      </c>
      <c r="AN195" s="124" t="e">
        <f>#REF!</f>
        <v>#REF!</v>
      </c>
      <c r="AO195" s="124" t="e">
        <f>#REF!</f>
        <v>#REF!</v>
      </c>
      <c r="AP195" s="124" t="e">
        <f>#REF!</f>
        <v>#REF!</v>
      </c>
    </row>
    <row r="196" spans="1:42" x14ac:dyDescent="0.25">
      <c r="A196" s="351" t="e">
        <f>#REF!</f>
        <v>#REF!</v>
      </c>
      <c r="B196" s="351" t="e">
        <f>#REF!</f>
        <v>#REF!</v>
      </c>
      <c r="C196" s="351" t="e">
        <f>#REF!</f>
        <v>#REF!</v>
      </c>
      <c r="D196" s="351" t="e">
        <f>#REF!</f>
        <v>#REF!</v>
      </c>
      <c r="E196" s="351" t="e">
        <f>#REF!</f>
        <v>#REF!</v>
      </c>
      <c r="F196" s="351" t="e">
        <f>#REF!</f>
        <v>#REF!</v>
      </c>
      <c r="G196" s="351" t="e">
        <f>#REF!</f>
        <v>#REF!</v>
      </c>
      <c r="H196" s="351" t="e">
        <f>#REF!</f>
        <v>#REF!</v>
      </c>
      <c r="I196" s="124"/>
      <c r="J196" s="124"/>
      <c r="K196" s="124"/>
      <c r="L196" s="124"/>
      <c r="M196" s="124"/>
      <c r="N196" s="351" t="e">
        <f t="shared" si="6"/>
        <v>#REF!</v>
      </c>
      <c r="O196" s="124">
        <f t="shared" si="6"/>
        <v>0</v>
      </c>
      <c r="P196" s="124">
        <f t="shared" si="6"/>
        <v>0</v>
      </c>
      <c r="Q196" s="124"/>
      <c r="R196" s="124"/>
      <c r="S196" s="124">
        <f t="shared" si="7"/>
        <v>0</v>
      </c>
      <c r="T196" s="353" t="e">
        <f>#REF!</f>
        <v>#REF!</v>
      </c>
      <c r="U196" s="353" t="e">
        <f>#REF!</f>
        <v>#REF!</v>
      </c>
      <c r="V196" s="353" t="e">
        <f>#REF!</f>
        <v>#REF!</v>
      </c>
      <c r="W196" s="124"/>
      <c r="X196" s="124"/>
      <c r="Y196" s="124"/>
      <c r="Z196" s="124"/>
      <c r="AA196" s="351" t="e">
        <f>#REF!</f>
        <v>#REF!</v>
      </c>
      <c r="AB196" s="124"/>
      <c r="AC196" s="124"/>
      <c r="AD196" s="124"/>
      <c r="AE196" s="124" t="e">
        <f>#REF!</f>
        <v>#REF!</v>
      </c>
      <c r="AF196" s="124" t="e">
        <f>#REF!</f>
        <v>#REF!</v>
      </c>
      <c r="AG196" s="124" t="e">
        <f>#REF!</f>
        <v>#REF!</v>
      </c>
      <c r="AH196" s="124" t="e">
        <f>#REF!</f>
        <v>#REF!</v>
      </c>
      <c r="AI196" s="124" t="e">
        <f>#REF!</f>
        <v>#REF!</v>
      </c>
      <c r="AJ196" s="124" t="e">
        <f>#REF!</f>
        <v>#REF!</v>
      </c>
      <c r="AK196" s="124" t="e">
        <f>#REF!</f>
        <v>#REF!</v>
      </c>
      <c r="AL196" s="124" t="e">
        <f>#REF!</f>
        <v>#REF!</v>
      </c>
      <c r="AM196" s="124" t="e">
        <f>#REF!</f>
        <v>#REF!</v>
      </c>
      <c r="AN196" s="124" t="e">
        <f>#REF!</f>
        <v>#REF!</v>
      </c>
      <c r="AO196" s="124" t="e">
        <f>#REF!</f>
        <v>#REF!</v>
      </c>
      <c r="AP196" s="124" t="e">
        <f>#REF!</f>
        <v>#REF!</v>
      </c>
    </row>
    <row r="197" spans="1:42" x14ac:dyDescent="0.25">
      <c r="A197" s="351" t="e">
        <f>#REF!</f>
        <v>#REF!</v>
      </c>
      <c r="B197" s="351" t="e">
        <f>#REF!</f>
        <v>#REF!</v>
      </c>
      <c r="C197" s="351" t="e">
        <f>#REF!</f>
        <v>#REF!</v>
      </c>
      <c r="D197" s="351" t="e">
        <f>#REF!</f>
        <v>#REF!</v>
      </c>
      <c r="E197" s="351" t="e">
        <f>#REF!</f>
        <v>#REF!</v>
      </c>
      <c r="F197" s="351" t="e">
        <f>#REF!</f>
        <v>#REF!</v>
      </c>
      <c r="G197" s="351" t="e">
        <f>#REF!</f>
        <v>#REF!</v>
      </c>
      <c r="H197" s="351" t="e">
        <f>#REF!</f>
        <v>#REF!</v>
      </c>
      <c r="I197" s="124"/>
      <c r="J197" s="124"/>
      <c r="K197" s="124"/>
      <c r="L197" s="124"/>
      <c r="M197" s="124"/>
      <c r="N197" s="351" t="e">
        <f t="shared" si="6"/>
        <v>#REF!</v>
      </c>
      <c r="O197" s="124">
        <f t="shared" si="6"/>
        <v>0</v>
      </c>
      <c r="P197" s="124">
        <f t="shared" si="6"/>
        <v>0</v>
      </c>
      <c r="Q197" s="124"/>
      <c r="R197" s="124"/>
      <c r="S197" s="124">
        <f t="shared" si="7"/>
        <v>0</v>
      </c>
      <c r="T197" s="353" t="e">
        <f>#REF!</f>
        <v>#REF!</v>
      </c>
      <c r="U197" s="353" t="e">
        <f>#REF!</f>
        <v>#REF!</v>
      </c>
      <c r="V197" s="353" t="e">
        <f>#REF!</f>
        <v>#REF!</v>
      </c>
      <c r="W197" s="124"/>
      <c r="X197" s="124"/>
      <c r="Y197" s="124"/>
      <c r="Z197" s="124"/>
      <c r="AA197" s="351" t="e">
        <f>#REF!</f>
        <v>#REF!</v>
      </c>
      <c r="AB197" s="124"/>
      <c r="AC197" s="124"/>
      <c r="AD197" s="124"/>
      <c r="AE197" s="124" t="e">
        <f>#REF!</f>
        <v>#REF!</v>
      </c>
      <c r="AF197" s="124" t="e">
        <f>#REF!</f>
        <v>#REF!</v>
      </c>
      <c r="AG197" s="124" t="e">
        <f>#REF!</f>
        <v>#REF!</v>
      </c>
      <c r="AH197" s="124" t="e">
        <f>#REF!</f>
        <v>#REF!</v>
      </c>
      <c r="AI197" s="124" t="e">
        <f>#REF!</f>
        <v>#REF!</v>
      </c>
      <c r="AJ197" s="124" t="e">
        <f>#REF!</f>
        <v>#REF!</v>
      </c>
      <c r="AK197" s="124" t="e">
        <f>#REF!</f>
        <v>#REF!</v>
      </c>
      <c r="AL197" s="124" t="e">
        <f>#REF!</f>
        <v>#REF!</v>
      </c>
      <c r="AM197" s="124" t="e">
        <f>#REF!</f>
        <v>#REF!</v>
      </c>
      <c r="AN197" s="124" t="e">
        <f>#REF!</f>
        <v>#REF!</v>
      </c>
      <c r="AO197" s="124" t="e">
        <f>#REF!</f>
        <v>#REF!</v>
      </c>
      <c r="AP197" s="124" t="e">
        <f>#REF!</f>
        <v>#REF!</v>
      </c>
    </row>
    <row r="198" spans="1:42" x14ac:dyDescent="0.25">
      <c r="A198" s="351" t="e">
        <f>#REF!</f>
        <v>#REF!</v>
      </c>
      <c r="B198" s="351" t="e">
        <f>#REF!</f>
        <v>#REF!</v>
      </c>
      <c r="C198" s="351" t="e">
        <f>#REF!</f>
        <v>#REF!</v>
      </c>
      <c r="D198" s="351" t="e">
        <f>#REF!</f>
        <v>#REF!</v>
      </c>
      <c r="E198" s="351" t="e">
        <f>#REF!</f>
        <v>#REF!</v>
      </c>
      <c r="F198" s="351" t="e">
        <f>#REF!</f>
        <v>#REF!</v>
      </c>
      <c r="G198" s="351" t="e">
        <f>#REF!</f>
        <v>#REF!</v>
      </c>
      <c r="H198" s="351" t="e">
        <f>#REF!</f>
        <v>#REF!</v>
      </c>
      <c r="I198" s="124"/>
      <c r="J198" s="124"/>
      <c r="K198" s="124"/>
      <c r="L198" s="124"/>
      <c r="M198" s="124"/>
      <c r="N198" s="351" t="e">
        <f t="shared" si="6"/>
        <v>#REF!</v>
      </c>
      <c r="O198" s="124">
        <f t="shared" si="6"/>
        <v>0</v>
      </c>
      <c r="P198" s="124">
        <f t="shared" si="6"/>
        <v>0</v>
      </c>
      <c r="Q198" s="124"/>
      <c r="R198" s="124"/>
      <c r="S198" s="124">
        <f t="shared" si="7"/>
        <v>0</v>
      </c>
      <c r="T198" s="353" t="e">
        <f>#REF!</f>
        <v>#REF!</v>
      </c>
      <c r="U198" s="353" t="e">
        <f>#REF!</f>
        <v>#REF!</v>
      </c>
      <c r="V198" s="353" t="e">
        <f>#REF!</f>
        <v>#REF!</v>
      </c>
      <c r="W198" s="124"/>
      <c r="X198" s="124"/>
      <c r="Y198" s="124"/>
      <c r="Z198" s="124"/>
      <c r="AA198" s="351" t="e">
        <f>#REF!</f>
        <v>#REF!</v>
      </c>
      <c r="AB198" s="124"/>
      <c r="AC198" s="124"/>
      <c r="AD198" s="124"/>
      <c r="AE198" s="124" t="e">
        <f>#REF!</f>
        <v>#REF!</v>
      </c>
      <c r="AF198" s="124" t="e">
        <f>#REF!</f>
        <v>#REF!</v>
      </c>
      <c r="AG198" s="124" t="e">
        <f>#REF!</f>
        <v>#REF!</v>
      </c>
      <c r="AH198" s="124" t="e">
        <f>#REF!</f>
        <v>#REF!</v>
      </c>
      <c r="AI198" s="124" t="e">
        <f>#REF!</f>
        <v>#REF!</v>
      </c>
      <c r="AJ198" s="124" t="e">
        <f>#REF!</f>
        <v>#REF!</v>
      </c>
      <c r="AK198" s="124" t="e">
        <f>#REF!</f>
        <v>#REF!</v>
      </c>
      <c r="AL198" s="124" t="e">
        <f>#REF!</f>
        <v>#REF!</v>
      </c>
      <c r="AM198" s="124" t="e">
        <f>#REF!</f>
        <v>#REF!</v>
      </c>
      <c r="AN198" s="124" t="e">
        <f>#REF!</f>
        <v>#REF!</v>
      </c>
      <c r="AO198" s="124" t="e">
        <f>#REF!</f>
        <v>#REF!</v>
      </c>
      <c r="AP198" s="124" t="e">
        <f>#REF!</f>
        <v>#REF!</v>
      </c>
    </row>
    <row r="199" spans="1:42" x14ac:dyDescent="0.25">
      <c r="A199" s="351" t="e">
        <f>#REF!</f>
        <v>#REF!</v>
      </c>
      <c r="B199" s="351" t="e">
        <f>#REF!</f>
        <v>#REF!</v>
      </c>
      <c r="C199" s="351" t="e">
        <f>#REF!</f>
        <v>#REF!</v>
      </c>
      <c r="D199" s="351" t="e">
        <f>#REF!</f>
        <v>#REF!</v>
      </c>
      <c r="E199" s="351" t="e">
        <f>#REF!</f>
        <v>#REF!</v>
      </c>
      <c r="F199" s="351" t="e">
        <f>#REF!</f>
        <v>#REF!</v>
      </c>
      <c r="G199" s="351" t="e">
        <f>#REF!</f>
        <v>#REF!</v>
      </c>
      <c r="H199" s="351" t="e">
        <f>#REF!</f>
        <v>#REF!</v>
      </c>
      <c r="I199" s="124"/>
      <c r="J199" s="124"/>
      <c r="K199" s="124"/>
      <c r="L199" s="124"/>
      <c r="M199" s="124"/>
      <c r="N199" s="351" t="e">
        <f t="shared" si="6"/>
        <v>#REF!</v>
      </c>
      <c r="O199" s="124">
        <f t="shared" si="6"/>
        <v>0</v>
      </c>
      <c r="P199" s="124">
        <f t="shared" si="6"/>
        <v>0</v>
      </c>
      <c r="Q199" s="124"/>
      <c r="R199" s="124"/>
      <c r="S199" s="124">
        <f t="shared" si="7"/>
        <v>0</v>
      </c>
      <c r="T199" s="353" t="e">
        <f>#REF!</f>
        <v>#REF!</v>
      </c>
      <c r="U199" s="353" t="e">
        <f>#REF!</f>
        <v>#REF!</v>
      </c>
      <c r="V199" s="353" t="e">
        <f>#REF!</f>
        <v>#REF!</v>
      </c>
      <c r="W199" s="124"/>
      <c r="X199" s="124"/>
      <c r="Y199" s="124"/>
      <c r="Z199" s="124"/>
      <c r="AA199" s="351" t="e">
        <f>#REF!</f>
        <v>#REF!</v>
      </c>
      <c r="AB199" s="124"/>
      <c r="AC199" s="124"/>
      <c r="AD199" s="124"/>
      <c r="AE199" s="124" t="e">
        <f>#REF!</f>
        <v>#REF!</v>
      </c>
      <c r="AF199" s="124" t="e">
        <f>#REF!</f>
        <v>#REF!</v>
      </c>
      <c r="AG199" s="124" t="e">
        <f>#REF!</f>
        <v>#REF!</v>
      </c>
      <c r="AH199" s="124" t="e">
        <f>#REF!</f>
        <v>#REF!</v>
      </c>
      <c r="AI199" s="124" t="e">
        <f>#REF!</f>
        <v>#REF!</v>
      </c>
      <c r="AJ199" s="124" t="e">
        <f>#REF!</f>
        <v>#REF!</v>
      </c>
      <c r="AK199" s="124" t="e">
        <f>#REF!</f>
        <v>#REF!</v>
      </c>
      <c r="AL199" s="124" t="e">
        <f>#REF!</f>
        <v>#REF!</v>
      </c>
      <c r="AM199" s="124" t="e">
        <f>#REF!</f>
        <v>#REF!</v>
      </c>
      <c r="AN199" s="124" t="e">
        <f>#REF!</f>
        <v>#REF!</v>
      </c>
      <c r="AO199" s="124" t="e">
        <f>#REF!</f>
        <v>#REF!</v>
      </c>
      <c r="AP199" s="124" t="e">
        <f>#REF!</f>
        <v>#REF!</v>
      </c>
    </row>
    <row r="200" spans="1:42" x14ac:dyDescent="0.25">
      <c r="A200" s="351" t="e">
        <f>#REF!</f>
        <v>#REF!</v>
      </c>
      <c r="B200" s="351" t="e">
        <f>#REF!</f>
        <v>#REF!</v>
      </c>
      <c r="C200" s="351" t="e">
        <f>#REF!</f>
        <v>#REF!</v>
      </c>
      <c r="D200" s="351" t="e">
        <f>#REF!</f>
        <v>#REF!</v>
      </c>
      <c r="E200" s="351" t="e">
        <f>#REF!</f>
        <v>#REF!</v>
      </c>
      <c r="F200" s="351" t="e">
        <f>#REF!</f>
        <v>#REF!</v>
      </c>
      <c r="G200" s="351" t="e">
        <f>#REF!</f>
        <v>#REF!</v>
      </c>
      <c r="H200" s="351" t="e">
        <f>#REF!</f>
        <v>#REF!</v>
      </c>
      <c r="I200" s="124"/>
      <c r="J200" s="124"/>
      <c r="K200" s="124"/>
      <c r="L200" s="124"/>
      <c r="M200" s="124"/>
      <c r="N200" s="351" t="e">
        <f t="shared" si="6"/>
        <v>#REF!</v>
      </c>
      <c r="O200" s="124">
        <f t="shared" si="6"/>
        <v>0</v>
      </c>
      <c r="P200" s="124">
        <f t="shared" si="6"/>
        <v>0</v>
      </c>
      <c r="Q200" s="124"/>
      <c r="R200" s="124"/>
      <c r="S200" s="124">
        <f t="shared" si="7"/>
        <v>0</v>
      </c>
      <c r="T200" s="353" t="e">
        <f>#REF!</f>
        <v>#REF!</v>
      </c>
      <c r="U200" s="353" t="e">
        <f>#REF!</f>
        <v>#REF!</v>
      </c>
      <c r="V200" s="353" t="e">
        <f>#REF!</f>
        <v>#REF!</v>
      </c>
      <c r="W200" s="124"/>
      <c r="X200" s="124"/>
      <c r="Y200" s="124"/>
      <c r="Z200" s="124"/>
      <c r="AA200" s="351" t="e">
        <f>#REF!</f>
        <v>#REF!</v>
      </c>
      <c r="AB200" s="124"/>
      <c r="AC200" s="124"/>
      <c r="AD200" s="124"/>
      <c r="AE200" s="124" t="e">
        <f>#REF!</f>
        <v>#REF!</v>
      </c>
      <c r="AF200" s="124" t="e">
        <f>#REF!</f>
        <v>#REF!</v>
      </c>
      <c r="AG200" s="124" t="e">
        <f>#REF!</f>
        <v>#REF!</v>
      </c>
      <c r="AH200" s="124" t="e">
        <f>#REF!</f>
        <v>#REF!</v>
      </c>
      <c r="AI200" s="124" t="e">
        <f>#REF!</f>
        <v>#REF!</v>
      </c>
      <c r="AJ200" s="124" t="e">
        <f>#REF!</f>
        <v>#REF!</v>
      </c>
      <c r="AK200" s="124" t="e">
        <f>#REF!</f>
        <v>#REF!</v>
      </c>
      <c r="AL200" s="124" t="e">
        <f>#REF!</f>
        <v>#REF!</v>
      </c>
      <c r="AM200" s="124" t="e">
        <f>#REF!</f>
        <v>#REF!</v>
      </c>
      <c r="AN200" s="124" t="e">
        <f>#REF!</f>
        <v>#REF!</v>
      </c>
      <c r="AO200" s="124" t="e">
        <f>#REF!</f>
        <v>#REF!</v>
      </c>
      <c r="AP200" s="124" t="e">
        <f>#REF!</f>
        <v>#REF!</v>
      </c>
    </row>
    <row r="201" spans="1:42" x14ac:dyDescent="0.25">
      <c r="A201" s="351" t="e">
        <f>#REF!</f>
        <v>#REF!</v>
      </c>
      <c r="B201" s="351" t="e">
        <f>#REF!</f>
        <v>#REF!</v>
      </c>
      <c r="C201" s="351" t="e">
        <f>#REF!</f>
        <v>#REF!</v>
      </c>
      <c r="D201" s="351" t="e">
        <f>#REF!</f>
        <v>#REF!</v>
      </c>
      <c r="E201" s="351" t="e">
        <f>#REF!</f>
        <v>#REF!</v>
      </c>
      <c r="F201" s="351" t="e">
        <f>#REF!</f>
        <v>#REF!</v>
      </c>
      <c r="G201" s="351" t="e">
        <f>#REF!</f>
        <v>#REF!</v>
      </c>
      <c r="H201" s="351" t="e">
        <f>#REF!</f>
        <v>#REF!</v>
      </c>
      <c r="I201" s="124"/>
      <c r="J201" s="124"/>
      <c r="K201" s="124"/>
      <c r="L201" s="124"/>
      <c r="M201" s="124"/>
      <c r="N201" s="351" t="e">
        <f t="shared" si="6"/>
        <v>#REF!</v>
      </c>
      <c r="O201" s="124">
        <f t="shared" si="6"/>
        <v>0</v>
      </c>
      <c r="P201" s="124">
        <f t="shared" si="6"/>
        <v>0</v>
      </c>
      <c r="Q201" s="124"/>
      <c r="R201" s="124"/>
      <c r="S201" s="124">
        <f t="shared" si="7"/>
        <v>0</v>
      </c>
      <c r="T201" s="353" t="e">
        <f>#REF!</f>
        <v>#REF!</v>
      </c>
      <c r="U201" s="353" t="e">
        <f>#REF!</f>
        <v>#REF!</v>
      </c>
      <c r="V201" s="353" t="e">
        <f>#REF!</f>
        <v>#REF!</v>
      </c>
      <c r="W201" s="124"/>
      <c r="X201" s="124"/>
      <c r="Y201" s="124"/>
      <c r="Z201" s="124"/>
      <c r="AA201" s="351" t="e">
        <f>#REF!</f>
        <v>#REF!</v>
      </c>
      <c r="AB201" s="124"/>
      <c r="AC201" s="124"/>
      <c r="AD201" s="124"/>
      <c r="AE201" s="124" t="e">
        <f>#REF!</f>
        <v>#REF!</v>
      </c>
      <c r="AF201" s="124" t="e">
        <f>#REF!</f>
        <v>#REF!</v>
      </c>
      <c r="AG201" s="124" t="e">
        <f>#REF!</f>
        <v>#REF!</v>
      </c>
      <c r="AH201" s="124" t="e">
        <f>#REF!</f>
        <v>#REF!</v>
      </c>
      <c r="AI201" s="124" t="e">
        <f>#REF!</f>
        <v>#REF!</v>
      </c>
      <c r="AJ201" s="124" t="e">
        <f>#REF!</f>
        <v>#REF!</v>
      </c>
      <c r="AK201" s="124" t="e">
        <f>#REF!</f>
        <v>#REF!</v>
      </c>
      <c r="AL201" s="124" t="e">
        <f>#REF!</f>
        <v>#REF!</v>
      </c>
      <c r="AM201" s="124" t="e">
        <f>#REF!</f>
        <v>#REF!</v>
      </c>
      <c r="AN201" s="124" t="e">
        <f>#REF!</f>
        <v>#REF!</v>
      </c>
      <c r="AO201" s="124" t="e">
        <f>#REF!</f>
        <v>#REF!</v>
      </c>
      <c r="AP201" s="124" t="e">
        <f>#REF!</f>
        <v>#REF!</v>
      </c>
    </row>
    <row r="202" spans="1:42" x14ac:dyDescent="0.25">
      <c r="A202" s="351" t="e">
        <f>#REF!</f>
        <v>#REF!</v>
      </c>
      <c r="B202" s="351" t="e">
        <f>#REF!</f>
        <v>#REF!</v>
      </c>
      <c r="C202" s="351" t="e">
        <f>#REF!</f>
        <v>#REF!</v>
      </c>
      <c r="D202" s="351" t="e">
        <f>#REF!</f>
        <v>#REF!</v>
      </c>
      <c r="E202" s="351" t="e">
        <f>#REF!</f>
        <v>#REF!</v>
      </c>
      <c r="F202" s="351" t="e">
        <f>#REF!</f>
        <v>#REF!</v>
      </c>
      <c r="G202" s="351" t="e">
        <f>#REF!</f>
        <v>#REF!</v>
      </c>
      <c r="H202" s="351" t="e">
        <f>#REF!</f>
        <v>#REF!</v>
      </c>
      <c r="I202" s="124"/>
      <c r="J202" s="124"/>
      <c r="K202" s="124"/>
      <c r="L202" s="124"/>
      <c r="M202" s="124"/>
      <c r="N202" s="351" t="e">
        <f t="shared" si="6"/>
        <v>#REF!</v>
      </c>
      <c r="O202" s="124">
        <f t="shared" si="6"/>
        <v>0</v>
      </c>
      <c r="P202" s="124">
        <f t="shared" si="6"/>
        <v>0</v>
      </c>
      <c r="Q202" s="124"/>
      <c r="R202" s="124"/>
      <c r="S202" s="124">
        <f t="shared" si="7"/>
        <v>0</v>
      </c>
      <c r="T202" s="353" t="e">
        <f>#REF!</f>
        <v>#REF!</v>
      </c>
      <c r="U202" s="353" t="e">
        <f>#REF!</f>
        <v>#REF!</v>
      </c>
      <c r="V202" s="353" t="e">
        <f>#REF!</f>
        <v>#REF!</v>
      </c>
      <c r="W202" s="124"/>
      <c r="X202" s="124"/>
      <c r="Y202" s="124"/>
      <c r="Z202" s="124"/>
      <c r="AA202" s="351" t="e">
        <f>#REF!</f>
        <v>#REF!</v>
      </c>
      <c r="AB202" s="124"/>
      <c r="AC202" s="124"/>
      <c r="AD202" s="124"/>
      <c r="AE202" s="124" t="e">
        <f>#REF!</f>
        <v>#REF!</v>
      </c>
      <c r="AF202" s="124" t="e">
        <f>#REF!</f>
        <v>#REF!</v>
      </c>
      <c r="AG202" s="124" t="e">
        <f>#REF!</f>
        <v>#REF!</v>
      </c>
      <c r="AH202" s="124" t="e">
        <f>#REF!</f>
        <v>#REF!</v>
      </c>
      <c r="AI202" s="124" t="e">
        <f>#REF!</f>
        <v>#REF!</v>
      </c>
      <c r="AJ202" s="124" t="e">
        <f>#REF!</f>
        <v>#REF!</v>
      </c>
      <c r="AK202" s="124" t="e">
        <f>#REF!</f>
        <v>#REF!</v>
      </c>
      <c r="AL202" s="124" t="e">
        <f>#REF!</f>
        <v>#REF!</v>
      </c>
      <c r="AM202" s="124" t="e">
        <f>#REF!</f>
        <v>#REF!</v>
      </c>
      <c r="AN202" s="124" t="e">
        <f>#REF!</f>
        <v>#REF!</v>
      </c>
      <c r="AO202" s="124" t="e">
        <f>#REF!</f>
        <v>#REF!</v>
      </c>
      <c r="AP202" s="124" t="e">
        <f>#REF!</f>
        <v>#REF!</v>
      </c>
    </row>
    <row r="203" spans="1:42" x14ac:dyDescent="0.25">
      <c r="A203" s="351" t="e">
        <f>#REF!</f>
        <v>#REF!</v>
      </c>
      <c r="B203" s="351" t="e">
        <f>#REF!</f>
        <v>#REF!</v>
      </c>
      <c r="C203" s="351" t="e">
        <f>#REF!</f>
        <v>#REF!</v>
      </c>
      <c r="D203" s="351" t="e">
        <f>#REF!</f>
        <v>#REF!</v>
      </c>
      <c r="E203" s="351" t="e">
        <f>#REF!</f>
        <v>#REF!</v>
      </c>
      <c r="F203" s="351" t="e">
        <f>#REF!</f>
        <v>#REF!</v>
      </c>
      <c r="G203" s="351" t="e">
        <f>#REF!</f>
        <v>#REF!</v>
      </c>
      <c r="H203" s="351" t="e">
        <f>#REF!</f>
        <v>#REF!</v>
      </c>
      <c r="I203" s="124"/>
      <c r="J203" s="124"/>
      <c r="K203" s="124"/>
      <c r="L203" s="124"/>
      <c r="M203" s="124"/>
      <c r="N203" s="351" t="e">
        <f t="shared" si="6"/>
        <v>#REF!</v>
      </c>
      <c r="O203" s="124">
        <f t="shared" si="6"/>
        <v>0</v>
      </c>
      <c r="P203" s="124">
        <f t="shared" si="6"/>
        <v>0</v>
      </c>
      <c r="Q203" s="124"/>
      <c r="R203" s="124"/>
      <c r="S203" s="124">
        <f t="shared" si="7"/>
        <v>0</v>
      </c>
      <c r="T203" s="353" t="e">
        <f>#REF!</f>
        <v>#REF!</v>
      </c>
      <c r="U203" s="353" t="e">
        <f>#REF!</f>
        <v>#REF!</v>
      </c>
      <c r="V203" s="353" t="e">
        <f>#REF!</f>
        <v>#REF!</v>
      </c>
      <c r="W203" s="124"/>
      <c r="X203" s="124"/>
      <c r="Y203" s="124"/>
      <c r="Z203" s="124"/>
      <c r="AA203" s="351" t="e">
        <f>#REF!</f>
        <v>#REF!</v>
      </c>
      <c r="AB203" s="124"/>
      <c r="AC203" s="124"/>
      <c r="AD203" s="124"/>
      <c r="AE203" s="124" t="e">
        <f>#REF!</f>
        <v>#REF!</v>
      </c>
      <c r="AF203" s="124" t="e">
        <f>#REF!</f>
        <v>#REF!</v>
      </c>
      <c r="AG203" s="124" t="e">
        <f>#REF!</f>
        <v>#REF!</v>
      </c>
      <c r="AH203" s="124" t="e">
        <f>#REF!</f>
        <v>#REF!</v>
      </c>
      <c r="AI203" s="124" t="e">
        <f>#REF!</f>
        <v>#REF!</v>
      </c>
      <c r="AJ203" s="124" t="e">
        <f>#REF!</f>
        <v>#REF!</v>
      </c>
      <c r="AK203" s="124" t="e">
        <f>#REF!</f>
        <v>#REF!</v>
      </c>
      <c r="AL203" s="124" t="e">
        <f>#REF!</f>
        <v>#REF!</v>
      </c>
      <c r="AM203" s="124" t="e">
        <f>#REF!</f>
        <v>#REF!</v>
      </c>
      <c r="AN203" s="124" t="e">
        <f>#REF!</f>
        <v>#REF!</v>
      </c>
      <c r="AO203" s="124" t="e">
        <f>#REF!</f>
        <v>#REF!</v>
      </c>
      <c r="AP203" s="124" t="e">
        <f>#REF!</f>
        <v>#REF!</v>
      </c>
    </row>
    <row r="204" spans="1:42" x14ac:dyDescent="0.25">
      <c r="A204" s="351" t="e">
        <f>#REF!</f>
        <v>#REF!</v>
      </c>
      <c r="B204" s="351" t="e">
        <f>#REF!</f>
        <v>#REF!</v>
      </c>
      <c r="C204" s="351" t="e">
        <f>#REF!</f>
        <v>#REF!</v>
      </c>
      <c r="D204" s="351" t="e">
        <f>#REF!</f>
        <v>#REF!</v>
      </c>
      <c r="E204" s="351" t="e">
        <f>#REF!</f>
        <v>#REF!</v>
      </c>
      <c r="F204" s="351" t="e">
        <f>#REF!</f>
        <v>#REF!</v>
      </c>
      <c r="G204" s="351" t="e">
        <f>#REF!</f>
        <v>#REF!</v>
      </c>
      <c r="H204" s="351" t="e">
        <f>#REF!</f>
        <v>#REF!</v>
      </c>
      <c r="I204" s="124"/>
      <c r="J204" s="124"/>
      <c r="K204" s="124"/>
      <c r="L204" s="124"/>
      <c r="M204" s="124"/>
      <c r="N204" s="351" t="e">
        <f t="shared" si="6"/>
        <v>#REF!</v>
      </c>
      <c r="O204" s="124">
        <f t="shared" si="6"/>
        <v>0</v>
      </c>
      <c r="P204" s="124">
        <f t="shared" si="6"/>
        <v>0</v>
      </c>
      <c r="Q204" s="124"/>
      <c r="R204" s="124"/>
      <c r="S204" s="124">
        <f t="shared" si="7"/>
        <v>0</v>
      </c>
      <c r="T204" s="353" t="e">
        <f>#REF!</f>
        <v>#REF!</v>
      </c>
      <c r="U204" s="353" t="e">
        <f>#REF!</f>
        <v>#REF!</v>
      </c>
      <c r="V204" s="353" t="e">
        <f>#REF!</f>
        <v>#REF!</v>
      </c>
      <c r="W204" s="124"/>
      <c r="X204" s="124"/>
      <c r="Y204" s="124"/>
      <c r="Z204" s="124"/>
      <c r="AA204" s="351" t="e">
        <f>#REF!</f>
        <v>#REF!</v>
      </c>
      <c r="AB204" s="124"/>
      <c r="AC204" s="124"/>
      <c r="AD204" s="124"/>
      <c r="AE204" s="124" t="e">
        <f>#REF!</f>
        <v>#REF!</v>
      </c>
      <c r="AF204" s="124" t="e">
        <f>#REF!</f>
        <v>#REF!</v>
      </c>
      <c r="AG204" s="124" t="e">
        <f>#REF!</f>
        <v>#REF!</v>
      </c>
      <c r="AH204" s="124" t="e">
        <f>#REF!</f>
        <v>#REF!</v>
      </c>
      <c r="AI204" s="124" t="e">
        <f>#REF!</f>
        <v>#REF!</v>
      </c>
      <c r="AJ204" s="124" t="e">
        <f>#REF!</f>
        <v>#REF!</v>
      </c>
      <c r="AK204" s="124" t="e">
        <f>#REF!</f>
        <v>#REF!</v>
      </c>
      <c r="AL204" s="124" t="e">
        <f>#REF!</f>
        <v>#REF!</v>
      </c>
      <c r="AM204" s="124" t="e">
        <f>#REF!</f>
        <v>#REF!</v>
      </c>
      <c r="AN204" s="124" t="e">
        <f>#REF!</f>
        <v>#REF!</v>
      </c>
      <c r="AO204" s="124" t="e">
        <f>#REF!</f>
        <v>#REF!</v>
      </c>
      <c r="AP204" s="124" t="e">
        <f>#REF!</f>
        <v>#REF!</v>
      </c>
    </row>
    <row r="205" spans="1:42" x14ac:dyDescent="0.25">
      <c r="A205" s="351" t="e">
        <f>#REF!</f>
        <v>#REF!</v>
      </c>
      <c r="B205" s="351" t="e">
        <f>#REF!</f>
        <v>#REF!</v>
      </c>
      <c r="C205" s="351" t="e">
        <f>#REF!</f>
        <v>#REF!</v>
      </c>
      <c r="D205" s="351" t="e">
        <f>#REF!</f>
        <v>#REF!</v>
      </c>
      <c r="E205" s="351" t="e">
        <f>#REF!</f>
        <v>#REF!</v>
      </c>
      <c r="F205" s="351" t="e">
        <f>#REF!</f>
        <v>#REF!</v>
      </c>
      <c r="G205" s="351" t="e">
        <f>#REF!</f>
        <v>#REF!</v>
      </c>
      <c r="H205" s="351" t="e">
        <f>#REF!</f>
        <v>#REF!</v>
      </c>
      <c r="I205" s="124"/>
      <c r="J205" s="124"/>
      <c r="K205" s="124"/>
      <c r="L205" s="124"/>
      <c r="M205" s="124"/>
      <c r="N205" s="351" t="e">
        <f t="shared" si="6"/>
        <v>#REF!</v>
      </c>
      <c r="O205" s="124">
        <f t="shared" si="6"/>
        <v>0</v>
      </c>
      <c r="P205" s="124">
        <f t="shared" si="6"/>
        <v>0</v>
      </c>
      <c r="Q205" s="124"/>
      <c r="R205" s="124"/>
      <c r="S205" s="124">
        <f t="shared" si="7"/>
        <v>0</v>
      </c>
      <c r="T205" s="353" t="e">
        <f>#REF!</f>
        <v>#REF!</v>
      </c>
      <c r="U205" s="353" t="e">
        <f>#REF!</f>
        <v>#REF!</v>
      </c>
      <c r="V205" s="353" t="e">
        <f>#REF!</f>
        <v>#REF!</v>
      </c>
      <c r="W205" s="124"/>
      <c r="X205" s="124"/>
      <c r="Y205" s="124"/>
      <c r="Z205" s="124"/>
      <c r="AA205" s="351" t="e">
        <f>#REF!</f>
        <v>#REF!</v>
      </c>
      <c r="AB205" s="124"/>
      <c r="AC205" s="124"/>
      <c r="AD205" s="124"/>
      <c r="AE205" s="124" t="e">
        <f>#REF!</f>
        <v>#REF!</v>
      </c>
      <c r="AF205" s="124" t="e">
        <f>#REF!</f>
        <v>#REF!</v>
      </c>
      <c r="AG205" s="124" t="e">
        <f>#REF!</f>
        <v>#REF!</v>
      </c>
      <c r="AH205" s="124" t="e">
        <f>#REF!</f>
        <v>#REF!</v>
      </c>
      <c r="AI205" s="124" t="e">
        <f>#REF!</f>
        <v>#REF!</v>
      </c>
      <c r="AJ205" s="124" t="e">
        <f>#REF!</f>
        <v>#REF!</v>
      </c>
      <c r="AK205" s="124" t="e">
        <f>#REF!</f>
        <v>#REF!</v>
      </c>
      <c r="AL205" s="124" t="e">
        <f>#REF!</f>
        <v>#REF!</v>
      </c>
      <c r="AM205" s="124" t="e">
        <f>#REF!</f>
        <v>#REF!</v>
      </c>
      <c r="AN205" s="124" t="e">
        <f>#REF!</f>
        <v>#REF!</v>
      </c>
      <c r="AO205" s="124" t="e">
        <f>#REF!</f>
        <v>#REF!</v>
      </c>
      <c r="AP205" s="124" t="e">
        <f>#REF!</f>
        <v>#REF!</v>
      </c>
    </row>
    <row r="206" spans="1:42" x14ac:dyDescent="0.25">
      <c r="A206" s="351" t="e">
        <f>#REF!</f>
        <v>#REF!</v>
      </c>
      <c r="B206" s="351" t="e">
        <f>#REF!</f>
        <v>#REF!</v>
      </c>
      <c r="C206" s="351" t="e">
        <f>#REF!</f>
        <v>#REF!</v>
      </c>
      <c r="D206" s="351" t="e">
        <f>#REF!</f>
        <v>#REF!</v>
      </c>
      <c r="E206" s="351" t="e">
        <f>#REF!</f>
        <v>#REF!</v>
      </c>
      <c r="F206" s="351" t="e">
        <f>#REF!</f>
        <v>#REF!</v>
      </c>
      <c r="G206" s="351" t="e">
        <f>#REF!</f>
        <v>#REF!</v>
      </c>
      <c r="H206" s="351" t="e">
        <f>#REF!</f>
        <v>#REF!</v>
      </c>
      <c r="I206" s="124"/>
      <c r="J206" s="124"/>
      <c r="K206" s="124"/>
      <c r="L206" s="124"/>
      <c r="M206" s="124"/>
      <c r="N206" s="351" t="e">
        <f t="shared" si="6"/>
        <v>#REF!</v>
      </c>
      <c r="O206" s="124">
        <f t="shared" si="6"/>
        <v>0</v>
      </c>
      <c r="P206" s="124">
        <f t="shared" si="6"/>
        <v>0</v>
      </c>
      <c r="Q206" s="124"/>
      <c r="R206" s="124"/>
      <c r="S206" s="124">
        <f t="shared" si="7"/>
        <v>0</v>
      </c>
      <c r="T206" s="353" t="e">
        <f>#REF!</f>
        <v>#REF!</v>
      </c>
      <c r="U206" s="353" t="e">
        <f>#REF!</f>
        <v>#REF!</v>
      </c>
      <c r="V206" s="353" t="e">
        <f>#REF!</f>
        <v>#REF!</v>
      </c>
      <c r="W206" s="124"/>
      <c r="X206" s="124"/>
      <c r="Y206" s="124"/>
      <c r="Z206" s="124"/>
      <c r="AA206" s="351" t="e">
        <f>#REF!</f>
        <v>#REF!</v>
      </c>
      <c r="AB206" s="124"/>
      <c r="AC206" s="124"/>
      <c r="AD206" s="124"/>
      <c r="AE206" s="124" t="e">
        <f>#REF!</f>
        <v>#REF!</v>
      </c>
      <c r="AF206" s="124" t="e">
        <f>#REF!</f>
        <v>#REF!</v>
      </c>
      <c r="AG206" s="124" t="e">
        <f>#REF!</f>
        <v>#REF!</v>
      </c>
      <c r="AH206" s="124" t="e">
        <f>#REF!</f>
        <v>#REF!</v>
      </c>
      <c r="AI206" s="124" t="e">
        <f>#REF!</f>
        <v>#REF!</v>
      </c>
      <c r="AJ206" s="124" t="e">
        <f>#REF!</f>
        <v>#REF!</v>
      </c>
      <c r="AK206" s="124" t="e">
        <f>#REF!</f>
        <v>#REF!</v>
      </c>
      <c r="AL206" s="124" t="e">
        <f>#REF!</f>
        <v>#REF!</v>
      </c>
      <c r="AM206" s="124" t="e">
        <f>#REF!</f>
        <v>#REF!</v>
      </c>
      <c r="AN206" s="124" t="e">
        <f>#REF!</f>
        <v>#REF!</v>
      </c>
      <c r="AO206" s="124" t="e">
        <f>#REF!</f>
        <v>#REF!</v>
      </c>
      <c r="AP206" s="124" t="e">
        <f>#REF!</f>
        <v>#REF!</v>
      </c>
    </row>
    <row r="207" spans="1:42" x14ac:dyDescent="0.25">
      <c r="A207" s="351" t="e">
        <f>#REF!</f>
        <v>#REF!</v>
      </c>
      <c r="B207" s="351" t="e">
        <f>#REF!</f>
        <v>#REF!</v>
      </c>
      <c r="C207" s="351" t="e">
        <f>#REF!</f>
        <v>#REF!</v>
      </c>
      <c r="D207" s="351" t="e">
        <f>#REF!</f>
        <v>#REF!</v>
      </c>
      <c r="E207" s="351" t="e">
        <f>#REF!</f>
        <v>#REF!</v>
      </c>
      <c r="F207" s="351" t="e">
        <f>#REF!</f>
        <v>#REF!</v>
      </c>
      <c r="G207" s="351" t="e">
        <f>#REF!</f>
        <v>#REF!</v>
      </c>
      <c r="H207" s="351" t="e">
        <f>#REF!</f>
        <v>#REF!</v>
      </c>
      <c r="I207" s="124"/>
      <c r="J207" s="124"/>
      <c r="K207" s="124"/>
      <c r="L207" s="124"/>
      <c r="M207" s="124"/>
      <c r="N207" s="351" t="e">
        <f t="shared" si="6"/>
        <v>#REF!</v>
      </c>
      <c r="O207" s="124">
        <f t="shared" si="6"/>
        <v>0</v>
      </c>
      <c r="P207" s="124">
        <f t="shared" si="6"/>
        <v>0</v>
      </c>
      <c r="Q207" s="124"/>
      <c r="R207" s="124"/>
      <c r="S207" s="124">
        <f t="shared" si="7"/>
        <v>0</v>
      </c>
      <c r="T207" s="353" t="e">
        <f>#REF!</f>
        <v>#REF!</v>
      </c>
      <c r="U207" s="353" t="e">
        <f>#REF!</f>
        <v>#REF!</v>
      </c>
      <c r="V207" s="353" t="e">
        <f>#REF!</f>
        <v>#REF!</v>
      </c>
      <c r="W207" s="124"/>
      <c r="X207" s="124"/>
      <c r="Y207" s="124"/>
      <c r="Z207" s="124"/>
      <c r="AA207" s="351" t="e">
        <f>#REF!</f>
        <v>#REF!</v>
      </c>
      <c r="AB207" s="124"/>
      <c r="AC207" s="124"/>
      <c r="AD207" s="124"/>
      <c r="AE207" s="124" t="e">
        <f>#REF!</f>
        <v>#REF!</v>
      </c>
      <c r="AF207" s="124" t="e">
        <f>#REF!</f>
        <v>#REF!</v>
      </c>
      <c r="AG207" s="124" t="e">
        <f>#REF!</f>
        <v>#REF!</v>
      </c>
      <c r="AH207" s="124" t="e">
        <f>#REF!</f>
        <v>#REF!</v>
      </c>
      <c r="AI207" s="124" t="e">
        <f>#REF!</f>
        <v>#REF!</v>
      </c>
      <c r="AJ207" s="124" t="e">
        <f>#REF!</f>
        <v>#REF!</v>
      </c>
      <c r="AK207" s="124" t="e">
        <f>#REF!</f>
        <v>#REF!</v>
      </c>
      <c r="AL207" s="124" t="e">
        <f>#REF!</f>
        <v>#REF!</v>
      </c>
      <c r="AM207" s="124" t="e">
        <f>#REF!</f>
        <v>#REF!</v>
      </c>
      <c r="AN207" s="124" t="e">
        <f>#REF!</f>
        <v>#REF!</v>
      </c>
      <c r="AO207" s="124" t="e">
        <f>#REF!</f>
        <v>#REF!</v>
      </c>
      <c r="AP207" s="124" t="e">
        <f>#REF!</f>
        <v>#REF!</v>
      </c>
    </row>
    <row r="208" spans="1:42" x14ac:dyDescent="0.25">
      <c r="A208" s="351" t="e">
        <f>#REF!</f>
        <v>#REF!</v>
      </c>
      <c r="B208" s="351" t="e">
        <f>#REF!</f>
        <v>#REF!</v>
      </c>
      <c r="C208" s="351" t="e">
        <f>#REF!</f>
        <v>#REF!</v>
      </c>
      <c r="D208" s="351" t="e">
        <f>#REF!</f>
        <v>#REF!</v>
      </c>
      <c r="E208" s="351" t="e">
        <f>#REF!</f>
        <v>#REF!</v>
      </c>
      <c r="F208" s="351" t="e">
        <f>#REF!</f>
        <v>#REF!</v>
      </c>
      <c r="G208" s="351" t="e">
        <f>#REF!</f>
        <v>#REF!</v>
      </c>
      <c r="H208" s="351" t="e">
        <f>#REF!</f>
        <v>#REF!</v>
      </c>
      <c r="I208" s="124"/>
      <c r="J208" s="124"/>
      <c r="K208" s="124"/>
      <c r="L208" s="124"/>
      <c r="M208" s="124"/>
      <c r="N208" s="351" t="e">
        <f t="shared" si="6"/>
        <v>#REF!</v>
      </c>
      <c r="O208" s="124">
        <f t="shared" si="6"/>
        <v>0</v>
      </c>
      <c r="P208" s="124">
        <f t="shared" si="6"/>
        <v>0</v>
      </c>
      <c r="Q208" s="124"/>
      <c r="R208" s="124"/>
      <c r="S208" s="124">
        <f t="shared" si="7"/>
        <v>0</v>
      </c>
      <c r="T208" s="353" t="e">
        <f>#REF!</f>
        <v>#REF!</v>
      </c>
      <c r="U208" s="353" t="e">
        <f>#REF!</f>
        <v>#REF!</v>
      </c>
      <c r="V208" s="353" t="e">
        <f>#REF!</f>
        <v>#REF!</v>
      </c>
      <c r="W208" s="124"/>
      <c r="X208" s="124"/>
      <c r="Y208" s="124"/>
      <c r="Z208" s="124"/>
      <c r="AA208" s="351" t="e">
        <f>#REF!</f>
        <v>#REF!</v>
      </c>
      <c r="AB208" s="124"/>
      <c r="AC208" s="124"/>
      <c r="AD208" s="124"/>
      <c r="AE208" s="124" t="e">
        <f>#REF!</f>
        <v>#REF!</v>
      </c>
      <c r="AF208" s="124" t="e">
        <f>#REF!</f>
        <v>#REF!</v>
      </c>
      <c r="AG208" s="124" t="e">
        <f>#REF!</f>
        <v>#REF!</v>
      </c>
      <c r="AH208" s="124" t="e">
        <f>#REF!</f>
        <v>#REF!</v>
      </c>
      <c r="AI208" s="124" t="e">
        <f>#REF!</f>
        <v>#REF!</v>
      </c>
      <c r="AJ208" s="124" t="e">
        <f>#REF!</f>
        <v>#REF!</v>
      </c>
      <c r="AK208" s="124" t="e">
        <f>#REF!</f>
        <v>#REF!</v>
      </c>
      <c r="AL208" s="124" t="e">
        <f>#REF!</f>
        <v>#REF!</v>
      </c>
      <c r="AM208" s="124" t="e">
        <f>#REF!</f>
        <v>#REF!</v>
      </c>
      <c r="AN208" s="124" t="e">
        <f>#REF!</f>
        <v>#REF!</v>
      </c>
      <c r="AO208" s="124" t="e">
        <f>#REF!</f>
        <v>#REF!</v>
      </c>
      <c r="AP208" s="124" t="e">
        <f>#REF!</f>
        <v>#REF!</v>
      </c>
    </row>
    <row r="209" spans="1:42" x14ac:dyDescent="0.25">
      <c r="A209" s="351" t="e">
        <f>#REF!</f>
        <v>#REF!</v>
      </c>
      <c r="B209" s="351" t="e">
        <f>#REF!</f>
        <v>#REF!</v>
      </c>
      <c r="C209" s="351" t="e">
        <f>#REF!</f>
        <v>#REF!</v>
      </c>
      <c r="D209" s="351" t="e">
        <f>#REF!</f>
        <v>#REF!</v>
      </c>
      <c r="E209" s="351" t="e">
        <f>#REF!</f>
        <v>#REF!</v>
      </c>
      <c r="F209" s="351" t="e">
        <f>#REF!</f>
        <v>#REF!</v>
      </c>
      <c r="G209" s="351" t="e">
        <f>#REF!</f>
        <v>#REF!</v>
      </c>
      <c r="H209" s="351" t="e">
        <f>#REF!</f>
        <v>#REF!</v>
      </c>
      <c r="I209" s="124"/>
      <c r="J209" s="124"/>
      <c r="K209" s="124"/>
      <c r="L209" s="124"/>
      <c r="M209" s="124"/>
      <c r="N209" s="351" t="e">
        <f t="shared" si="6"/>
        <v>#REF!</v>
      </c>
      <c r="O209" s="124">
        <f t="shared" si="6"/>
        <v>0</v>
      </c>
      <c r="P209" s="124">
        <f t="shared" si="6"/>
        <v>0</v>
      </c>
      <c r="Q209" s="124"/>
      <c r="R209" s="124"/>
      <c r="S209" s="124">
        <f t="shared" si="7"/>
        <v>0</v>
      </c>
      <c r="T209" s="353" t="e">
        <f>#REF!</f>
        <v>#REF!</v>
      </c>
      <c r="U209" s="353" t="e">
        <f>#REF!</f>
        <v>#REF!</v>
      </c>
      <c r="V209" s="353" t="e">
        <f>#REF!</f>
        <v>#REF!</v>
      </c>
      <c r="W209" s="124"/>
      <c r="X209" s="124"/>
      <c r="Y209" s="124"/>
      <c r="Z209" s="124"/>
      <c r="AA209" s="351" t="e">
        <f>#REF!</f>
        <v>#REF!</v>
      </c>
      <c r="AB209" s="124"/>
      <c r="AC209" s="124"/>
      <c r="AD209" s="124"/>
      <c r="AE209" s="124" t="e">
        <f>#REF!</f>
        <v>#REF!</v>
      </c>
      <c r="AF209" s="124" t="e">
        <f>#REF!</f>
        <v>#REF!</v>
      </c>
      <c r="AG209" s="124" t="e">
        <f>#REF!</f>
        <v>#REF!</v>
      </c>
      <c r="AH209" s="124" t="e">
        <f>#REF!</f>
        <v>#REF!</v>
      </c>
      <c r="AI209" s="124" t="e">
        <f>#REF!</f>
        <v>#REF!</v>
      </c>
      <c r="AJ209" s="124" t="e">
        <f>#REF!</f>
        <v>#REF!</v>
      </c>
      <c r="AK209" s="124" t="e">
        <f>#REF!</f>
        <v>#REF!</v>
      </c>
      <c r="AL209" s="124" t="e">
        <f>#REF!</f>
        <v>#REF!</v>
      </c>
      <c r="AM209" s="124" t="e">
        <f>#REF!</f>
        <v>#REF!</v>
      </c>
      <c r="AN209" s="124" t="e">
        <f>#REF!</f>
        <v>#REF!</v>
      </c>
      <c r="AO209" s="124" t="e">
        <f>#REF!</f>
        <v>#REF!</v>
      </c>
      <c r="AP209" s="124" t="e">
        <f>#REF!</f>
        <v>#REF!</v>
      </c>
    </row>
    <row r="210" spans="1:42" x14ac:dyDescent="0.25">
      <c r="A210" s="351" t="e">
        <f>#REF!</f>
        <v>#REF!</v>
      </c>
      <c r="B210" s="351" t="e">
        <f>#REF!</f>
        <v>#REF!</v>
      </c>
      <c r="C210" s="351" t="e">
        <f>#REF!</f>
        <v>#REF!</v>
      </c>
      <c r="D210" s="351" t="e">
        <f>#REF!</f>
        <v>#REF!</v>
      </c>
      <c r="E210" s="351" t="e">
        <f>#REF!</f>
        <v>#REF!</v>
      </c>
      <c r="F210" s="351" t="e">
        <f>#REF!</f>
        <v>#REF!</v>
      </c>
      <c r="G210" s="351" t="e">
        <f>#REF!</f>
        <v>#REF!</v>
      </c>
      <c r="H210" s="351" t="e">
        <f>#REF!</f>
        <v>#REF!</v>
      </c>
      <c r="I210" s="124"/>
      <c r="J210" s="124"/>
      <c r="K210" s="124"/>
      <c r="L210" s="124"/>
      <c r="M210" s="124"/>
      <c r="N210" s="351" t="e">
        <f t="shared" si="6"/>
        <v>#REF!</v>
      </c>
      <c r="O210" s="124">
        <f t="shared" si="6"/>
        <v>0</v>
      </c>
      <c r="P210" s="124">
        <f t="shared" si="6"/>
        <v>0</v>
      </c>
      <c r="Q210" s="124"/>
      <c r="R210" s="124"/>
      <c r="S210" s="124">
        <f t="shared" si="7"/>
        <v>0</v>
      </c>
      <c r="T210" s="353" t="e">
        <f>#REF!</f>
        <v>#REF!</v>
      </c>
      <c r="U210" s="353" t="e">
        <f>#REF!</f>
        <v>#REF!</v>
      </c>
      <c r="V210" s="353" t="e">
        <f>#REF!</f>
        <v>#REF!</v>
      </c>
      <c r="W210" s="124"/>
      <c r="X210" s="124"/>
      <c r="Y210" s="124"/>
      <c r="Z210" s="124"/>
      <c r="AA210" s="351" t="e">
        <f>#REF!</f>
        <v>#REF!</v>
      </c>
      <c r="AB210" s="124"/>
      <c r="AC210" s="124"/>
      <c r="AD210" s="124"/>
      <c r="AE210" s="124" t="e">
        <f>#REF!</f>
        <v>#REF!</v>
      </c>
      <c r="AF210" s="124" t="e">
        <f>#REF!</f>
        <v>#REF!</v>
      </c>
      <c r="AG210" s="124" t="e">
        <f>#REF!</f>
        <v>#REF!</v>
      </c>
      <c r="AH210" s="124" t="e">
        <f>#REF!</f>
        <v>#REF!</v>
      </c>
      <c r="AI210" s="124" t="e">
        <f>#REF!</f>
        <v>#REF!</v>
      </c>
      <c r="AJ210" s="124" t="e">
        <f>#REF!</f>
        <v>#REF!</v>
      </c>
      <c r="AK210" s="124" t="e">
        <f>#REF!</f>
        <v>#REF!</v>
      </c>
      <c r="AL210" s="124" t="e">
        <f>#REF!</f>
        <v>#REF!</v>
      </c>
      <c r="AM210" s="124" t="e">
        <f>#REF!</f>
        <v>#REF!</v>
      </c>
      <c r="AN210" s="124" t="e">
        <f>#REF!</f>
        <v>#REF!</v>
      </c>
      <c r="AO210" s="124" t="e">
        <f>#REF!</f>
        <v>#REF!</v>
      </c>
      <c r="AP210" s="124" t="e">
        <f>#REF!</f>
        <v>#REF!</v>
      </c>
    </row>
    <row r="211" spans="1:42" x14ac:dyDescent="0.25">
      <c r="A211" s="351" t="e">
        <f>#REF!</f>
        <v>#REF!</v>
      </c>
      <c r="B211" s="351" t="e">
        <f>#REF!</f>
        <v>#REF!</v>
      </c>
      <c r="C211" s="351" t="e">
        <f>#REF!</f>
        <v>#REF!</v>
      </c>
      <c r="D211" s="351" t="e">
        <f>#REF!</f>
        <v>#REF!</v>
      </c>
      <c r="E211" s="351" t="e">
        <f>#REF!</f>
        <v>#REF!</v>
      </c>
      <c r="F211" s="351" t="e">
        <f>#REF!</f>
        <v>#REF!</v>
      </c>
      <c r="G211" s="351" t="e">
        <f>#REF!</f>
        <v>#REF!</v>
      </c>
      <c r="H211" s="351" t="e">
        <f>#REF!</f>
        <v>#REF!</v>
      </c>
      <c r="I211" s="124"/>
      <c r="J211" s="124"/>
      <c r="K211" s="124"/>
      <c r="L211" s="124"/>
      <c r="M211" s="124"/>
      <c r="N211" s="351" t="e">
        <f t="shared" si="6"/>
        <v>#REF!</v>
      </c>
      <c r="O211" s="124">
        <f t="shared" si="6"/>
        <v>0</v>
      </c>
      <c r="P211" s="124">
        <f t="shared" si="6"/>
        <v>0</v>
      </c>
      <c r="Q211" s="124"/>
      <c r="R211" s="124"/>
      <c r="S211" s="124">
        <f t="shared" si="7"/>
        <v>0</v>
      </c>
      <c r="T211" s="353" t="e">
        <f>#REF!</f>
        <v>#REF!</v>
      </c>
      <c r="U211" s="353" t="e">
        <f>#REF!</f>
        <v>#REF!</v>
      </c>
      <c r="V211" s="353" t="e">
        <f>#REF!</f>
        <v>#REF!</v>
      </c>
      <c r="W211" s="124"/>
      <c r="X211" s="124"/>
      <c r="Y211" s="124"/>
      <c r="Z211" s="124"/>
      <c r="AA211" s="351" t="e">
        <f>#REF!</f>
        <v>#REF!</v>
      </c>
      <c r="AB211" s="124"/>
      <c r="AC211" s="124"/>
      <c r="AD211" s="124"/>
      <c r="AE211" s="124" t="e">
        <f>#REF!</f>
        <v>#REF!</v>
      </c>
      <c r="AF211" s="124" t="e">
        <f>#REF!</f>
        <v>#REF!</v>
      </c>
      <c r="AG211" s="124" t="e">
        <f>#REF!</f>
        <v>#REF!</v>
      </c>
      <c r="AH211" s="124" t="e">
        <f>#REF!</f>
        <v>#REF!</v>
      </c>
      <c r="AI211" s="124" t="e">
        <f>#REF!</f>
        <v>#REF!</v>
      </c>
      <c r="AJ211" s="124" t="e">
        <f>#REF!</f>
        <v>#REF!</v>
      </c>
      <c r="AK211" s="124" t="e">
        <f>#REF!</f>
        <v>#REF!</v>
      </c>
      <c r="AL211" s="124" t="e">
        <f>#REF!</f>
        <v>#REF!</v>
      </c>
      <c r="AM211" s="124" t="e">
        <f>#REF!</f>
        <v>#REF!</v>
      </c>
      <c r="AN211" s="124" t="e">
        <f>#REF!</f>
        <v>#REF!</v>
      </c>
      <c r="AO211" s="124" t="e">
        <f>#REF!</f>
        <v>#REF!</v>
      </c>
      <c r="AP211" s="124" t="e">
        <f>#REF!</f>
        <v>#REF!</v>
      </c>
    </row>
    <row r="212" spans="1:42" x14ac:dyDescent="0.25">
      <c r="A212" s="351" t="e">
        <f>#REF!</f>
        <v>#REF!</v>
      </c>
      <c r="B212" s="351" t="e">
        <f>#REF!</f>
        <v>#REF!</v>
      </c>
      <c r="C212" s="351" t="e">
        <f>#REF!</f>
        <v>#REF!</v>
      </c>
      <c r="D212" s="351" t="e">
        <f>#REF!</f>
        <v>#REF!</v>
      </c>
      <c r="E212" s="351" t="e">
        <f>#REF!</f>
        <v>#REF!</v>
      </c>
      <c r="F212" s="351" t="e">
        <f>#REF!</f>
        <v>#REF!</v>
      </c>
      <c r="G212" s="351" t="e">
        <f>#REF!</f>
        <v>#REF!</v>
      </c>
      <c r="H212" s="351" t="e">
        <f>#REF!</f>
        <v>#REF!</v>
      </c>
      <c r="I212" s="124"/>
      <c r="J212" s="124"/>
      <c r="K212" s="124"/>
      <c r="L212" s="124"/>
      <c r="M212" s="124"/>
      <c r="N212" s="351" t="e">
        <f t="shared" si="6"/>
        <v>#REF!</v>
      </c>
      <c r="O212" s="124">
        <f t="shared" si="6"/>
        <v>0</v>
      </c>
      <c r="P212" s="124">
        <f t="shared" si="6"/>
        <v>0</v>
      </c>
      <c r="Q212" s="124"/>
      <c r="R212" s="124"/>
      <c r="S212" s="124">
        <f t="shared" si="7"/>
        <v>0</v>
      </c>
      <c r="T212" s="353" t="e">
        <f>#REF!</f>
        <v>#REF!</v>
      </c>
      <c r="U212" s="353" t="e">
        <f>#REF!</f>
        <v>#REF!</v>
      </c>
      <c r="V212" s="353" t="e">
        <f>#REF!</f>
        <v>#REF!</v>
      </c>
      <c r="W212" s="124"/>
      <c r="X212" s="124"/>
      <c r="Y212" s="124"/>
      <c r="Z212" s="124"/>
      <c r="AA212" s="351" t="e">
        <f>#REF!</f>
        <v>#REF!</v>
      </c>
      <c r="AB212" s="124"/>
      <c r="AC212" s="124"/>
      <c r="AD212" s="124"/>
      <c r="AE212" s="124" t="e">
        <f>#REF!</f>
        <v>#REF!</v>
      </c>
      <c r="AF212" s="124" t="e">
        <f>#REF!</f>
        <v>#REF!</v>
      </c>
      <c r="AG212" s="124" t="e">
        <f>#REF!</f>
        <v>#REF!</v>
      </c>
      <c r="AH212" s="124" t="e">
        <f>#REF!</f>
        <v>#REF!</v>
      </c>
      <c r="AI212" s="124" t="e">
        <f>#REF!</f>
        <v>#REF!</v>
      </c>
      <c r="AJ212" s="124" t="e">
        <f>#REF!</f>
        <v>#REF!</v>
      </c>
      <c r="AK212" s="124" t="e">
        <f>#REF!</f>
        <v>#REF!</v>
      </c>
      <c r="AL212" s="124" t="e">
        <f>#REF!</f>
        <v>#REF!</v>
      </c>
      <c r="AM212" s="124" t="e">
        <f>#REF!</f>
        <v>#REF!</v>
      </c>
      <c r="AN212" s="124" t="e">
        <f>#REF!</f>
        <v>#REF!</v>
      </c>
      <c r="AO212" s="124" t="e">
        <f>#REF!</f>
        <v>#REF!</v>
      </c>
      <c r="AP212" s="124" t="e">
        <f>#REF!</f>
        <v>#REF!</v>
      </c>
    </row>
    <row r="213" spans="1:42" x14ac:dyDescent="0.25">
      <c r="A213" s="351" t="e">
        <f>#REF!</f>
        <v>#REF!</v>
      </c>
      <c r="B213" s="351" t="e">
        <f>#REF!</f>
        <v>#REF!</v>
      </c>
      <c r="C213" s="351" t="e">
        <f>#REF!</f>
        <v>#REF!</v>
      </c>
      <c r="D213" s="351" t="e">
        <f>#REF!</f>
        <v>#REF!</v>
      </c>
      <c r="E213" s="351" t="e">
        <f>#REF!</f>
        <v>#REF!</v>
      </c>
      <c r="F213" s="351" t="e">
        <f>#REF!</f>
        <v>#REF!</v>
      </c>
      <c r="G213" s="351" t="e">
        <f>#REF!</f>
        <v>#REF!</v>
      </c>
      <c r="H213" s="351" t="e">
        <f>#REF!</f>
        <v>#REF!</v>
      </c>
      <c r="I213" s="124"/>
      <c r="J213" s="124"/>
      <c r="K213" s="124"/>
      <c r="L213" s="124"/>
      <c r="M213" s="124"/>
      <c r="N213" s="351" t="e">
        <f t="shared" si="6"/>
        <v>#REF!</v>
      </c>
      <c r="O213" s="124">
        <f t="shared" si="6"/>
        <v>0</v>
      </c>
      <c r="P213" s="124">
        <f t="shared" si="6"/>
        <v>0</v>
      </c>
      <c r="Q213" s="124"/>
      <c r="R213" s="124"/>
      <c r="S213" s="124">
        <f t="shared" si="7"/>
        <v>0</v>
      </c>
      <c r="T213" s="353" t="e">
        <f>#REF!</f>
        <v>#REF!</v>
      </c>
      <c r="U213" s="353" t="e">
        <f>#REF!</f>
        <v>#REF!</v>
      </c>
      <c r="V213" s="353" t="e">
        <f>#REF!</f>
        <v>#REF!</v>
      </c>
      <c r="W213" s="124"/>
      <c r="X213" s="124"/>
      <c r="Y213" s="124"/>
      <c r="Z213" s="124"/>
      <c r="AA213" s="351" t="e">
        <f>#REF!</f>
        <v>#REF!</v>
      </c>
      <c r="AB213" s="124"/>
      <c r="AC213" s="124"/>
      <c r="AD213" s="124"/>
      <c r="AE213" s="124" t="e">
        <f>#REF!</f>
        <v>#REF!</v>
      </c>
      <c r="AF213" s="124" t="e">
        <f>#REF!</f>
        <v>#REF!</v>
      </c>
      <c r="AG213" s="124" t="e">
        <f>#REF!</f>
        <v>#REF!</v>
      </c>
      <c r="AH213" s="124" t="e">
        <f>#REF!</f>
        <v>#REF!</v>
      </c>
      <c r="AI213" s="124" t="e">
        <f>#REF!</f>
        <v>#REF!</v>
      </c>
      <c r="AJ213" s="124" t="e">
        <f>#REF!</f>
        <v>#REF!</v>
      </c>
      <c r="AK213" s="124" t="e">
        <f>#REF!</f>
        <v>#REF!</v>
      </c>
      <c r="AL213" s="124" t="e">
        <f>#REF!</f>
        <v>#REF!</v>
      </c>
      <c r="AM213" s="124" t="e">
        <f>#REF!</f>
        <v>#REF!</v>
      </c>
      <c r="AN213" s="124" t="e">
        <f>#REF!</f>
        <v>#REF!</v>
      </c>
      <c r="AO213" s="124" t="e">
        <f>#REF!</f>
        <v>#REF!</v>
      </c>
      <c r="AP213" s="124" t="e">
        <f>#REF!</f>
        <v>#REF!</v>
      </c>
    </row>
    <row r="214" spans="1:42" x14ac:dyDescent="0.25">
      <c r="A214" s="351" t="e">
        <f>#REF!</f>
        <v>#REF!</v>
      </c>
      <c r="B214" s="351" t="e">
        <f>#REF!</f>
        <v>#REF!</v>
      </c>
      <c r="C214" s="351" t="e">
        <f>#REF!</f>
        <v>#REF!</v>
      </c>
      <c r="D214" s="351" t="e">
        <f>#REF!</f>
        <v>#REF!</v>
      </c>
      <c r="E214" s="351" t="e">
        <f>#REF!</f>
        <v>#REF!</v>
      </c>
      <c r="F214" s="351" t="e">
        <f>#REF!</f>
        <v>#REF!</v>
      </c>
      <c r="G214" s="351" t="e">
        <f>#REF!</f>
        <v>#REF!</v>
      </c>
      <c r="H214" s="351" t="e">
        <f>#REF!</f>
        <v>#REF!</v>
      </c>
      <c r="I214" s="124"/>
      <c r="J214" s="124"/>
      <c r="K214" s="124"/>
      <c r="L214" s="124"/>
      <c r="M214" s="124"/>
      <c r="N214" s="351" t="e">
        <f t="shared" si="6"/>
        <v>#REF!</v>
      </c>
      <c r="O214" s="124">
        <f t="shared" si="6"/>
        <v>0</v>
      </c>
      <c r="P214" s="124">
        <f t="shared" si="6"/>
        <v>0</v>
      </c>
      <c r="Q214" s="124"/>
      <c r="R214" s="124"/>
      <c r="S214" s="124">
        <f t="shared" si="7"/>
        <v>0</v>
      </c>
      <c r="T214" s="353" t="e">
        <f>#REF!</f>
        <v>#REF!</v>
      </c>
      <c r="U214" s="353" t="e">
        <f>#REF!</f>
        <v>#REF!</v>
      </c>
      <c r="V214" s="353" t="e">
        <f>#REF!</f>
        <v>#REF!</v>
      </c>
      <c r="W214" s="124"/>
      <c r="X214" s="124"/>
      <c r="Y214" s="124"/>
      <c r="Z214" s="124"/>
      <c r="AA214" s="351" t="e">
        <f>#REF!</f>
        <v>#REF!</v>
      </c>
      <c r="AB214" s="124"/>
      <c r="AC214" s="124"/>
      <c r="AD214" s="124"/>
      <c r="AE214" s="124" t="e">
        <f>#REF!</f>
        <v>#REF!</v>
      </c>
      <c r="AF214" s="124" t="e">
        <f>#REF!</f>
        <v>#REF!</v>
      </c>
      <c r="AG214" s="124" t="e">
        <f>#REF!</f>
        <v>#REF!</v>
      </c>
      <c r="AH214" s="124" t="e">
        <f>#REF!</f>
        <v>#REF!</v>
      </c>
      <c r="AI214" s="124" t="e">
        <f>#REF!</f>
        <v>#REF!</v>
      </c>
      <c r="AJ214" s="124" t="e">
        <f>#REF!</f>
        <v>#REF!</v>
      </c>
      <c r="AK214" s="124" t="e">
        <f>#REF!</f>
        <v>#REF!</v>
      </c>
      <c r="AL214" s="124" t="e">
        <f>#REF!</f>
        <v>#REF!</v>
      </c>
      <c r="AM214" s="124" t="e">
        <f>#REF!</f>
        <v>#REF!</v>
      </c>
      <c r="AN214" s="124" t="e">
        <f>#REF!</f>
        <v>#REF!</v>
      </c>
      <c r="AO214" s="124" t="e">
        <f>#REF!</f>
        <v>#REF!</v>
      </c>
      <c r="AP214" s="124" t="e">
        <f>#REF!</f>
        <v>#REF!</v>
      </c>
    </row>
    <row r="215" spans="1:42" x14ac:dyDescent="0.25">
      <c r="A215" s="351" t="e">
        <f>#REF!</f>
        <v>#REF!</v>
      </c>
      <c r="B215" s="351" t="e">
        <f>#REF!</f>
        <v>#REF!</v>
      </c>
      <c r="C215" s="351" t="e">
        <f>#REF!</f>
        <v>#REF!</v>
      </c>
      <c r="D215" s="351" t="e">
        <f>#REF!</f>
        <v>#REF!</v>
      </c>
      <c r="E215" s="351" t="e">
        <f>#REF!</f>
        <v>#REF!</v>
      </c>
      <c r="F215" s="351" t="e">
        <f>#REF!</f>
        <v>#REF!</v>
      </c>
      <c r="G215" s="351" t="e">
        <f>#REF!</f>
        <v>#REF!</v>
      </c>
      <c r="H215" s="351" t="e">
        <f>#REF!</f>
        <v>#REF!</v>
      </c>
      <c r="I215" s="124"/>
      <c r="J215" s="124"/>
      <c r="K215" s="124"/>
      <c r="L215" s="124"/>
      <c r="M215" s="124"/>
      <c r="N215" s="351" t="e">
        <f t="shared" si="6"/>
        <v>#REF!</v>
      </c>
      <c r="O215" s="124">
        <f t="shared" si="6"/>
        <v>0</v>
      </c>
      <c r="P215" s="124">
        <f t="shared" si="6"/>
        <v>0</v>
      </c>
      <c r="Q215" s="124"/>
      <c r="R215" s="124"/>
      <c r="S215" s="124">
        <f t="shared" si="7"/>
        <v>0</v>
      </c>
      <c r="T215" s="353" t="e">
        <f>#REF!</f>
        <v>#REF!</v>
      </c>
      <c r="U215" s="353" t="e">
        <f>#REF!</f>
        <v>#REF!</v>
      </c>
      <c r="V215" s="353" t="e">
        <f>#REF!</f>
        <v>#REF!</v>
      </c>
      <c r="W215" s="124"/>
      <c r="X215" s="124"/>
      <c r="Y215" s="124"/>
      <c r="Z215" s="124"/>
      <c r="AA215" s="351" t="e">
        <f>#REF!</f>
        <v>#REF!</v>
      </c>
      <c r="AB215" s="124"/>
      <c r="AC215" s="124"/>
      <c r="AD215" s="124"/>
      <c r="AE215" s="124" t="e">
        <f>#REF!</f>
        <v>#REF!</v>
      </c>
      <c r="AF215" s="124" t="e">
        <f>#REF!</f>
        <v>#REF!</v>
      </c>
      <c r="AG215" s="124" t="e">
        <f>#REF!</f>
        <v>#REF!</v>
      </c>
      <c r="AH215" s="124" t="e">
        <f>#REF!</f>
        <v>#REF!</v>
      </c>
      <c r="AI215" s="124" t="e">
        <f>#REF!</f>
        <v>#REF!</v>
      </c>
      <c r="AJ215" s="124" t="e">
        <f>#REF!</f>
        <v>#REF!</v>
      </c>
      <c r="AK215" s="124" t="e">
        <f>#REF!</f>
        <v>#REF!</v>
      </c>
      <c r="AL215" s="124" t="e">
        <f>#REF!</f>
        <v>#REF!</v>
      </c>
      <c r="AM215" s="124" t="e">
        <f>#REF!</f>
        <v>#REF!</v>
      </c>
      <c r="AN215" s="124" t="e">
        <f>#REF!</f>
        <v>#REF!</v>
      </c>
      <c r="AO215" s="124" t="e">
        <f>#REF!</f>
        <v>#REF!</v>
      </c>
      <c r="AP215" s="124" t="e">
        <f>#REF!</f>
        <v>#REF!</v>
      </c>
    </row>
    <row r="216" spans="1:42" x14ac:dyDescent="0.25">
      <c r="A216" s="351" t="e">
        <f>#REF!</f>
        <v>#REF!</v>
      </c>
      <c r="B216" s="351" t="e">
        <f>#REF!</f>
        <v>#REF!</v>
      </c>
      <c r="C216" s="351" t="e">
        <f>#REF!</f>
        <v>#REF!</v>
      </c>
      <c r="D216" s="351" t="e">
        <f>#REF!</f>
        <v>#REF!</v>
      </c>
      <c r="E216" s="351" t="e">
        <f>#REF!</f>
        <v>#REF!</v>
      </c>
      <c r="F216" s="351" t="e">
        <f>#REF!</f>
        <v>#REF!</v>
      </c>
      <c r="G216" s="351" t="e">
        <f>#REF!</f>
        <v>#REF!</v>
      </c>
      <c r="H216" s="351" t="e">
        <f>#REF!</f>
        <v>#REF!</v>
      </c>
      <c r="I216" s="124"/>
      <c r="J216" s="124"/>
      <c r="K216" s="124"/>
      <c r="L216" s="124"/>
      <c r="M216" s="124"/>
      <c r="N216" s="351" t="e">
        <f t="shared" si="6"/>
        <v>#REF!</v>
      </c>
      <c r="O216" s="124">
        <f t="shared" si="6"/>
        <v>0</v>
      </c>
      <c r="P216" s="124">
        <f t="shared" si="6"/>
        <v>0</v>
      </c>
      <c r="Q216" s="124"/>
      <c r="R216" s="124"/>
      <c r="S216" s="124">
        <f t="shared" si="7"/>
        <v>0</v>
      </c>
      <c r="T216" s="353" t="e">
        <f>#REF!</f>
        <v>#REF!</v>
      </c>
      <c r="U216" s="353" t="e">
        <f>#REF!</f>
        <v>#REF!</v>
      </c>
      <c r="V216" s="353" t="e">
        <f>#REF!</f>
        <v>#REF!</v>
      </c>
      <c r="W216" s="124"/>
      <c r="X216" s="124"/>
      <c r="Y216" s="124"/>
      <c r="Z216" s="124"/>
      <c r="AA216" s="351" t="e">
        <f>#REF!</f>
        <v>#REF!</v>
      </c>
      <c r="AB216" s="124"/>
      <c r="AC216" s="124"/>
      <c r="AD216" s="124"/>
      <c r="AE216" s="124" t="e">
        <f>#REF!</f>
        <v>#REF!</v>
      </c>
      <c r="AF216" s="124" t="e">
        <f>#REF!</f>
        <v>#REF!</v>
      </c>
      <c r="AG216" s="124" t="e">
        <f>#REF!</f>
        <v>#REF!</v>
      </c>
      <c r="AH216" s="124" t="e">
        <f>#REF!</f>
        <v>#REF!</v>
      </c>
      <c r="AI216" s="124" t="e">
        <f>#REF!</f>
        <v>#REF!</v>
      </c>
      <c r="AJ216" s="124" t="e">
        <f>#REF!</f>
        <v>#REF!</v>
      </c>
      <c r="AK216" s="124" t="e">
        <f>#REF!</f>
        <v>#REF!</v>
      </c>
      <c r="AL216" s="124" t="e">
        <f>#REF!</f>
        <v>#REF!</v>
      </c>
      <c r="AM216" s="124" t="e">
        <f>#REF!</f>
        <v>#REF!</v>
      </c>
      <c r="AN216" s="124" t="e">
        <f>#REF!</f>
        <v>#REF!</v>
      </c>
      <c r="AO216" s="124" t="e">
        <f>#REF!</f>
        <v>#REF!</v>
      </c>
      <c r="AP216" s="124" t="e">
        <f>#REF!</f>
        <v>#REF!</v>
      </c>
    </row>
    <row r="217" spans="1:42" x14ac:dyDescent="0.25">
      <c r="A217" s="351" t="e">
        <f>#REF!</f>
        <v>#REF!</v>
      </c>
      <c r="B217" s="351" t="e">
        <f>#REF!</f>
        <v>#REF!</v>
      </c>
      <c r="C217" s="351" t="e">
        <f>#REF!</f>
        <v>#REF!</v>
      </c>
      <c r="D217" s="351" t="e">
        <f>#REF!</f>
        <v>#REF!</v>
      </c>
      <c r="E217" s="351" t="e">
        <f>#REF!</f>
        <v>#REF!</v>
      </c>
      <c r="F217" s="351" t="e">
        <f>#REF!</f>
        <v>#REF!</v>
      </c>
      <c r="G217" s="351" t="e">
        <f>#REF!</f>
        <v>#REF!</v>
      </c>
      <c r="H217" s="351" t="e">
        <f>#REF!</f>
        <v>#REF!</v>
      </c>
      <c r="I217" s="124"/>
      <c r="J217" s="124"/>
      <c r="K217" s="124"/>
      <c r="L217" s="124"/>
      <c r="M217" s="124"/>
      <c r="N217" s="351" t="e">
        <f t="shared" si="6"/>
        <v>#REF!</v>
      </c>
      <c r="O217" s="124">
        <f t="shared" si="6"/>
        <v>0</v>
      </c>
      <c r="P217" s="124">
        <f t="shared" si="6"/>
        <v>0</v>
      </c>
      <c r="Q217" s="124"/>
      <c r="R217" s="124"/>
      <c r="S217" s="124">
        <f t="shared" si="7"/>
        <v>0</v>
      </c>
      <c r="T217" s="353" t="e">
        <f>#REF!</f>
        <v>#REF!</v>
      </c>
      <c r="U217" s="353" t="e">
        <f>#REF!</f>
        <v>#REF!</v>
      </c>
      <c r="V217" s="353" t="e">
        <f>#REF!</f>
        <v>#REF!</v>
      </c>
      <c r="W217" s="124"/>
      <c r="X217" s="124"/>
      <c r="Y217" s="124"/>
      <c r="Z217" s="124"/>
      <c r="AA217" s="351" t="e">
        <f>#REF!</f>
        <v>#REF!</v>
      </c>
      <c r="AB217" s="124"/>
      <c r="AC217" s="124"/>
      <c r="AD217" s="124"/>
      <c r="AE217" s="124" t="e">
        <f>#REF!</f>
        <v>#REF!</v>
      </c>
      <c r="AF217" s="124" t="e">
        <f>#REF!</f>
        <v>#REF!</v>
      </c>
      <c r="AG217" s="124" t="e">
        <f>#REF!</f>
        <v>#REF!</v>
      </c>
      <c r="AH217" s="124" t="e">
        <f>#REF!</f>
        <v>#REF!</v>
      </c>
      <c r="AI217" s="124" t="e">
        <f>#REF!</f>
        <v>#REF!</v>
      </c>
      <c r="AJ217" s="124" t="e">
        <f>#REF!</f>
        <v>#REF!</v>
      </c>
      <c r="AK217" s="124" t="e">
        <f>#REF!</f>
        <v>#REF!</v>
      </c>
      <c r="AL217" s="124" t="e">
        <f>#REF!</f>
        <v>#REF!</v>
      </c>
      <c r="AM217" s="124" t="e">
        <f>#REF!</f>
        <v>#REF!</v>
      </c>
      <c r="AN217" s="124" t="e">
        <f>#REF!</f>
        <v>#REF!</v>
      </c>
      <c r="AO217" s="124" t="e">
        <f>#REF!</f>
        <v>#REF!</v>
      </c>
      <c r="AP217" s="124" t="e">
        <f>#REF!</f>
        <v>#REF!</v>
      </c>
    </row>
    <row r="218" spans="1:42" x14ac:dyDescent="0.25">
      <c r="A218" s="351" t="e">
        <f>#REF!</f>
        <v>#REF!</v>
      </c>
      <c r="B218" s="351" t="e">
        <f>#REF!</f>
        <v>#REF!</v>
      </c>
      <c r="C218" s="351" t="e">
        <f>#REF!</f>
        <v>#REF!</v>
      </c>
      <c r="D218" s="351" t="e">
        <f>#REF!</f>
        <v>#REF!</v>
      </c>
      <c r="E218" s="351" t="e">
        <f>#REF!</f>
        <v>#REF!</v>
      </c>
      <c r="F218" s="351" t="e">
        <f>#REF!</f>
        <v>#REF!</v>
      </c>
      <c r="G218" s="351" t="e">
        <f>#REF!</f>
        <v>#REF!</v>
      </c>
      <c r="H218" s="351" t="e">
        <f>#REF!</f>
        <v>#REF!</v>
      </c>
      <c r="I218" s="124"/>
      <c r="J218" s="124"/>
      <c r="K218" s="124"/>
      <c r="L218" s="124"/>
      <c r="M218" s="124"/>
      <c r="N218" s="351" t="e">
        <f t="shared" si="6"/>
        <v>#REF!</v>
      </c>
      <c r="O218" s="124">
        <f t="shared" si="6"/>
        <v>0</v>
      </c>
      <c r="P218" s="124">
        <f t="shared" si="6"/>
        <v>0</v>
      </c>
      <c r="Q218" s="124"/>
      <c r="R218" s="124"/>
      <c r="S218" s="124">
        <f t="shared" si="7"/>
        <v>0</v>
      </c>
      <c r="T218" s="353" t="e">
        <f>#REF!</f>
        <v>#REF!</v>
      </c>
      <c r="U218" s="353" t="e">
        <f>#REF!</f>
        <v>#REF!</v>
      </c>
      <c r="V218" s="353" t="e">
        <f>#REF!</f>
        <v>#REF!</v>
      </c>
      <c r="W218" s="124"/>
      <c r="X218" s="124"/>
      <c r="Y218" s="124"/>
      <c r="Z218" s="124"/>
      <c r="AA218" s="351" t="e">
        <f>#REF!</f>
        <v>#REF!</v>
      </c>
      <c r="AB218" s="124"/>
      <c r="AC218" s="124"/>
      <c r="AD218" s="124"/>
      <c r="AE218" s="124" t="e">
        <f>#REF!</f>
        <v>#REF!</v>
      </c>
      <c r="AF218" s="124" t="e">
        <f>#REF!</f>
        <v>#REF!</v>
      </c>
      <c r="AG218" s="124" t="e">
        <f>#REF!</f>
        <v>#REF!</v>
      </c>
      <c r="AH218" s="124" t="e">
        <f>#REF!</f>
        <v>#REF!</v>
      </c>
      <c r="AI218" s="124" t="e">
        <f>#REF!</f>
        <v>#REF!</v>
      </c>
      <c r="AJ218" s="124" t="e">
        <f>#REF!</f>
        <v>#REF!</v>
      </c>
      <c r="AK218" s="124" t="e">
        <f>#REF!</f>
        <v>#REF!</v>
      </c>
      <c r="AL218" s="124" t="e">
        <f>#REF!</f>
        <v>#REF!</v>
      </c>
      <c r="AM218" s="124" t="e">
        <f>#REF!</f>
        <v>#REF!</v>
      </c>
      <c r="AN218" s="124" t="e">
        <f>#REF!</f>
        <v>#REF!</v>
      </c>
      <c r="AO218" s="124" t="e">
        <f>#REF!</f>
        <v>#REF!</v>
      </c>
      <c r="AP218" s="124" t="e">
        <f>#REF!</f>
        <v>#REF!</v>
      </c>
    </row>
    <row r="219" spans="1:42" x14ac:dyDescent="0.25">
      <c r="A219" s="351" t="e">
        <f>#REF!</f>
        <v>#REF!</v>
      </c>
      <c r="B219" s="351" t="e">
        <f>#REF!</f>
        <v>#REF!</v>
      </c>
      <c r="C219" s="351" t="e">
        <f>#REF!</f>
        <v>#REF!</v>
      </c>
      <c r="D219" s="351" t="e">
        <f>#REF!</f>
        <v>#REF!</v>
      </c>
      <c r="E219" s="351" t="e">
        <f>#REF!</f>
        <v>#REF!</v>
      </c>
      <c r="F219" s="351" t="e">
        <f>#REF!</f>
        <v>#REF!</v>
      </c>
      <c r="G219" s="351" t="e">
        <f>#REF!</f>
        <v>#REF!</v>
      </c>
      <c r="H219" s="351" t="e">
        <f>#REF!</f>
        <v>#REF!</v>
      </c>
      <c r="I219" s="124"/>
      <c r="J219" s="124"/>
      <c r="K219" s="124"/>
      <c r="L219" s="124"/>
      <c r="M219" s="124"/>
      <c r="N219" s="351" t="e">
        <f t="shared" si="6"/>
        <v>#REF!</v>
      </c>
      <c r="O219" s="124">
        <f t="shared" si="6"/>
        <v>0</v>
      </c>
      <c r="P219" s="124">
        <f t="shared" si="6"/>
        <v>0</v>
      </c>
      <c r="Q219" s="124"/>
      <c r="R219" s="124"/>
      <c r="S219" s="124">
        <f t="shared" si="7"/>
        <v>0</v>
      </c>
      <c r="T219" s="353" t="e">
        <f>#REF!</f>
        <v>#REF!</v>
      </c>
      <c r="U219" s="353" t="e">
        <f>#REF!</f>
        <v>#REF!</v>
      </c>
      <c r="V219" s="353" t="e">
        <f>#REF!</f>
        <v>#REF!</v>
      </c>
      <c r="W219" s="124"/>
      <c r="X219" s="124"/>
      <c r="Y219" s="124"/>
      <c r="Z219" s="124"/>
      <c r="AA219" s="351" t="e">
        <f>#REF!</f>
        <v>#REF!</v>
      </c>
      <c r="AB219" s="124"/>
      <c r="AC219" s="124"/>
      <c r="AD219" s="124"/>
      <c r="AE219" s="124" t="e">
        <f>#REF!</f>
        <v>#REF!</v>
      </c>
      <c r="AF219" s="124" t="e">
        <f>#REF!</f>
        <v>#REF!</v>
      </c>
      <c r="AG219" s="124" t="e">
        <f>#REF!</f>
        <v>#REF!</v>
      </c>
      <c r="AH219" s="124" t="e">
        <f>#REF!</f>
        <v>#REF!</v>
      </c>
      <c r="AI219" s="124" t="e">
        <f>#REF!</f>
        <v>#REF!</v>
      </c>
      <c r="AJ219" s="124" t="e">
        <f>#REF!</f>
        <v>#REF!</v>
      </c>
      <c r="AK219" s="124" t="e">
        <f>#REF!</f>
        <v>#REF!</v>
      </c>
      <c r="AL219" s="124" t="e">
        <f>#REF!</f>
        <v>#REF!</v>
      </c>
      <c r="AM219" s="124" t="e">
        <f>#REF!</f>
        <v>#REF!</v>
      </c>
      <c r="AN219" s="124" t="e">
        <f>#REF!</f>
        <v>#REF!</v>
      </c>
      <c r="AO219" s="124" t="e">
        <f>#REF!</f>
        <v>#REF!</v>
      </c>
      <c r="AP219" s="124" t="e">
        <f>#REF!</f>
        <v>#REF!</v>
      </c>
    </row>
    <row r="220" spans="1:42" x14ac:dyDescent="0.25">
      <c r="A220" s="351" t="e">
        <f>#REF!</f>
        <v>#REF!</v>
      </c>
      <c r="B220" s="351" t="e">
        <f>#REF!</f>
        <v>#REF!</v>
      </c>
      <c r="C220" s="351" t="e">
        <f>#REF!</f>
        <v>#REF!</v>
      </c>
      <c r="D220" s="351" t="e">
        <f>#REF!</f>
        <v>#REF!</v>
      </c>
      <c r="E220" s="351" t="e">
        <f>#REF!</f>
        <v>#REF!</v>
      </c>
      <c r="F220" s="351" t="e">
        <f>#REF!</f>
        <v>#REF!</v>
      </c>
      <c r="G220" s="351" t="e">
        <f>#REF!</f>
        <v>#REF!</v>
      </c>
      <c r="H220" s="351" t="e">
        <f>#REF!</f>
        <v>#REF!</v>
      </c>
      <c r="I220" s="124"/>
      <c r="J220" s="124"/>
      <c r="K220" s="124"/>
      <c r="L220" s="124"/>
      <c r="M220" s="124"/>
      <c r="N220" s="351" t="e">
        <f t="shared" si="6"/>
        <v>#REF!</v>
      </c>
      <c r="O220" s="124">
        <f t="shared" si="6"/>
        <v>0</v>
      </c>
      <c r="P220" s="124">
        <f t="shared" si="6"/>
        <v>0</v>
      </c>
      <c r="Q220" s="124"/>
      <c r="R220" s="124"/>
      <c r="S220" s="124">
        <f t="shared" si="7"/>
        <v>0</v>
      </c>
      <c r="T220" s="353" t="e">
        <f>#REF!</f>
        <v>#REF!</v>
      </c>
      <c r="U220" s="353" t="e">
        <f>#REF!</f>
        <v>#REF!</v>
      </c>
      <c r="V220" s="353" t="e">
        <f>#REF!</f>
        <v>#REF!</v>
      </c>
      <c r="W220" s="124"/>
      <c r="X220" s="124"/>
      <c r="Y220" s="124"/>
      <c r="Z220" s="124"/>
      <c r="AA220" s="351" t="e">
        <f>#REF!</f>
        <v>#REF!</v>
      </c>
      <c r="AB220" s="124"/>
      <c r="AC220" s="124"/>
      <c r="AD220" s="124"/>
      <c r="AE220" s="124" t="e">
        <f>#REF!</f>
        <v>#REF!</v>
      </c>
      <c r="AF220" s="124" t="e">
        <f>#REF!</f>
        <v>#REF!</v>
      </c>
      <c r="AG220" s="124" t="e">
        <f>#REF!</f>
        <v>#REF!</v>
      </c>
      <c r="AH220" s="124" t="e">
        <f>#REF!</f>
        <v>#REF!</v>
      </c>
      <c r="AI220" s="124" t="e">
        <f>#REF!</f>
        <v>#REF!</v>
      </c>
      <c r="AJ220" s="124" t="e">
        <f>#REF!</f>
        <v>#REF!</v>
      </c>
      <c r="AK220" s="124" t="e">
        <f>#REF!</f>
        <v>#REF!</v>
      </c>
      <c r="AL220" s="124" t="e">
        <f>#REF!</f>
        <v>#REF!</v>
      </c>
      <c r="AM220" s="124" t="e">
        <f>#REF!</f>
        <v>#REF!</v>
      </c>
      <c r="AN220" s="124" t="e">
        <f>#REF!</f>
        <v>#REF!</v>
      </c>
      <c r="AO220" s="124" t="e">
        <f>#REF!</f>
        <v>#REF!</v>
      </c>
      <c r="AP220" s="124" t="e">
        <f>#REF!</f>
        <v>#REF!</v>
      </c>
    </row>
    <row r="221" spans="1:42" x14ac:dyDescent="0.25">
      <c r="A221" s="351" t="e">
        <f>#REF!</f>
        <v>#REF!</v>
      </c>
      <c r="B221" s="351" t="e">
        <f>#REF!</f>
        <v>#REF!</v>
      </c>
      <c r="C221" s="351" t="e">
        <f>#REF!</f>
        <v>#REF!</v>
      </c>
      <c r="D221" s="351" t="e">
        <f>#REF!</f>
        <v>#REF!</v>
      </c>
      <c r="E221" s="351" t="e">
        <f>#REF!</f>
        <v>#REF!</v>
      </c>
      <c r="F221" s="351" t="e">
        <f>#REF!</f>
        <v>#REF!</v>
      </c>
      <c r="G221" s="351" t="e">
        <f>#REF!</f>
        <v>#REF!</v>
      </c>
      <c r="H221" s="351" t="e">
        <f>#REF!</f>
        <v>#REF!</v>
      </c>
      <c r="I221" s="124"/>
      <c r="J221" s="124"/>
      <c r="K221" s="124"/>
      <c r="L221" s="124"/>
      <c r="M221" s="124"/>
      <c r="N221" s="351" t="e">
        <f t="shared" si="6"/>
        <v>#REF!</v>
      </c>
      <c r="O221" s="124">
        <f t="shared" si="6"/>
        <v>0</v>
      </c>
      <c r="P221" s="124">
        <f t="shared" si="6"/>
        <v>0</v>
      </c>
      <c r="Q221" s="124"/>
      <c r="R221" s="124"/>
      <c r="S221" s="124">
        <f t="shared" si="7"/>
        <v>0</v>
      </c>
      <c r="T221" s="353" t="e">
        <f>#REF!</f>
        <v>#REF!</v>
      </c>
      <c r="U221" s="353" t="e">
        <f>#REF!</f>
        <v>#REF!</v>
      </c>
      <c r="V221" s="353" t="e">
        <f>#REF!</f>
        <v>#REF!</v>
      </c>
      <c r="W221" s="124"/>
      <c r="X221" s="124"/>
      <c r="Y221" s="124"/>
      <c r="Z221" s="124"/>
      <c r="AA221" s="351" t="e">
        <f>#REF!</f>
        <v>#REF!</v>
      </c>
      <c r="AB221" s="124"/>
      <c r="AC221" s="124"/>
      <c r="AD221" s="124"/>
      <c r="AE221" s="124" t="e">
        <f>#REF!</f>
        <v>#REF!</v>
      </c>
      <c r="AF221" s="124" t="e">
        <f>#REF!</f>
        <v>#REF!</v>
      </c>
      <c r="AG221" s="124" t="e">
        <f>#REF!</f>
        <v>#REF!</v>
      </c>
      <c r="AH221" s="124" t="e">
        <f>#REF!</f>
        <v>#REF!</v>
      </c>
      <c r="AI221" s="124" t="e">
        <f>#REF!</f>
        <v>#REF!</v>
      </c>
      <c r="AJ221" s="124" t="e">
        <f>#REF!</f>
        <v>#REF!</v>
      </c>
      <c r="AK221" s="124" t="e">
        <f>#REF!</f>
        <v>#REF!</v>
      </c>
      <c r="AL221" s="124" t="e">
        <f>#REF!</f>
        <v>#REF!</v>
      </c>
      <c r="AM221" s="124" t="e">
        <f>#REF!</f>
        <v>#REF!</v>
      </c>
      <c r="AN221" s="124" t="e">
        <f>#REF!</f>
        <v>#REF!</v>
      </c>
      <c r="AO221" s="124" t="e">
        <f>#REF!</f>
        <v>#REF!</v>
      </c>
      <c r="AP221" s="124" t="e">
        <f>#REF!</f>
        <v>#REF!</v>
      </c>
    </row>
    <row r="222" spans="1:42" x14ac:dyDescent="0.25">
      <c r="A222" s="351" t="e">
        <f>#REF!</f>
        <v>#REF!</v>
      </c>
      <c r="B222" s="351" t="e">
        <f>#REF!</f>
        <v>#REF!</v>
      </c>
      <c r="C222" s="351" t="e">
        <f>#REF!</f>
        <v>#REF!</v>
      </c>
      <c r="D222" s="351" t="e">
        <f>#REF!</f>
        <v>#REF!</v>
      </c>
      <c r="E222" s="351" t="e">
        <f>#REF!</f>
        <v>#REF!</v>
      </c>
      <c r="F222" s="351" t="e">
        <f>#REF!</f>
        <v>#REF!</v>
      </c>
      <c r="G222" s="351" t="e">
        <f>#REF!</f>
        <v>#REF!</v>
      </c>
      <c r="H222" s="351" t="e">
        <f>#REF!</f>
        <v>#REF!</v>
      </c>
      <c r="I222" s="124"/>
      <c r="J222" s="124"/>
      <c r="K222" s="124"/>
      <c r="L222" s="124"/>
      <c r="M222" s="124"/>
      <c r="N222" s="351" t="e">
        <f t="shared" si="6"/>
        <v>#REF!</v>
      </c>
      <c r="O222" s="124">
        <f t="shared" si="6"/>
        <v>0</v>
      </c>
      <c r="P222" s="124">
        <f t="shared" si="6"/>
        <v>0</v>
      </c>
      <c r="Q222" s="124"/>
      <c r="R222" s="124"/>
      <c r="S222" s="124">
        <f t="shared" si="7"/>
        <v>0</v>
      </c>
      <c r="T222" s="353" t="e">
        <f>#REF!</f>
        <v>#REF!</v>
      </c>
      <c r="U222" s="353" t="e">
        <f>#REF!</f>
        <v>#REF!</v>
      </c>
      <c r="V222" s="353" t="e">
        <f>#REF!</f>
        <v>#REF!</v>
      </c>
      <c r="W222" s="124"/>
      <c r="X222" s="124"/>
      <c r="Y222" s="124"/>
      <c r="Z222" s="124"/>
      <c r="AA222" s="351" t="e">
        <f>#REF!</f>
        <v>#REF!</v>
      </c>
      <c r="AB222" s="124"/>
      <c r="AC222" s="124"/>
      <c r="AD222" s="124"/>
      <c r="AE222" s="124" t="e">
        <f>#REF!</f>
        <v>#REF!</v>
      </c>
      <c r="AF222" s="124" t="e">
        <f>#REF!</f>
        <v>#REF!</v>
      </c>
      <c r="AG222" s="124" t="e">
        <f>#REF!</f>
        <v>#REF!</v>
      </c>
      <c r="AH222" s="124" t="e">
        <f>#REF!</f>
        <v>#REF!</v>
      </c>
      <c r="AI222" s="124" t="e">
        <f>#REF!</f>
        <v>#REF!</v>
      </c>
      <c r="AJ222" s="124" t="e">
        <f>#REF!</f>
        <v>#REF!</v>
      </c>
      <c r="AK222" s="124" t="e">
        <f>#REF!</f>
        <v>#REF!</v>
      </c>
      <c r="AL222" s="124" t="e">
        <f>#REF!</f>
        <v>#REF!</v>
      </c>
      <c r="AM222" s="124" t="e">
        <f>#REF!</f>
        <v>#REF!</v>
      </c>
      <c r="AN222" s="124" t="e">
        <f>#REF!</f>
        <v>#REF!</v>
      </c>
      <c r="AO222" s="124" t="e">
        <f>#REF!</f>
        <v>#REF!</v>
      </c>
      <c r="AP222" s="124" t="e">
        <f>#REF!</f>
        <v>#REF!</v>
      </c>
    </row>
    <row r="223" spans="1:42" x14ac:dyDescent="0.25">
      <c r="A223" s="351" t="e">
        <f>#REF!</f>
        <v>#REF!</v>
      </c>
      <c r="B223" s="351" t="e">
        <f>#REF!</f>
        <v>#REF!</v>
      </c>
      <c r="C223" s="351" t="e">
        <f>#REF!</f>
        <v>#REF!</v>
      </c>
      <c r="D223" s="351" t="e">
        <f>#REF!</f>
        <v>#REF!</v>
      </c>
      <c r="E223" s="351" t="e">
        <f>#REF!</f>
        <v>#REF!</v>
      </c>
      <c r="F223" s="351" t="e">
        <f>#REF!</f>
        <v>#REF!</v>
      </c>
      <c r="G223" s="351" t="e">
        <f>#REF!</f>
        <v>#REF!</v>
      </c>
      <c r="H223" s="351" t="e">
        <f>#REF!</f>
        <v>#REF!</v>
      </c>
      <c r="I223" s="124"/>
      <c r="J223" s="124"/>
      <c r="K223" s="124"/>
      <c r="L223" s="124"/>
      <c r="M223" s="124"/>
      <c r="N223" s="351" t="e">
        <f t="shared" si="6"/>
        <v>#REF!</v>
      </c>
      <c r="O223" s="124">
        <f t="shared" si="6"/>
        <v>0</v>
      </c>
      <c r="P223" s="124">
        <f t="shared" si="6"/>
        <v>0</v>
      </c>
      <c r="Q223" s="124"/>
      <c r="R223" s="124"/>
      <c r="S223" s="124">
        <f t="shared" si="7"/>
        <v>0</v>
      </c>
      <c r="T223" s="353" t="e">
        <f>#REF!</f>
        <v>#REF!</v>
      </c>
      <c r="U223" s="353" t="e">
        <f>#REF!</f>
        <v>#REF!</v>
      </c>
      <c r="V223" s="353" t="e">
        <f>#REF!</f>
        <v>#REF!</v>
      </c>
      <c r="W223" s="124"/>
      <c r="X223" s="124"/>
      <c r="Y223" s="124"/>
      <c r="Z223" s="124"/>
      <c r="AA223" s="351" t="e">
        <f>#REF!</f>
        <v>#REF!</v>
      </c>
      <c r="AB223" s="124"/>
      <c r="AC223" s="124"/>
      <c r="AD223" s="124"/>
      <c r="AE223" s="124" t="e">
        <f>#REF!</f>
        <v>#REF!</v>
      </c>
      <c r="AF223" s="124" t="e">
        <f>#REF!</f>
        <v>#REF!</v>
      </c>
      <c r="AG223" s="124" t="e">
        <f>#REF!</f>
        <v>#REF!</v>
      </c>
      <c r="AH223" s="124" t="e">
        <f>#REF!</f>
        <v>#REF!</v>
      </c>
      <c r="AI223" s="124" t="e">
        <f>#REF!</f>
        <v>#REF!</v>
      </c>
      <c r="AJ223" s="124" t="e">
        <f>#REF!</f>
        <v>#REF!</v>
      </c>
      <c r="AK223" s="124" t="e">
        <f>#REF!</f>
        <v>#REF!</v>
      </c>
      <c r="AL223" s="124" t="e">
        <f>#REF!</f>
        <v>#REF!</v>
      </c>
      <c r="AM223" s="124" t="e">
        <f>#REF!</f>
        <v>#REF!</v>
      </c>
      <c r="AN223" s="124" t="e">
        <f>#REF!</f>
        <v>#REF!</v>
      </c>
      <c r="AO223" s="124" t="e">
        <f>#REF!</f>
        <v>#REF!</v>
      </c>
      <c r="AP223" s="124" t="e">
        <f>#REF!</f>
        <v>#REF!</v>
      </c>
    </row>
    <row r="224" spans="1:42" x14ac:dyDescent="0.25">
      <c r="A224" s="351" t="e">
        <f>#REF!</f>
        <v>#REF!</v>
      </c>
      <c r="B224" s="351" t="e">
        <f>#REF!</f>
        <v>#REF!</v>
      </c>
      <c r="C224" s="351" t="e">
        <f>#REF!</f>
        <v>#REF!</v>
      </c>
      <c r="D224" s="351" t="e">
        <f>#REF!</f>
        <v>#REF!</v>
      </c>
      <c r="E224" s="351" t="e">
        <f>#REF!</f>
        <v>#REF!</v>
      </c>
      <c r="F224" s="351" t="e">
        <f>#REF!</f>
        <v>#REF!</v>
      </c>
      <c r="G224" s="351" t="e">
        <f>#REF!</f>
        <v>#REF!</v>
      </c>
      <c r="H224" s="351" t="e">
        <f>#REF!</f>
        <v>#REF!</v>
      </c>
      <c r="I224" s="124"/>
      <c r="J224" s="124"/>
      <c r="K224" s="124"/>
      <c r="L224" s="124"/>
      <c r="M224" s="124"/>
      <c r="N224" s="351" t="e">
        <f t="shared" si="6"/>
        <v>#REF!</v>
      </c>
      <c r="O224" s="124">
        <f t="shared" si="6"/>
        <v>0</v>
      </c>
      <c r="P224" s="124">
        <f t="shared" si="6"/>
        <v>0</v>
      </c>
      <c r="Q224" s="124"/>
      <c r="R224" s="124"/>
      <c r="S224" s="124">
        <f t="shared" si="7"/>
        <v>0</v>
      </c>
      <c r="T224" s="353" t="e">
        <f>#REF!</f>
        <v>#REF!</v>
      </c>
      <c r="U224" s="353" t="e">
        <f>#REF!</f>
        <v>#REF!</v>
      </c>
      <c r="V224" s="353" t="e">
        <f>#REF!</f>
        <v>#REF!</v>
      </c>
      <c r="W224" s="124"/>
      <c r="X224" s="124"/>
      <c r="Y224" s="124"/>
      <c r="Z224" s="124"/>
      <c r="AA224" s="351" t="e">
        <f>#REF!</f>
        <v>#REF!</v>
      </c>
      <c r="AB224" s="124"/>
      <c r="AC224" s="124"/>
      <c r="AD224" s="124"/>
      <c r="AE224" s="124" t="e">
        <f>#REF!</f>
        <v>#REF!</v>
      </c>
      <c r="AF224" s="124" t="e">
        <f>#REF!</f>
        <v>#REF!</v>
      </c>
      <c r="AG224" s="124" t="e">
        <f>#REF!</f>
        <v>#REF!</v>
      </c>
      <c r="AH224" s="124" t="e">
        <f>#REF!</f>
        <v>#REF!</v>
      </c>
      <c r="AI224" s="124" t="e">
        <f>#REF!</f>
        <v>#REF!</v>
      </c>
      <c r="AJ224" s="124" t="e">
        <f>#REF!</f>
        <v>#REF!</v>
      </c>
      <c r="AK224" s="124" t="e">
        <f>#REF!</f>
        <v>#REF!</v>
      </c>
      <c r="AL224" s="124" t="e">
        <f>#REF!</f>
        <v>#REF!</v>
      </c>
      <c r="AM224" s="124" t="e">
        <f>#REF!</f>
        <v>#REF!</v>
      </c>
      <c r="AN224" s="124" t="e">
        <f>#REF!</f>
        <v>#REF!</v>
      </c>
      <c r="AO224" s="124" t="e">
        <f>#REF!</f>
        <v>#REF!</v>
      </c>
      <c r="AP224" s="124" t="e">
        <f>#REF!</f>
        <v>#REF!</v>
      </c>
    </row>
    <row r="225" spans="1:42" x14ac:dyDescent="0.25">
      <c r="A225" s="351" t="e">
        <f>#REF!</f>
        <v>#REF!</v>
      </c>
      <c r="B225" s="351" t="e">
        <f>#REF!</f>
        <v>#REF!</v>
      </c>
      <c r="C225" s="351" t="e">
        <f>#REF!</f>
        <v>#REF!</v>
      </c>
      <c r="D225" s="351" t="e">
        <f>#REF!</f>
        <v>#REF!</v>
      </c>
      <c r="E225" s="351" t="e">
        <f>#REF!</f>
        <v>#REF!</v>
      </c>
      <c r="F225" s="351" t="e">
        <f>#REF!</f>
        <v>#REF!</v>
      </c>
      <c r="G225" s="351" t="e">
        <f>#REF!</f>
        <v>#REF!</v>
      </c>
      <c r="H225" s="351" t="e">
        <f>#REF!</f>
        <v>#REF!</v>
      </c>
      <c r="I225" s="124"/>
      <c r="J225" s="124"/>
      <c r="K225" s="124"/>
      <c r="L225" s="124"/>
      <c r="M225" s="124"/>
      <c r="N225" s="351" t="e">
        <f t="shared" si="6"/>
        <v>#REF!</v>
      </c>
      <c r="O225" s="124">
        <f t="shared" si="6"/>
        <v>0</v>
      </c>
      <c r="P225" s="124">
        <f t="shared" si="6"/>
        <v>0</v>
      </c>
      <c r="Q225" s="124"/>
      <c r="R225" s="124"/>
      <c r="S225" s="124">
        <f t="shared" si="7"/>
        <v>0</v>
      </c>
      <c r="T225" s="353" t="e">
        <f>#REF!</f>
        <v>#REF!</v>
      </c>
      <c r="U225" s="353" t="e">
        <f>#REF!</f>
        <v>#REF!</v>
      </c>
      <c r="V225" s="353" t="e">
        <f>#REF!</f>
        <v>#REF!</v>
      </c>
      <c r="W225" s="124"/>
      <c r="X225" s="124"/>
      <c r="Y225" s="124"/>
      <c r="Z225" s="124"/>
      <c r="AA225" s="351" t="e">
        <f>#REF!</f>
        <v>#REF!</v>
      </c>
      <c r="AB225" s="124"/>
      <c r="AC225" s="124"/>
      <c r="AD225" s="124"/>
      <c r="AE225" s="124" t="e">
        <f>#REF!</f>
        <v>#REF!</v>
      </c>
      <c r="AF225" s="124" t="e">
        <f>#REF!</f>
        <v>#REF!</v>
      </c>
      <c r="AG225" s="124" t="e">
        <f>#REF!</f>
        <v>#REF!</v>
      </c>
      <c r="AH225" s="124" t="e">
        <f>#REF!</f>
        <v>#REF!</v>
      </c>
      <c r="AI225" s="124" t="e">
        <f>#REF!</f>
        <v>#REF!</v>
      </c>
      <c r="AJ225" s="124" t="e">
        <f>#REF!</f>
        <v>#REF!</v>
      </c>
      <c r="AK225" s="124" t="e">
        <f>#REF!</f>
        <v>#REF!</v>
      </c>
      <c r="AL225" s="124" t="e">
        <f>#REF!</f>
        <v>#REF!</v>
      </c>
      <c r="AM225" s="124" t="e">
        <f>#REF!</f>
        <v>#REF!</v>
      </c>
      <c r="AN225" s="124" t="e">
        <f>#REF!</f>
        <v>#REF!</v>
      </c>
      <c r="AO225" s="124" t="e">
        <f>#REF!</f>
        <v>#REF!</v>
      </c>
      <c r="AP225" s="124" t="e">
        <f>#REF!</f>
        <v>#REF!</v>
      </c>
    </row>
    <row r="226" spans="1:42" x14ac:dyDescent="0.25">
      <c r="A226" s="351" t="e">
        <f>#REF!</f>
        <v>#REF!</v>
      </c>
      <c r="B226" s="351" t="e">
        <f>#REF!</f>
        <v>#REF!</v>
      </c>
      <c r="C226" s="351" t="e">
        <f>#REF!</f>
        <v>#REF!</v>
      </c>
      <c r="D226" s="351" t="e">
        <f>#REF!</f>
        <v>#REF!</v>
      </c>
      <c r="E226" s="351" t="e">
        <f>#REF!</f>
        <v>#REF!</v>
      </c>
      <c r="F226" s="351" t="e">
        <f>#REF!</f>
        <v>#REF!</v>
      </c>
      <c r="G226" s="351" t="e">
        <f>#REF!</f>
        <v>#REF!</v>
      </c>
      <c r="H226" s="351" t="e">
        <f>#REF!</f>
        <v>#REF!</v>
      </c>
      <c r="I226" s="124"/>
      <c r="J226" s="124"/>
      <c r="K226" s="124"/>
      <c r="L226" s="124"/>
      <c r="M226" s="124"/>
      <c r="N226" s="351" t="e">
        <f t="shared" si="6"/>
        <v>#REF!</v>
      </c>
      <c r="O226" s="124">
        <f t="shared" si="6"/>
        <v>0</v>
      </c>
      <c r="P226" s="124">
        <f t="shared" si="6"/>
        <v>0</v>
      </c>
      <c r="Q226" s="124"/>
      <c r="R226" s="124"/>
      <c r="S226" s="124">
        <f t="shared" si="7"/>
        <v>0</v>
      </c>
      <c r="T226" s="353" t="e">
        <f>#REF!</f>
        <v>#REF!</v>
      </c>
      <c r="U226" s="353" t="e">
        <f>#REF!</f>
        <v>#REF!</v>
      </c>
      <c r="V226" s="353" t="e">
        <f>#REF!</f>
        <v>#REF!</v>
      </c>
      <c r="W226" s="124"/>
      <c r="X226" s="124"/>
      <c r="Y226" s="124"/>
      <c r="Z226" s="124"/>
      <c r="AA226" s="351" t="e">
        <f>#REF!</f>
        <v>#REF!</v>
      </c>
      <c r="AB226" s="124"/>
      <c r="AC226" s="124"/>
      <c r="AD226" s="124"/>
      <c r="AE226" s="124" t="e">
        <f>#REF!</f>
        <v>#REF!</v>
      </c>
      <c r="AF226" s="124" t="e">
        <f>#REF!</f>
        <v>#REF!</v>
      </c>
      <c r="AG226" s="124" t="e">
        <f>#REF!</f>
        <v>#REF!</v>
      </c>
      <c r="AH226" s="124" t="e">
        <f>#REF!</f>
        <v>#REF!</v>
      </c>
      <c r="AI226" s="124" t="e">
        <f>#REF!</f>
        <v>#REF!</v>
      </c>
      <c r="AJ226" s="124" t="e">
        <f>#REF!</f>
        <v>#REF!</v>
      </c>
      <c r="AK226" s="124" t="e">
        <f>#REF!</f>
        <v>#REF!</v>
      </c>
      <c r="AL226" s="124" t="e">
        <f>#REF!</f>
        <v>#REF!</v>
      </c>
      <c r="AM226" s="124" t="e">
        <f>#REF!</f>
        <v>#REF!</v>
      </c>
      <c r="AN226" s="124" t="e">
        <f>#REF!</f>
        <v>#REF!</v>
      </c>
      <c r="AO226" s="124" t="e">
        <f>#REF!</f>
        <v>#REF!</v>
      </c>
      <c r="AP226" s="124" t="e">
        <f>#REF!</f>
        <v>#REF!</v>
      </c>
    </row>
    <row r="227" spans="1:42" x14ac:dyDescent="0.25">
      <c r="A227" s="351" t="e">
        <f>#REF!</f>
        <v>#REF!</v>
      </c>
      <c r="B227" s="351" t="e">
        <f>#REF!</f>
        <v>#REF!</v>
      </c>
      <c r="C227" s="351" t="e">
        <f>#REF!</f>
        <v>#REF!</v>
      </c>
      <c r="D227" s="351" t="e">
        <f>#REF!</f>
        <v>#REF!</v>
      </c>
      <c r="E227" s="351" t="e">
        <f>#REF!</f>
        <v>#REF!</v>
      </c>
      <c r="F227" s="351" t="e">
        <f>#REF!</f>
        <v>#REF!</v>
      </c>
      <c r="G227" s="351" t="e">
        <f>#REF!</f>
        <v>#REF!</v>
      </c>
      <c r="H227" s="351" t="e">
        <f>#REF!</f>
        <v>#REF!</v>
      </c>
      <c r="I227" s="124"/>
      <c r="J227" s="124"/>
      <c r="K227" s="124"/>
      <c r="L227" s="124"/>
      <c r="M227" s="124"/>
      <c r="N227" s="351" t="e">
        <f t="shared" ref="N227:P248" si="8">H227+K227</f>
        <v>#REF!</v>
      </c>
      <c r="O227" s="124">
        <f t="shared" si="8"/>
        <v>0</v>
      </c>
      <c r="P227" s="124">
        <f t="shared" si="8"/>
        <v>0</v>
      </c>
      <c r="Q227" s="124"/>
      <c r="R227" s="124"/>
      <c r="S227" s="124">
        <f t="shared" si="7"/>
        <v>0</v>
      </c>
      <c r="T227" s="353" t="e">
        <f>#REF!</f>
        <v>#REF!</v>
      </c>
      <c r="U227" s="353" t="e">
        <f>#REF!</f>
        <v>#REF!</v>
      </c>
      <c r="V227" s="353" t="e">
        <f>#REF!</f>
        <v>#REF!</v>
      </c>
      <c r="W227" s="124"/>
      <c r="X227" s="124"/>
      <c r="Y227" s="124"/>
      <c r="Z227" s="124"/>
      <c r="AA227" s="351" t="e">
        <f>#REF!</f>
        <v>#REF!</v>
      </c>
      <c r="AB227" s="124"/>
      <c r="AC227" s="124"/>
      <c r="AD227" s="124"/>
      <c r="AE227" s="124" t="e">
        <f>#REF!</f>
        <v>#REF!</v>
      </c>
      <c r="AF227" s="124" t="e">
        <f>#REF!</f>
        <v>#REF!</v>
      </c>
      <c r="AG227" s="124" t="e">
        <f>#REF!</f>
        <v>#REF!</v>
      </c>
      <c r="AH227" s="124" t="e">
        <f>#REF!</f>
        <v>#REF!</v>
      </c>
      <c r="AI227" s="124" t="e">
        <f>#REF!</f>
        <v>#REF!</v>
      </c>
      <c r="AJ227" s="124" t="e">
        <f>#REF!</f>
        <v>#REF!</v>
      </c>
      <c r="AK227" s="124" t="e">
        <f>#REF!</f>
        <v>#REF!</v>
      </c>
      <c r="AL227" s="124" t="e">
        <f>#REF!</f>
        <v>#REF!</v>
      </c>
      <c r="AM227" s="124" t="e">
        <f>#REF!</f>
        <v>#REF!</v>
      </c>
      <c r="AN227" s="124" t="e">
        <f>#REF!</f>
        <v>#REF!</v>
      </c>
      <c r="AO227" s="124" t="e">
        <f>#REF!</f>
        <v>#REF!</v>
      </c>
      <c r="AP227" s="124" t="e">
        <f>#REF!</f>
        <v>#REF!</v>
      </c>
    </row>
    <row r="228" spans="1:42" x14ac:dyDescent="0.25">
      <c r="A228" s="351" t="e">
        <f>#REF!</f>
        <v>#REF!</v>
      </c>
      <c r="B228" s="351" t="e">
        <f>#REF!</f>
        <v>#REF!</v>
      </c>
      <c r="C228" s="351" t="e">
        <f>#REF!</f>
        <v>#REF!</v>
      </c>
      <c r="D228" s="351" t="e">
        <f>#REF!</f>
        <v>#REF!</v>
      </c>
      <c r="E228" s="351" t="e">
        <f>#REF!</f>
        <v>#REF!</v>
      </c>
      <c r="F228" s="351" t="e">
        <f>#REF!</f>
        <v>#REF!</v>
      </c>
      <c r="G228" s="351" t="e">
        <f>#REF!</f>
        <v>#REF!</v>
      </c>
      <c r="H228" s="351" t="e">
        <f>#REF!</f>
        <v>#REF!</v>
      </c>
      <c r="I228" s="124"/>
      <c r="J228" s="124"/>
      <c r="K228" s="124"/>
      <c r="L228" s="124"/>
      <c r="M228" s="124"/>
      <c r="N228" s="351" t="e">
        <f t="shared" si="8"/>
        <v>#REF!</v>
      </c>
      <c r="O228" s="124">
        <f t="shared" si="8"/>
        <v>0</v>
      </c>
      <c r="P228" s="124">
        <f t="shared" si="8"/>
        <v>0</v>
      </c>
      <c r="Q228" s="124"/>
      <c r="R228" s="124"/>
      <c r="S228" s="124">
        <f t="shared" si="7"/>
        <v>0</v>
      </c>
      <c r="T228" s="353" t="e">
        <f>#REF!</f>
        <v>#REF!</v>
      </c>
      <c r="U228" s="353" t="e">
        <f>#REF!</f>
        <v>#REF!</v>
      </c>
      <c r="V228" s="353" t="e">
        <f>#REF!</f>
        <v>#REF!</v>
      </c>
      <c r="W228" s="124"/>
      <c r="X228" s="124"/>
      <c r="Y228" s="124"/>
      <c r="Z228" s="124"/>
      <c r="AA228" s="351" t="e">
        <f>#REF!</f>
        <v>#REF!</v>
      </c>
      <c r="AB228" s="124"/>
      <c r="AC228" s="124"/>
      <c r="AD228" s="124"/>
      <c r="AE228" s="124" t="e">
        <f>#REF!</f>
        <v>#REF!</v>
      </c>
      <c r="AF228" s="124" t="e">
        <f>#REF!</f>
        <v>#REF!</v>
      </c>
      <c r="AG228" s="124" t="e">
        <f>#REF!</f>
        <v>#REF!</v>
      </c>
      <c r="AH228" s="124" t="e">
        <f>#REF!</f>
        <v>#REF!</v>
      </c>
      <c r="AI228" s="124" t="e">
        <f>#REF!</f>
        <v>#REF!</v>
      </c>
      <c r="AJ228" s="124" t="e">
        <f>#REF!</f>
        <v>#REF!</v>
      </c>
      <c r="AK228" s="124" t="e">
        <f>#REF!</f>
        <v>#REF!</v>
      </c>
      <c r="AL228" s="124" t="e">
        <f>#REF!</f>
        <v>#REF!</v>
      </c>
      <c r="AM228" s="124" t="e">
        <f>#REF!</f>
        <v>#REF!</v>
      </c>
      <c r="AN228" s="124" t="e">
        <f>#REF!</f>
        <v>#REF!</v>
      </c>
      <c r="AO228" s="124" t="e">
        <f>#REF!</f>
        <v>#REF!</v>
      </c>
      <c r="AP228" s="124" t="e">
        <f>#REF!</f>
        <v>#REF!</v>
      </c>
    </row>
    <row r="229" spans="1:42" x14ac:dyDescent="0.25">
      <c r="A229" s="351" t="e">
        <f>#REF!</f>
        <v>#REF!</v>
      </c>
      <c r="B229" s="351" t="e">
        <f>#REF!</f>
        <v>#REF!</v>
      </c>
      <c r="C229" s="351" t="e">
        <f>#REF!</f>
        <v>#REF!</v>
      </c>
      <c r="D229" s="351" t="e">
        <f>#REF!</f>
        <v>#REF!</v>
      </c>
      <c r="E229" s="351" t="e">
        <f>#REF!</f>
        <v>#REF!</v>
      </c>
      <c r="F229" s="351" t="e">
        <f>#REF!</f>
        <v>#REF!</v>
      </c>
      <c r="G229" s="351" t="e">
        <f>#REF!</f>
        <v>#REF!</v>
      </c>
      <c r="H229" s="351" t="e">
        <f>#REF!</f>
        <v>#REF!</v>
      </c>
      <c r="I229" s="124"/>
      <c r="J229" s="124"/>
      <c r="K229" s="124"/>
      <c r="L229" s="124"/>
      <c r="M229" s="124"/>
      <c r="N229" s="351" t="e">
        <f t="shared" si="8"/>
        <v>#REF!</v>
      </c>
      <c r="O229" s="124">
        <f t="shared" si="8"/>
        <v>0</v>
      </c>
      <c r="P229" s="124">
        <f t="shared" si="8"/>
        <v>0</v>
      </c>
      <c r="Q229" s="124"/>
      <c r="R229" s="124"/>
      <c r="S229" s="124">
        <f t="shared" si="7"/>
        <v>0</v>
      </c>
      <c r="T229" s="353" t="e">
        <f>#REF!</f>
        <v>#REF!</v>
      </c>
      <c r="U229" s="353" t="e">
        <f>#REF!</f>
        <v>#REF!</v>
      </c>
      <c r="V229" s="353" t="e">
        <f>#REF!</f>
        <v>#REF!</v>
      </c>
      <c r="W229" s="124"/>
      <c r="X229" s="124"/>
      <c r="Y229" s="124"/>
      <c r="Z229" s="124"/>
      <c r="AA229" s="351" t="e">
        <f>#REF!</f>
        <v>#REF!</v>
      </c>
      <c r="AB229" s="124"/>
      <c r="AC229" s="124"/>
      <c r="AD229" s="124"/>
      <c r="AE229" s="124" t="e">
        <f>#REF!</f>
        <v>#REF!</v>
      </c>
      <c r="AF229" s="124" t="e">
        <f>#REF!</f>
        <v>#REF!</v>
      </c>
      <c r="AG229" s="124" t="e">
        <f>#REF!</f>
        <v>#REF!</v>
      </c>
      <c r="AH229" s="124" t="e">
        <f>#REF!</f>
        <v>#REF!</v>
      </c>
      <c r="AI229" s="124" t="e">
        <f>#REF!</f>
        <v>#REF!</v>
      </c>
      <c r="AJ229" s="124" t="e">
        <f>#REF!</f>
        <v>#REF!</v>
      </c>
      <c r="AK229" s="124" t="e">
        <f>#REF!</f>
        <v>#REF!</v>
      </c>
      <c r="AL229" s="124" t="e">
        <f>#REF!</f>
        <v>#REF!</v>
      </c>
      <c r="AM229" s="124" t="e">
        <f>#REF!</f>
        <v>#REF!</v>
      </c>
      <c r="AN229" s="124" t="e">
        <f>#REF!</f>
        <v>#REF!</v>
      </c>
      <c r="AO229" s="124" t="e">
        <f>#REF!</f>
        <v>#REF!</v>
      </c>
      <c r="AP229" s="124" t="e">
        <f>#REF!</f>
        <v>#REF!</v>
      </c>
    </row>
    <row r="230" spans="1:42" x14ac:dyDescent="0.25">
      <c r="A230" s="351" t="e">
        <f>#REF!</f>
        <v>#REF!</v>
      </c>
      <c r="B230" s="351" t="e">
        <f>#REF!</f>
        <v>#REF!</v>
      </c>
      <c r="C230" s="351" t="e">
        <f>#REF!</f>
        <v>#REF!</v>
      </c>
      <c r="D230" s="351" t="e">
        <f>#REF!</f>
        <v>#REF!</v>
      </c>
      <c r="E230" s="351" t="e">
        <f>#REF!</f>
        <v>#REF!</v>
      </c>
      <c r="F230" s="351" t="e">
        <f>#REF!</f>
        <v>#REF!</v>
      </c>
      <c r="G230" s="351" t="e">
        <f>#REF!</f>
        <v>#REF!</v>
      </c>
      <c r="H230" s="351" t="e">
        <f>#REF!</f>
        <v>#REF!</v>
      </c>
      <c r="I230" s="124"/>
      <c r="J230" s="124"/>
      <c r="K230" s="124"/>
      <c r="L230" s="124"/>
      <c r="M230" s="124"/>
      <c r="N230" s="351" t="e">
        <f t="shared" si="8"/>
        <v>#REF!</v>
      </c>
      <c r="O230" s="124">
        <f t="shared" si="8"/>
        <v>0</v>
      </c>
      <c r="P230" s="124">
        <f t="shared" si="8"/>
        <v>0</v>
      </c>
      <c r="Q230" s="124"/>
      <c r="R230" s="124"/>
      <c r="S230" s="124">
        <f t="shared" si="7"/>
        <v>0</v>
      </c>
      <c r="T230" s="353" t="e">
        <f>#REF!</f>
        <v>#REF!</v>
      </c>
      <c r="U230" s="353" t="e">
        <f>#REF!</f>
        <v>#REF!</v>
      </c>
      <c r="V230" s="353" t="e">
        <f>#REF!</f>
        <v>#REF!</v>
      </c>
      <c r="W230" s="124"/>
      <c r="X230" s="124"/>
      <c r="Y230" s="124"/>
      <c r="Z230" s="124"/>
      <c r="AA230" s="351" t="e">
        <f>#REF!</f>
        <v>#REF!</v>
      </c>
      <c r="AB230" s="124"/>
      <c r="AC230" s="124"/>
      <c r="AD230" s="124"/>
      <c r="AE230" s="124" t="e">
        <f>#REF!</f>
        <v>#REF!</v>
      </c>
      <c r="AF230" s="124" t="e">
        <f>#REF!</f>
        <v>#REF!</v>
      </c>
      <c r="AG230" s="124" t="e">
        <f>#REF!</f>
        <v>#REF!</v>
      </c>
      <c r="AH230" s="124" t="e">
        <f>#REF!</f>
        <v>#REF!</v>
      </c>
      <c r="AI230" s="124" t="e">
        <f>#REF!</f>
        <v>#REF!</v>
      </c>
      <c r="AJ230" s="124" t="e">
        <f>#REF!</f>
        <v>#REF!</v>
      </c>
      <c r="AK230" s="124" t="e">
        <f>#REF!</f>
        <v>#REF!</v>
      </c>
      <c r="AL230" s="124" t="e">
        <f>#REF!</f>
        <v>#REF!</v>
      </c>
      <c r="AM230" s="124" t="e">
        <f>#REF!</f>
        <v>#REF!</v>
      </c>
      <c r="AN230" s="124" t="e">
        <f>#REF!</f>
        <v>#REF!</v>
      </c>
      <c r="AO230" s="124" t="e">
        <f>#REF!</f>
        <v>#REF!</v>
      </c>
      <c r="AP230" s="124" t="e">
        <f>#REF!</f>
        <v>#REF!</v>
      </c>
    </row>
    <row r="231" spans="1:42" x14ac:dyDescent="0.25">
      <c r="A231" s="351" t="e">
        <f>#REF!</f>
        <v>#REF!</v>
      </c>
      <c r="B231" s="351" t="e">
        <f>#REF!</f>
        <v>#REF!</v>
      </c>
      <c r="C231" s="351" t="e">
        <f>#REF!</f>
        <v>#REF!</v>
      </c>
      <c r="D231" s="351" t="e">
        <f>#REF!</f>
        <v>#REF!</v>
      </c>
      <c r="E231" s="351" t="e">
        <f>#REF!</f>
        <v>#REF!</v>
      </c>
      <c r="F231" s="351" t="e">
        <f>#REF!</f>
        <v>#REF!</v>
      </c>
      <c r="G231" s="351" t="e">
        <f>#REF!</f>
        <v>#REF!</v>
      </c>
      <c r="H231" s="351" t="e">
        <f>#REF!</f>
        <v>#REF!</v>
      </c>
      <c r="I231" s="124"/>
      <c r="J231" s="124"/>
      <c r="K231" s="124"/>
      <c r="L231" s="124"/>
      <c r="M231" s="124"/>
      <c r="N231" s="351" t="e">
        <f t="shared" si="8"/>
        <v>#REF!</v>
      </c>
      <c r="O231" s="124">
        <f t="shared" si="8"/>
        <v>0</v>
      </c>
      <c r="P231" s="124">
        <f t="shared" si="8"/>
        <v>0</v>
      </c>
      <c r="Q231" s="124"/>
      <c r="R231" s="124"/>
      <c r="S231" s="124">
        <f t="shared" si="7"/>
        <v>0</v>
      </c>
      <c r="T231" s="353" t="e">
        <f>#REF!</f>
        <v>#REF!</v>
      </c>
      <c r="U231" s="353" t="e">
        <f>#REF!</f>
        <v>#REF!</v>
      </c>
      <c r="V231" s="353" t="e">
        <f>#REF!</f>
        <v>#REF!</v>
      </c>
      <c r="W231" s="124"/>
      <c r="X231" s="124"/>
      <c r="Y231" s="124"/>
      <c r="Z231" s="124"/>
      <c r="AA231" s="351" t="e">
        <f>#REF!</f>
        <v>#REF!</v>
      </c>
      <c r="AB231" s="124"/>
      <c r="AC231" s="124"/>
      <c r="AD231" s="124"/>
      <c r="AE231" s="124" t="e">
        <f>#REF!</f>
        <v>#REF!</v>
      </c>
      <c r="AF231" s="124" t="e">
        <f>#REF!</f>
        <v>#REF!</v>
      </c>
      <c r="AG231" s="124" t="e">
        <f>#REF!</f>
        <v>#REF!</v>
      </c>
      <c r="AH231" s="124" t="e">
        <f>#REF!</f>
        <v>#REF!</v>
      </c>
      <c r="AI231" s="124" t="e">
        <f>#REF!</f>
        <v>#REF!</v>
      </c>
      <c r="AJ231" s="124" t="e">
        <f>#REF!</f>
        <v>#REF!</v>
      </c>
      <c r="AK231" s="124" t="e">
        <f>#REF!</f>
        <v>#REF!</v>
      </c>
      <c r="AL231" s="124" t="e">
        <f>#REF!</f>
        <v>#REF!</v>
      </c>
      <c r="AM231" s="124" t="e">
        <f>#REF!</f>
        <v>#REF!</v>
      </c>
      <c r="AN231" s="124" t="e">
        <f>#REF!</f>
        <v>#REF!</v>
      </c>
      <c r="AO231" s="124" t="e">
        <f>#REF!</f>
        <v>#REF!</v>
      </c>
      <c r="AP231" s="124" t="e">
        <f>#REF!</f>
        <v>#REF!</v>
      </c>
    </row>
    <row r="232" spans="1:42" x14ac:dyDescent="0.25">
      <c r="A232" s="351" t="e">
        <f>#REF!</f>
        <v>#REF!</v>
      </c>
      <c r="B232" s="351" t="e">
        <f>#REF!</f>
        <v>#REF!</v>
      </c>
      <c r="C232" s="351" t="e">
        <f>#REF!</f>
        <v>#REF!</v>
      </c>
      <c r="D232" s="351" t="e">
        <f>#REF!</f>
        <v>#REF!</v>
      </c>
      <c r="E232" s="351" t="e">
        <f>#REF!</f>
        <v>#REF!</v>
      </c>
      <c r="F232" s="351" t="e">
        <f>#REF!</f>
        <v>#REF!</v>
      </c>
      <c r="G232" s="351" t="e">
        <f>#REF!</f>
        <v>#REF!</v>
      </c>
      <c r="H232" s="351" t="e">
        <f>#REF!</f>
        <v>#REF!</v>
      </c>
      <c r="I232" s="124"/>
      <c r="J232" s="124"/>
      <c r="K232" s="124"/>
      <c r="L232" s="124"/>
      <c r="M232" s="124"/>
      <c r="N232" s="351" t="e">
        <f t="shared" si="8"/>
        <v>#REF!</v>
      </c>
      <c r="O232" s="124">
        <f t="shared" si="8"/>
        <v>0</v>
      </c>
      <c r="P232" s="124">
        <f t="shared" si="8"/>
        <v>0</v>
      </c>
      <c r="Q232" s="124"/>
      <c r="R232" s="124"/>
      <c r="S232" s="124">
        <f t="shared" si="7"/>
        <v>0</v>
      </c>
      <c r="T232" s="353" t="e">
        <f>#REF!</f>
        <v>#REF!</v>
      </c>
      <c r="U232" s="353" t="e">
        <f>#REF!</f>
        <v>#REF!</v>
      </c>
      <c r="V232" s="353" t="e">
        <f>#REF!</f>
        <v>#REF!</v>
      </c>
      <c r="W232" s="124"/>
      <c r="X232" s="124"/>
      <c r="Y232" s="124"/>
      <c r="Z232" s="124"/>
      <c r="AA232" s="351" t="e">
        <f>#REF!</f>
        <v>#REF!</v>
      </c>
      <c r="AB232" s="124"/>
      <c r="AC232" s="124"/>
      <c r="AD232" s="124"/>
      <c r="AE232" s="124" t="e">
        <f>#REF!</f>
        <v>#REF!</v>
      </c>
      <c r="AF232" s="124" t="e">
        <f>#REF!</f>
        <v>#REF!</v>
      </c>
      <c r="AG232" s="124" t="e">
        <f>#REF!</f>
        <v>#REF!</v>
      </c>
      <c r="AH232" s="124" t="e">
        <f>#REF!</f>
        <v>#REF!</v>
      </c>
      <c r="AI232" s="124" t="e">
        <f>#REF!</f>
        <v>#REF!</v>
      </c>
      <c r="AJ232" s="124" t="e">
        <f>#REF!</f>
        <v>#REF!</v>
      </c>
      <c r="AK232" s="124" t="e">
        <f>#REF!</f>
        <v>#REF!</v>
      </c>
      <c r="AL232" s="124" t="e">
        <f>#REF!</f>
        <v>#REF!</v>
      </c>
      <c r="AM232" s="124" t="e">
        <f>#REF!</f>
        <v>#REF!</v>
      </c>
      <c r="AN232" s="124" t="e">
        <f>#REF!</f>
        <v>#REF!</v>
      </c>
      <c r="AO232" s="124" t="e">
        <f>#REF!</f>
        <v>#REF!</v>
      </c>
      <c r="AP232" s="124" t="e">
        <f>#REF!</f>
        <v>#REF!</v>
      </c>
    </row>
    <row r="233" spans="1:42" x14ac:dyDescent="0.25">
      <c r="A233" s="351" t="e">
        <f>#REF!</f>
        <v>#REF!</v>
      </c>
      <c r="B233" s="351" t="e">
        <f>#REF!</f>
        <v>#REF!</v>
      </c>
      <c r="C233" s="351" t="e">
        <f>#REF!</f>
        <v>#REF!</v>
      </c>
      <c r="D233" s="351" t="e">
        <f>#REF!</f>
        <v>#REF!</v>
      </c>
      <c r="E233" s="351" t="e">
        <f>#REF!</f>
        <v>#REF!</v>
      </c>
      <c r="F233" s="351" t="e">
        <f>#REF!</f>
        <v>#REF!</v>
      </c>
      <c r="G233" s="351" t="e">
        <f>#REF!</f>
        <v>#REF!</v>
      </c>
      <c r="H233" s="351" t="e">
        <f>#REF!</f>
        <v>#REF!</v>
      </c>
      <c r="I233" s="124"/>
      <c r="J233" s="124"/>
      <c r="K233" s="124"/>
      <c r="L233" s="124"/>
      <c r="M233" s="124"/>
      <c r="N233" s="351" t="e">
        <f t="shared" si="8"/>
        <v>#REF!</v>
      </c>
      <c r="O233" s="124">
        <f t="shared" si="8"/>
        <v>0</v>
      </c>
      <c r="P233" s="124">
        <f t="shared" si="8"/>
        <v>0</v>
      </c>
      <c r="Q233" s="124"/>
      <c r="R233" s="124"/>
      <c r="S233" s="124">
        <f t="shared" si="7"/>
        <v>0</v>
      </c>
      <c r="T233" s="353" t="e">
        <f>#REF!</f>
        <v>#REF!</v>
      </c>
      <c r="U233" s="353" t="e">
        <f>#REF!</f>
        <v>#REF!</v>
      </c>
      <c r="V233" s="353" t="e">
        <f>#REF!</f>
        <v>#REF!</v>
      </c>
      <c r="W233" s="124"/>
      <c r="X233" s="124"/>
      <c r="Y233" s="124"/>
      <c r="Z233" s="124"/>
      <c r="AA233" s="351" t="e">
        <f>#REF!</f>
        <v>#REF!</v>
      </c>
      <c r="AB233" s="124"/>
      <c r="AC233" s="124"/>
      <c r="AD233" s="124"/>
      <c r="AE233" s="124" t="e">
        <f>#REF!</f>
        <v>#REF!</v>
      </c>
      <c r="AF233" s="124" t="e">
        <f>#REF!</f>
        <v>#REF!</v>
      </c>
      <c r="AG233" s="124" t="e">
        <f>#REF!</f>
        <v>#REF!</v>
      </c>
      <c r="AH233" s="124" t="e">
        <f>#REF!</f>
        <v>#REF!</v>
      </c>
      <c r="AI233" s="124" t="e">
        <f>#REF!</f>
        <v>#REF!</v>
      </c>
      <c r="AJ233" s="124" t="e">
        <f>#REF!</f>
        <v>#REF!</v>
      </c>
      <c r="AK233" s="124" t="e">
        <f>#REF!</f>
        <v>#REF!</v>
      </c>
      <c r="AL233" s="124" t="e">
        <f>#REF!</f>
        <v>#REF!</v>
      </c>
      <c r="AM233" s="124" t="e">
        <f>#REF!</f>
        <v>#REF!</v>
      </c>
      <c r="AN233" s="124" t="e">
        <f>#REF!</f>
        <v>#REF!</v>
      </c>
      <c r="AO233" s="124" t="e">
        <f>#REF!</f>
        <v>#REF!</v>
      </c>
      <c r="AP233" s="124" t="e">
        <f>#REF!</f>
        <v>#REF!</v>
      </c>
    </row>
    <row r="234" spans="1:42" x14ac:dyDescent="0.25">
      <c r="A234" s="351" t="e">
        <f>#REF!</f>
        <v>#REF!</v>
      </c>
      <c r="B234" s="351" t="e">
        <f>#REF!</f>
        <v>#REF!</v>
      </c>
      <c r="C234" s="351" t="e">
        <f>#REF!</f>
        <v>#REF!</v>
      </c>
      <c r="D234" s="351" t="e">
        <f>#REF!</f>
        <v>#REF!</v>
      </c>
      <c r="E234" s="351" t="e">
        <f>#REF!</f>
        <v>#REF!</v>
      </c>
      <c r="F234" s="351" t="e">
        <f>#REF!</f>
        <v>#REF!</v>
      </c>
      <c r="G234" s="351" t="e">
        <f>#REF!</f>
        <v>#REF!</v>
      </c>
      <c r="H234" s="351" t="e">
        <f>#REF!</f>
        <v>#REF!</v>
      </c>
      <c r="I234" s="124"/>
      <c r="J234" s="124"/>
      <c r="K234" s="124"/>
      <c r="L234" s="124"/>
      <c r="M234" s="124"/>
      <c r="N234" s="351" t="e">
        <f t="shared" si="8"/>
        <v>#REF!</v>
      </c>
      <c r="O234" s="124">
        <f t="shared" si="8"/>
        <v>0</v>
      </c>
      <c r="P234" s="124">
        <f t="shared" si="8"/>
        <v>0</v>
      </c>
      <c r="Q234" s="124"/>
      <c r="R234" s="124"/>
      <c r="S234" s="124">
        <f t="shared" si="7"/>
        <v>0</v>
      </c>
      <c r="T234" s="353" t="e">
        <f>#REF!</f>
        <v>#REF!</v>
      </c>
      <c r="U234" s="353" t="e">
        <f>#REF!</f>
        <v>#REF!</v>
      </c>
      <c r="V234" s="353" t="e">
        <f>#REF!</f>
        <v>#REF!</v>
      </c>
      <c r="W234" s="124"/>
      <c r="X234" s="124"/>
      <c r="Y234" s="124"/>
      <c r="Z234" s="124"/>
      <c r="AA234" s="351" t="e">
        <f>#REF!</f>
        <v>#REF!</v>
      </c>
      <c r="AB234" s="124"/>
      <c r="AC234" s="124"/>
      <c r="AD234" s="124"/>
      <c r="AE234" s="124" t="e">
        <f>#REF!</f>
        <v>#REF!</v>
      </c>
      <c r="AF234" s="124" t="e">
        <f>#REF!</f>
        <v>#REF!</v>
      </c>
      <c r="AG234" s="124" t="e">
        <f>#REF!</f>
        <v>#REF!</v>
      </c>
      <c r="AH234" s="124" t="e">
        <f>#REF!</f>
        <v>#REF!</v>
      </c>
      <c r="AI234" s="124" t="e">
        <f>#REF!</f>
        <v>#REF!</v>
      </c>
      <c r="AJ234" s="124" t="e">
        <f>#REF!</f>
        <v>#REF!</v>
      </c>
      <c r="AK234" s="124" t="e">
        <f>#REF!</f>
        <v>#REF!</v>
      </c>
      <c r="AL234" s="124" t="e">
        <f>#REF!</f>
        <v>#REF!</v>
      </c>
      <c r="AM234" s="124" t="e">
        <f>#REF!</f>
        <v>#REF!</v>
      </c>
      <c r="AN234" s="124" t="e">
        <f>#REF!</f>
        <v>#REF!</v>
      </c>
      <c r="AO234" s="124" t="e">
        <f>#REF!</f>
        <v>#REF!</v>
      </c>
      <c r="AP234" s="124" t="e">
        <f>#REF!</f>
        <v>#REF!</v>
      </c>
    </row>
    <row r="235" spans="1:42" x14ac:dyDescent="0.25">
      <c r="A235" s="351" t="e">
        <f>#REF!</f>
        <v>#REF!</v>
      </c>
      <c r="B235" s="351" t="e">
        <f>#REF!</f>
        <v>#REF!</v>
      </c>
      <c r="C235" s="351" t="e">
        <f>#REF!</f>
        <v>#REF!</v>
      </c>
      <c r="D235" s="351" t="e">
        <f>#REF!</f>
        <v>#REF!</v>
      </c>
      <c r="E235" s="351" t="e">
        <f>#REF!</f>
        <v>#REF!</v>
      </c>
      <c r="F235" s="351" t="e">
        <f>#REF!</f>
        <v>#REF!</v>
      </c>
      <c r="G235" s="351" t="e">
        <f>#REF!</f>
        <v>#REF!</v>
      </c>
      <c r="H235" s="351" t="e">
        <f>#REF!</f>
        <v>#REF!</v>
      </c>
      <c r="I235" s="124"/>
      <c r="J235" s="124"/>
      <c r="K235" s="124"/>
      <c r="L235" s="124"/>
      <c r="M235" s="124"/>
      <c r="N235" s="351" t="e">
        <f t="shared" si="8"/>
        <v>#REF!</v>
      </c>
      <c r="O235" s="124">
        <f t="shared" si="8"/>
        <v>0</v>
      </c>
      <c r="P235" s="124">
        <f t="shared" si="8"/>
        <v>0</v>
      </c>
      <c r="Q235" s="124"/>
      <c r="R235" s="124"/>
      <c r="S235" s="124">
        <f t="shared" si="7"/>
        <v>0</v>
      </c>
      <c r="T235" s="353" t="e">
        <f>#REF!</f>
        <v>#REF!</v>
      </c>
      <c r="U235" s="353" t="e">
        <f>#REF!</f>
        <v>#REF!</v>
      </c>
      <c r="V235" s="353" t="e">
        <f>#REF!</f>
        <v>#REF!</v>
      </c>
      <c r="W235" s="124"/>
      <c r="X235" s="124"/>
      <c r="Y235" s="124"/>
      <c r="Z235" s="124"/>
      <c r="AA235" s="351" t="e">
        <f>#REF!</f>
        <v>#REF!</v>
      </c>
      <c r="AB235" s="124"/>
      <c r="AC235" s="124"/>
      <c r="AD235" s="124"/>
      <c r="AE235" s="124" t="e">
        <f>#REF!</f>
        <v>#REF!</v>
      </c>
      <c r="AF235" s="124" t="e">
        <f>#REF!</f>
        <v>#REF!</v>
      </c>
      <c r="AG235" s="124" t="e">
        <f>#REF!</f>
        <v>#REF!</v>
      </c>
      <c r="AH235" s="124" t="e">
        <f>#REF!</f>
        <v>#REF!</v>
      </c>
      <c r="AI235" s="124" t="e">
        <f>#REF!</f>
        <v>#REF!</v>
      </c>
      <c r="AJ235" s="124" t="e">
        <f>#REF!</f>
        <v>#REF!</v>
      </c>
      <c r="AK235" s="124" t="e">
        <f>#REF!</f>
        <v>#REF!</v>
      </c>
      <c r="AL235" s="124" t="e">
        <f>#REF!</f>
        <v>#REF!</v>
      </c>
      <c r="AM235" s="124" t="e">
        <f>#REF!</f>
        <v>#REF!</v>
      </c>
      <c r="AN235" s="124" t="e">
        <f>#REF!</f>
        <v>#REF!</v>
      </c>
      <c r="AO235" s="124" t="e">
        <f>#REF!</f>
        <v>#REF!</v>
      </c>
      <c r="AP235" s="124" t="e">
        <f>#REF!</f>
        <v>#REF!</v>
      </c>
    </row>
    <row r="236" spans="1:42" x14ac:dyDescent="0.25">
      <c r="A236" s="351" t="e">
        <f>#REF!</f>
        <v>#REF!</v>
      </c>
      <c r="B236" s="351" t="e">
        <f>#REF!</f>
        <v>#REF!</v>
      </c>
      <c r="C236" s="351" t="e">
        <f>#REF!</f>
        <v>#REF!</v>
      </c>
      <c r="D236" s="351" t="e">
        <f>#REF!</f>
        <v>#REF!</v>
      </c>
      <c r="E236" s="351" t="e">
        <f>#REF!</f>
        <v>#REF!</v>
      </c>
      <c r="F236" s="351" t="e">
        <f>#REF!</f>
        <v>#REF!</v>
      </c>
      <c r="G236" s="351" t="e">
        <f>#REF!</f>
        <v>#REF!</v>
      </c>
      <c r="H236" s="351" t="e">
        <f>#REF!</f>
        <v>#REF!</v>
      </c>
      <c r="I236" s="124"/>
      <c r="J236" s="124"/>
      <c r="K236" s="124"/>
      <c r="L236" s="124"/>
      <c r="M236" s="124"/>
      <c r="N236" s="351" t="e">
        <f t="shared" si="8"/>
        <v>#REF!</v>
      </c>
      <c r="O236" s="124">
        <f t="shared" si="8"/>
        <v>0</v>
      </c>
      <c r="P236" s="124">
        <f t="shared" si="8"/>
        <v>0</v>
      </c>
      <c r="Q236" s="124"/>
      <c r="R236" s="124"/>
      <c r="S236" s="124">
        <f t="shared" si="7"/>
        <v>0</v>
      </c>
      <c r="T236" s="353" t="e">
        <f>#REF!</f>
        <v>#REF!</v>
      </c>
      <c r="U236" s="353" t="e">
        <f>#REF!</f>
        <v>#REF!</v>
      </c>
      <c r="V236" s="353" t="e">
        <f>#REF!</f>
        <v>#REF!</v>
      </c>
      <c r="W236" s="124"/>
      <c r="X236" s="124"/>
      <c r="Y236" s="124"/>
      <c r="Z236" s="124"/>
      <c r="AA236" s="351" t="e">
        <f>#REF!</f>
        <v>#REF!</v>
      </c>
      <c r="AB236" s="124"/>
      <c r="AC236" s="124"/>
      <c r="AD236" s="124"/>
      <c r="AE236" s="124" t="e">
        <f>#REF!</f>
        <v>#REF!</v>
      </c>
      <c r="AF236" s="124" t="e">
        <f>#REF!</f>
        <v>#REF!</v>
      </c>
      <c r="AG236" s="124" t="e">
        <f>#REF!</f>
        <v>#REF!</v>
      </c>
      <c r="AH236" s="124" t="e">
        <f>#REF!</f>
        <v>#REF!</v>
      </c>
      <c r="AI236" s="124" t="e">
        <f>#REF!</f>
        <v>#REF!</v>
      </c>
      <c r="AJ236" s="124" t="e">
        <f>#REF!</f>
        <v>#REF!</v>
      </c>
      <c r="AK236" s="124" t="e">
        <f>#REF!</f>
        <v>#REF!</v>
      </c>
      <c r="AL236" s="124" t="e">
        <f>#REF!</f>
        <v>#REF!</v>
      </c>
      <c r="AM236" s="124" t="e">
        <f>#REF!</f>
        <v>#REF!</v>
      </c>
      <c r="AN236" s="124" t="e">
        <f>#REF!</f>
        <v>#REF!</v>
      </c>
      <c r="AO236" s="124" t="e">
        <f>#REF!</f>
        <v>#REF!</v>
      </c>
      <c r="AP236" s="124" t="e">
        <f>#REF!</f>
        <v>#REF!</v>
      </c>
    </row>
    <row r="237" spans="1:42" x14ac:dyDescent="0.25">
      <c r="A237" s="351" t="e">
        <f>#REF!</f>
        <v>#REF!</v>
      </c>
      <c r="B237" s="351" t="e">
        <f>#REF!</f>
        <v>#REF!</v>
      </c>
      <c r="C237" s="351" t="e">
        <f>#REF!</f>
        <v>#REF!</v>
      </c>
      <c r="D237" s="351" t="e">
        <f>#REF!</f>
        <v>#REF!</v>
      </c>
      <c r="E237" s="351" t="e">
        <f>#REF!</f>
        <v>#REF!</v>
      </c>
      <c r="F237" s="351" t="e">
        <f>#REF!</f>
        <v>#REF!</v>
      </c>
      <c r="G237" s="351" t="e">
        <f>#REF!</f>
        <v>#REF!</v>
      </c>
      <c r="H237" s="351" t="e">
        <f>#REF!</f>
        <v>#REF!</v>
      </c>
      <c r="I237" s="124"/>
      <c r="J237" s="124"/>
      <c r="K237" s="124"/>
      <c r="L237" s="124"/>
      <c r="M237" s="124"/>
      <c r="N237" s="351" t="e">
        <f t="shared" si="8"/>
        <v>#REF!</v>
      </c>
      <c r="O237" s="124">
        <f t="shared" si="8"/>
        <v>0</v>
      </c>
      <c r="P237" s="124">
        <f t="shared" si="8"/>
        <v>0</v>
      </c>
      <c r="Q237" s="124"/>
      <c r="R237" s="124"/>
      <c r="S237" s="124">
        <f t="shared" si="7"/>
        <v>0</v>
      </c>
      <c r="T237" s="353" t="e">
        <f>#REF!</f>
        <v>#REF!</v>
      </c>
      <c r="U237" s="353" t="e">
        <f>#REF!</f>
        <v>#REF!</v>
      </c>
      <c r="V237" s="353" t="e">
        <f>#REF!</f>
        <v>#REF!</v>
      </c>
      <c r="W237" s="124"/>
      <c r="X237" s="124"/>
      <c r="Y237" s="124"/>
      <c r="Z237" s="124"/>
      <c r="AA237" s="351" t="e">
        <f>#REF!</f>
        <v>#REF!</v>
      </c>
      <c r="AB237" s="124"/>
      <c r="AC237" s="124"/>
      <c r="AD237" s="124"/>
      <c r="AE237" s="124" t="e">
        <f>#REF!</f>
        <v>#REF!</v>
      </c>
      <c r="AF237" s="124" t="e">
        <f>#REF!</f>
        <v>#REF!</v>
      </c>
      <c r="AG237" s="124" t="e">
        <f>#REF!</f>
        <v>#REF!</v>
      </c>
      <c r="AH237" s="124" t="e">
        <f>#REF!</f>
        <v>#REF!</v>
      </c>
      <c r="AI237" s="124" t="e">
        <f>#REF!</f>
        <v>#REF!</v>
      </c>
      <c r="AJ237" s="124" t="e">
        <f>#REF!</f>
        <v>#REF!</v>
      </c>
      <c r="AK237" s="124" t="e">
        <f>#REF!</f>
        <v>#REF!</v>
      </c>
      <c r="AL237" s="124" t="e">
        <f>#REF!</f>
        <v>#REF!</v>
      </c>
      <c r="AM237" s="124" t="e">
        <f>#REF!</f>
        <v>#REF!</v>
      </c>
      <c r="AN237" s="124" t="e">
        <f>#REF!</f>
        <v>#REF!</v>
      </c>
      <c r="AO237" s="124" t="e">
        <f>#REF!</f>
        <v>#REF!</v>
      </c>
      <c r="AP237" s="124" t="e">
        <f>#REF!</f>
        <v>#REF!</v>
      </c>
    </row>
    <row r="238" spans="1:42" x14ac:dyDescent="0.25">
      <c r="A238" s="351" t="e">
        <f>#REF!</f>
        <v>#REF!</v>
      </c>
      <c r="B238" s="351" t="e">
        <f>#REF!</f>
        <v>#REF!</v>
      </c>
      <c r="C238" s="351" t="e">
        <f>#REF!</f>
        <v>#REF!</v>
      </c>
      <c r="D238" s="351" t="e">
        <f>#REF!</f>
        <v>#REF!</v>
      </c>
      <c r="E238" s="351" t="e">
        <f>#REF!</f>
        <v>#REF!</v>
      </c>
      <c r="F238" s="351" t="e">
        <f>#REF!</f>
        <v>#REF!</v>
      </c>
      <c r="G238" s="351" t="e">
        <f>#REF!</f>
        <v>#REF!</v>
      </c>
      <c r="H238" s="351" t="e">
        <f>#REF!</f>
        <v>#REF!</v>
      </c>
      <c r="I238" s="124"/>
      <c r="J238" s="124"/>
      <c r="K238" s="124"/>
      <c r="L238" s="124"/>
      <c r="M238" s="124"/>
      <c r="N238" s="351" t="e">
        <f t="shared" si="8"/>
        <v>#REF!</v>
      </c>
      <c r="O238" s="124">
        <f t="shared" si="8"/>
        <v>0</v>
      </c>
      <c r="P238" s="124">
        <f t="shared" si="8"/>
        <v>0</v>
      </c>
      <c r="Q238" s="124"/>
      <c r="R238" s="124"/>
      <c r="S238" s="124">
        <f t="shared" si="7"/>
        <v>0</v>
      </c>
      <c r="T238" s="353" t="e">
        <f>#REF!</f>
        <v>#REF!</v>
      </c>
      <c r="U238" s="353" t="e">
        <f>#REF!</f>
        <v>#REF!</v>
      </c>
      <c r="V238" s="353" t="e">
        <f>#REF!</f>
        <v>#REF!</v>
      </c>
      <c r="W238" s="124"/>
      <c r="X238" s="124"/>
      <c r="Y238" s="124"/>
      <c r="Z238" s="124"/>
      <c r="AA238" s="351" t="e">
        <f>#REF!</f>
        <v>#REF!</v>
      </c>
      <c r="AB238" s="124"/>
      <c r="AC238" s="124"/>
      <c r="AD238" s="124"/>
      <c r="AE238" s="124" t="e">
        <f>#REF!</f>
        <v>#REF!</v>
      </c>
      <c r="AF238" s="124" t="e">
        <f>#REF!</f>
        <v>#REF!</v>
      </c>
      <c r="AG238" s="124" t="e">
        <f>#REF!</f>
        <v>#REF!</v>
      </c>
      <c r="AH238" s="124" t="e">
        <f>#REF!</f>
        <v>#REF!</v>
      </c>
      <c r="AI238" s="124" t="e">
        <f>#REF!</f>
        <v>#REF!</v>
      </c>
      <c r="AJ238" s="124" t="e">
        <f>#REF!</f>
        <v>#REF!</v>
      </c>
      <c r="AK238" s="124" t="e">
        <f>#REF!</f>
        <v>#REF!</v>
      </c>
      <c r="AL238" s="124" t="e">
        <f>#REF!</f>
        <v>#REF!</v>
      </c>
      <c r="AM238" s="124" t="e">
        <f>#REF!</f>
        <v>#REF!</v>
      </c>
      <c r="AN238" s="124" t="e">
        <f>#REF!</f>
        <v>#REF!</v>
      </c>
      <c r="AO238" s="124" t="e">
        <f>#REF!</f>
        <v>#REF!</v>
      </c>
      <c r="AP238" s="124" t="e">
        <f>#REF!</f>
        <v>#REF!</v>
      </c>
    </row>
    <row r="239" spans="1:42" x14ac:dyDescent="0.25">
      <c r="A239" s="351" t="e">
        <f>#REF!</f>
        <v>#REF!</v>
      </c>
      <c r="B239" s="351" t="e">
        <f>#REF!</f>
        <v>#REF!</v>
      </c>
      <c r="C239" s="351" t="e">
        <f>#REF!</f>
        <v>#REF!</v>
      </c>
      <c r="D239" s="351" t="e">
        <f>#REF!</f>
        <v>#REF!</v>
      </c>
      <c r="E239" s="351" t="e">
        <f>#REF!</f>
        <v>#REF!</v>
      </c>
      <c r="F239" s="351" t="e">
        <f>#REF!</f>
        <v>#REF!</v>
      </c>
      <c r="G239" s="351" t="e">
        <f>#REF!</f>
        <v>#REF!</v>
      </c>
      <c r="H239" s="351" t="e">
        <f>#REF!</f>
        <v>#REF!</v>
      </c>
      <c r="I239" s="124"/>
      <c r="J239" s="124"/>
      <c r="K239" s="124"/>
      <c r="L239" s="124"/>
      <c r="M239" s="124"/>
      <c r="N239" s="351" t="e">
        <f t="shared" si="8"/>
        <v>#REF!</v>
      </c>
      <c r="O239" s="124">
        <f t="shared" si="8"/>
        <v>0</v>
      </c>
      <c r="P239" s="124">
        <f t="shared" si="8"/>
        <v>0</v>
      </c>
      <c r="Q239" s="124"/>
      <c r="R239" s="124"/>
      <c r="S239" s="124">
        <f t="shared" si="7"/>
        <v>0</v>
      </c>
      <c r="T239" s="353" t="e">
        <f>#REF!</f>
        <v>#REF!</v>
      </c>
      <c r="U239" s="353" t="e">
        <f>#REF!</f>
        <v>#REF!</v>
      </c>
      <c r="V239" s="353" t="e">
        <f>#REF!</f>
        <v>#REF!</v>
      </c>
      <c r="W239" s="124"/>
      <c r="X239" s="124"/>
      <c r="Y239" s="124"/>
      <c r="Z239" s="124"/>
      <c r="AA239" s="351" t="e">
        <f>#REF!</f>
        <v>#REF!</v>
      </c>
      <c r="AB239" s="124"/>
      <c r="AC239" s="124"/>
      <c r="AD239" s="124"/>
      <c r="AE239" s="124" t="e">
        <f>#REF!</f>
        <v>#REF!</v>
      </c>
      <c r="AF239" s="124" t="e">
        <f>#REF!</f>
        <v>#REF!</v>
      </c>
      <c r="AG239" s="124" t="e">
        <f>#REF!</f>
        <v>#REF!</v>
      </c>
      <c r="AH239" s="124" t="e">
        <f>#REF!</f>
        <v>#REF!</v>
      </c>
      <c r="AI239" s="124" t="e">
        <f>#REF!</f>
        <v>#REF!</v>
      </c>
      <c r="AJ239" s="124" t="e">
        <f>#REF!</f>
        <v>#REF!</v>
      </c>
      <c r="AK239" s="124" t="e">
        <f>#REF!</f>
        <v>#REF!</v>
      </c>
      <c r="AL239" s="124" t="e">
        <f>#REF!</f>
        <v>#REF!</v>
      </c>
      <c r="AM239" s="124" t="e">
        <f>#REF!</f>
        <v>#REF!</v>
      </c>
      <c r="AN239" s="124" t="e">
        <f>#REF!</f>
        <v>#REF!</v>
      </c>
      <c r="AO239" s="124" t="e">
        <f>#REF!</f>
        <v>#REF!</v>
      </c>
      <c r="AP239" s="124" t="e">
        <f>#REF!</f>
        <v>#REF!</v>
      </c>
    </row>
    <row r="240" spans="1:42" x14ac:dyDescent="0.25">
      <c r="A240" s="351" t="e">
        <f>#REF!</f>
        <v>#REF!</v>
      </c>
      <c r="B240" s="351" t="e">
        <f>#REF!</f>
        <v>#REF!</v>
      </c>
      <c r="C240" s="351" t="e">
        <f>#REF!</f>
        <v>#REF!</v>
      </c>
      <c r="D240" s="351" t="e">
        <f>#REF!</f>
        <v>#REF!</v>
      </c>
      <c r="E240" s="351" t="e">
        <f>#REF!</f>
        <v>#REF!</v>
      </c>
      <c r="F240" s="351" t="e">
        <f>#REF!</f>
        <v>#REF!</v>
      </c>
      <c r="G240" s="351" t="e">
        <f>#REF!</f>
        <v>#REF!</v>
      </c>
      <c r="H240" s="351" t="e">
        <f>#REF!</f>
        <v>#REF!</v>
      </c>
      <c r="I240" s="124"/>
      <c r="J240" s="124"/>
      <c r="K240" s="124"/>
      <c r="L240" s="124"/>
      <c r="M240" s="124"/>
      <c r="N240" s="351" t="e">
        <f t="shared" si="8"/>
        <v>#REF!</v>
      </c>
      <c r="O240" s="124">
        <f t="shared" si="8"/>
        <v>0</v>
      </c>
      <c r="P240" s="124">
        <f t="shared" si="8"/>
        <v>0</v>
      </c>
      <c r="Q240" s="124"/>
      <c r="R240" s="124"/>
      <c r="S240" s="124">
        <f t="shared" si="7"/>
        <v>0</v>
      </c>
      <c r="T240" s="353" t="e">
        <f>#REF!</f>
        <v>#REF!</v>
      </c>
      <c r="U240" s="353" t="e">
        <f>#REF!</f>
        <v>#REF!</v>
      </c>
      <c r="V240" s="353" t="e">
        <f>#REF!</f>
        <v>#REF!</v>
      </c>
      <c r="W240" s="124"/>
      <c r="X240" s="124"/>
      <c r="Y240" s="124"/>
      <c r="Z240" s="124"/>
      <c r="AA240" s="351" t="e">
        <f>#REF!</f>
        <v>#REF!</v>
      </c>
      <c r="AB240" s="124"/>
      <c r="AC240" s="124"/>
      <c r="AD240" s="124"/>
      <c r="AE240" s="124" t="e">
        <f>#REF!</f>
        <v>#REF!</v>
      </c>
      <c r="AF240" s="124" t="e">
        <f>#REF!</f>
        <v>#REF!</v>
      </c>
      <c r="AG240" s="124" t="e">
        <f>#REF!</f>
        <v>#REF!</v>
      </c>
      <c r="AH240" s="124" t="e">
        <f>#REF!</f>
        <v>#REF!</v>
      </c>
      <c r="AI240" s="124" t="e">
        <f>#REF!</f>
        <v>#REF!</v>
      </c>
      <c r="AJ240" s="124" t="e">
        <f>#REF!</f>
        <v>#REF!</v>
      </c>
      <c r="AK240" s="124" t="e">
        <f>#REF!</f>
        <v>#REF!</v>
      </c>
      <c r="AL240" s="124" t="e">
        <f>#REF!</f>
        <v>#REF!</v>
      </c>
      <c r="AM240" s="124" t="e">
        <f>#REF!</f>
        <v>#REF!</v>
      </c>
      <c r="AN240" s="124" t="e">
        <f>#REF!</f>
        <v>#REF!</v>
      </c>
      <c r="AO240" s="124" t="e">
        <f>#REF!</f>
        <v>#REF!</v>
      </c>
      <c r="AP240" s="124" t="e">
        <f>#REF!</f>
        <v>#REF!</v>
      </c>
    </row>
    <row r="241" spans="1:42" x14ac:dyDescent="0.25">
      <c r="A241" s="351" t="e">
        <f>#REF!</f>
        <v>#REF!</v>
      </c>
      <c r="B241" s="351" t="e">
        <f>#REF!</f>
        <v>#REF!</v>
      </c>
      <c r="C241" s="351" t="e">
        <f>#REF!</f>
        <v>#REF!</v>
      </c>
      <c r="D241" s="351" t="e">
        <f>#REF!</f>
        <v>#REF!</v>
      </c>
      <c r="E241" s="351" t="e">
        <f>#REF!</f>
        <v>#REF!</v>
      </c>
      <c r="F241" s="351" t="e">
        <f>#REF!</f>
        <v>#REF!</v>
      </c>
      <c r="G241" s="351" t="e">
        <f>#REF!</f>
        <v>#REF!</v>
      </c>
      <c r="H241" s="351" t="e">
        <f>#REF!</f>
        <v>#REF!</v>
      </c>
      <c r="I241" s="124"/>
      <c r="J241" s="124"/>
      <c r="K241" s="124"/>
      <c r="L241" s="124"/>
      <c r="M241" s="124"/>
      <c r="N241" s="351" t="e">
        <f t="shared" si="8"/>
        <v>#REF!</v>
      </c>
      <c r="O241" s="124">
        <f t="shared" si="8"/>
        <v>0</v>
      </c>
      <c r="P241" s="124">
        <f t="shared" si="8"/>
        <v>0</v>
      </c>
      <c r="Q241" s="124"/>
      <c r="R241" s="124"/>
      <c r="S241" s="124">
        <f t="shared" si="7"/>
        <v>0</v>
      </c>
      <c r="T241" s="353" t="e">
        <f>#REF!</f>
        <v>#REF!</v>
      </c>
      <c r="U241" s="353" t="e">
        <f>#REF!</f>
        <v>#REF!</v>
      </c>
      <c r="V241" s="353" t="e">
        <f>#REF!</f>
        <v>#REF!</v>
      </c>
      <c r="W241" s="124"/>
      <c r="X241" s="124"/>
      <c r="Y241" s="124"/>
      <c r="Z241" s="124"/>
      <c r="AA241" s="351" t="e">
        <f>#REF!</f>
        <v>#REF!</v>
      </c>
      <c r="AB241" s="124"/>
      <c r="AC241" s="124"/>
      <c r="AD241" s="124"/>
      <c r="AE241" s="124" t="e">
        <f>#REF!</f>
        <v>#REF!</v>
      </c>
      <c r="AF241" s="124" t="e">
        <f>#REF!</f>
        <v>#REF!</v>
      </c>
      <c r="AG241" s="124" t="e">
        <f>#REF!</f>
        <v>#REF!</v>
      </c>
      <c r="AH241" s="124" t="e">
        <f>#REF!</f>
        <v>#REF!</v>
      </c>
      <c r="AI241" s="124" t="e">
        <f>#REF!</f>
        <v>#REF!</v>
      </c>
      <c r="AJ241" s="124" t="e">
        <f>#REF!</f>
        <v>#REF!</v>
      </c>
      <c r="AK241" s="124" t="e">
        <f>#REF!</f>
        <v>#REF!</v>
      </c>
      <c r="AL241" s="124" t="e">
        <f>#REF!</f>
        <v>#REF!</v>
      </c>
      <c r="AM241" s="124" t="e">
        <f>#REF!</f>
        <v>#REF!</v>
      </c>
      <c r="AN241" s="124" t="e">
        <f>#REF!</f>
        <v>#REF!</v>
      </c>
      <c r="AO241" s="124" t="e">
        <f>#REF!</f>
        <v>#REF!</v>
      </c>
      <c r="AP241" s="124" t="e">
        <f>#REF!</f>
        <v>#REF!</v>
      </c>
    </row>
    <row r="242" spans="1:42" x14ac:dyDescent="0.25">
      <c r="A242" s="351" t="e">
        <f>#REF!</f>
        <v>#REF!</v>
      </c>
      <c r="B242" s="351" t="e">
        <f>#REF!</f>
        <v>#REF!</v>
      </c>
      <c r="C242" s="351" t="e">
        <f>#REF!</f>
        <v>#REF!</v>
      </c>
      <c r="D242" s="351" t="e">
        <f>#REF!</f>
        <v>#REF!</v>
      </c>
      <c r="E242" s="351" t="e">
        <f>#REF!</f>
        <v>#REF!</v>
      </c>
      <c r="F242" s="351" t="e">
        <f>#REF!</f>
        <v>#REF!</v>
      </c>
      <c r="G242" s="351" t="e">
        <f>#REF!</f>
        <v>#REF!</v>
      </c>
      <c r="H242" s="351" t="e">
        <f>#REF!</f>
        <v>#REF!</v>
      </c>
      <c r="I242" s="124"/>
      <c r="J242" s="124"/>
      <c r="K242" s="124"/>
      <c r="L242" s="124"/>
      <c r="M242" s="124"/>
      <c r="N242" s="351" t="e">
        <f t="shared" si="8"/>
        <v>#REF!</v>
      </c>
      <c r="O242" s="124">
        <f t="shared" si="8"/>
        <v>0</v>
      </c>
      <c r="P242" s="124">
        <f t="shared" si="8"/>
        <v>0</v>
      </c>
      <c r="Q242" s="124"/>
      <c r="R242" s="124"/>
      <c r="S242" s="124">
        <f t="shared" si="7"/>
        <v>0</v>
      </c>
      <c r="T242" s="353" t="e">
        <f>#REF!</f>
        <v>#REF!</v>
      </c>
      <c r="U242" s="353" t="e">
        <f>#REF!</f>
        <v>#REF!</v>
      </c>
      <c r="V242" s="353" t="e">
        <f>#REF!</f>
        <v>#REF!</v>
      </c>
      <c r="W242" s="124"/>
      <c r="X242" s="124"/>
      <c r="Y242" s="124"/>
      <c r="Z242" s="124"/>
      <c r="AA242" s="351" t="e">
        <f>#REF!</f>
        <v>#REF!</v>
      </c>
      <c r="AB242" s="124"/>
      <c r="AC242" s="124"/>
      <c r="AD242" s="124"/>
      <c r="AE242" s="124" t="e">
        <f>#REF!</f>
        <v>#REF!</v>
      </c>
      <c r="AF242" s="124" t="e">
        <f>#REF!</f>
        <v>#REF!</v>
      </c>
      <c r="AG242" s="124" t="e">
        <f>#REF!</f>
        <v>#REF!</v>
      </c>
      <c r="AH242" s="124" t="e">
        <f>#REF!</f>
        <v>#REF!</v>
      </c>
      <c r="AI242" s="124" t="e">
        <f>#REF!</f>
        <v>#REF!</v>
      </c>
      <c r="AJ242" s="124" t="e">
        <f>#REF!</f>
        <v>#REF!</v>
      </c>
      <c r="AK242" s="124" t="e">
        <f>#REF!</f>
        <v>#REF!</v>
      </c>
      <c r="AL242" s="124" t="e">
        <f>#REF!</f>
        <v>#REF!</v>
      </c>
      <c r="AM242" s="124" t="e">
        <f>#REF!</f>
        <v>#REF!</v>
      </c>
      <c r="AN242" s="124" t="e">
        <f>#REF!</f>
        <v>#REF!</v>
      </c>
      <c r="AO242" s="124" t="e">
        <f>#REF!</f>
        <v>#REF!</v>
      </c>
      <c r="AP242" s="124" t="e">
        <f>#REF!</f>
        <v>#REF!</v>
      </c>
    </row>
    <row r="243" spans="1:42" x14ac:dyDescent="0.25">
      <c r="A243" s="351" t="e">
        <f>#REF!</f>
        <v>#REF!</v>
      </c>
      <c r="B243" s="351" t="e">
        <f>#REF!</f>
        <v>#REF!</v>
      </c>
      <c r="C243" s="351" t="e">
        <f>#REF!</f>
        <v>#REF!</v>
      </c>
      <c r="D243" s="351" t="e">
        <f>#REF!</f>
        <v>#REF!</v>
      </c>
      <c r="E243" s="351" t="e">
        <f>#REF!</f>
        <v>#REF!</v>
      </c>
      <c r="F243" s="351" t="e">
        <f>#REF!</f>
        <v>#REF!</v>
      </c>
      <c r="G243" s="351" t="e">
        <f>#REF!</f>
        <v>#REF!</v>
      </c>
      <c r="H243" s="351" t="e">
        <f>#REF!</f>
        <v>#REF!</v>
      </c>
      <c r="I243" s="124"/>
      <c r="J243" s="124"/>
      <c r="K243" s="124"/>
      <c r="L243" s="124"/>
      <c r="M243" s="124"/>
      <c r="N243" s="351" t="e">
        <f t="shared" si="8"/>
        <v>#REF!</v>
      </c>
      <c r="O243" s="124">
        <f t="shared" si="8"/>
        <v>0</v>
      </c>
      <c r="P243" s="124">
        <f t="shared" si="8"/>
        <v>0</v>
      </c>
      <c r="Q243" s="124"/>
      <c r="R243" s="124"/>
      <c r="S243" s="124">
        <f t="shared" si="7"/>
        <v>0</v>
      </c>
      <c r="T243" s="353" t="e">
        <f>#REF!</f>
        <v>#REF!</v>
      </c>
      <c r="U243" s="353" t="e">
        <f>#REF!</f>
        <v>#REF!</v>
      </c>
      <c r="V243" s="353" t="e">
        <f>#REF!</f>
        <v>#REF!</v>
      </c>
      <c r="W243" s="124"/>
      <c r="X243" s="124"/>
      <c r="Y243" s="124"/>
      <c r="Z243" s="124"/>
      <c r="AA243" s="351" t="e">
        <f>#REF!</f>
        <v>#REF!</v>
      </c>
      <c r="AB243" s="124"/>
      <c r="AC243" s="124"/>
      <c r="AD243" s="124"/>
      <c r="AE243" s="124" t="e">
        <f>#REF!</f>
        <v>#REF!</v>
      </c>
      <c r="AF243" s="124" t="e">
        <f>#REF!</f>
        <v>#REF!</v>
      </c>
      <c r="AG243" s="124" t="e">
        <f>#REF!</f>
        <v>#REF!</v>
      </c>
      <c r="AH243" s="124" t="e">
        <f>#REF!</f>
        <v>#REF!</v>
      </c>
      <c r="AI243" s="124" t="e">
        <f>#REF!</f>
        <v>#REF!</v>
      </c>
      <c r="AJ243" s="124" t="e">
        <f>#REF!</f>
        <v>#REF!</v>
      </c>
      <c r="AK243" s="124" t="e">
        <f>#REF!</f>
        <v>#REF!</v>
      </c>
      <c r="AL243" s="124" t="e">
        <f>#REF!</f>
        <v>#REF!</v>
      </c>
      <c r="AM243" s="124" t="e">
        <f>#REF!</f>
        <v>#REF!</v>
      </c>
      <c r="AN243" s="124" t="e">
        <f>#REF!</f>
        <v>#REF!</v>
      </c>
      <c r="AO243" s="124" t="e">
        <f>#REF!</f>
        <v>#REF!</v>
      </c>
      <c r="AP243" s="124" t="e">
        <f>#REF!</f>
        <v>#REF!</v>
      </c>
    </row>
    <row r="244" spans="1:42" x14ac:dyDescent="0.25">
      <c r="A244" s="351" t="e">
        <f>#REF!</f>
        <v>#REF!</v>
      </c>
      <c r="B244" s="351" t="e">
        <f>#REF!</f>
        <v>#REF!</v>
      </c>
      <c r="C244" s="351" t="e">
        <f>#REF!</f>
        <v>#REF!</v>
      </c>
      <c r="D244" s="351" t="e">
        <f>#REF!</f>
        <v>#REF!</v>
      </c>
      <c r="E244" s="351" t="e">
        <f>#REF!</f>
        <v>#REF!</v>
      </c>
      <c r="F244" s="351" t="e">
        <f>#REF!</f>
        <v>#REF!</v>
      </c>
      <c r="G244" s="351" t="e">
        <f>#REF!</f>
        <v>#REF!</v>
      </c>
      <c r="H244" s="351" t="e">
        <f>#REF!</f>
        <v>#REF!</v>
      </c>
      <c r="I244" s="124"/>
      <c r="J244" s="124"/>
      <c r="K244" s="124"/>
      <c r="L244" s="124"/>
      <c r="M244" s="124"/>
      <c r="N244" s="351" t="e">
        <f t="shared" si="8"/>
        <v>#REF!</v>
      </c>
      <c r="O244" s="124">
        <f t="shared" si="8"/>
        <v>0</v>
      </c>
      <c r="P244" s="124">
        <f t="shared" si="8"/>
        <v>0</v>
      </c>
      <c r="Q244" s="124"/>
      <c r="R244" s="124"/>
      <c r="S244" s="124">
        <f t="shared" si="7"/>
        <v>0</v>
      </c>
      <c r="T244" s="353" t="e">
        <f>#REF!</f>
        <v>#REF!</v>
      </c>
      <c r="U244" s="353" t="e">
        <f>#REF!</f>
        <v>#REF!</v>
      </c>
      <c r="V244" s="353" t="e">
        <f>#REF!</f>
        <v>#REF!</v>
      </c>
      <c r="W244" s="124"/>
      <c r="X244" s="124"/>
      <c r="Y244" s="124"/>
      <c r="Z244" s="124"/>
      <c r="AA244" s="351" t="e">
        <f>#REF!</f>
        <v>#REF!</v>
      </c>
      <c r="AB244" s="124"/>
      <c r="AC244" s="124"/>
      <c r="AD244" s="124"/>
      <c r="AE244" s="124" t="e">
        <f>#REF!</f>
        <v>#REF!</v>
      </c>
      <c r="AF244" s="124" t="e">
        <f>#REF!</f>
        <v>#REF!</v>
      </c>
      <c r="AG244" s="124" t="e">
        <f>#REF!</f>
        <v>#REF!</v>
      </c>
      <c r="AH244" s="124" t="e">
        <f>#REF!</f>
        <v>#REF!</v>
      </c>
      <c r="AI244" s="124" t="e">
        <f>#REF!</f>
        <v>#REF!</v>
      </c>
      <c r="AJ244" s="124" t="e">
        <f>#REF!</f>
        <v>#REF!</v>
      </c>
      <c r="AK244" s="124" t="e">
        <f>#REF!</f>
        <v>#REF!</v>
      </c>
      <c r="AL244" s="124" t="e">
        <f>#REF!</f>
        <v>#REF!</v>
      </c>
      <c r="AM244" s="124" t="e">
        <f>#REF!</f>
        <v>#REF!</v>
      </c>
      <c r="AN244" s="124" t="e">
        <f>#REF!</f>
        <v>#REF!</v>
      </c>
      <c r="AO244" s="124" t="e">
        <f>#REF!</f>
        <v>#REF!</v>
      </c>
      <c r="AP244" s="124" t="e">
        <f>#REF!</f>
        <v>#REF!</v>
      </c>
    </row>
    <row r="245" spans="1:42" x14ac:dyDescent="0.25">
      <c r="A245" s="351" t="e">
        <f>#REF!</f>
        <v>#REF!</v>
      </c>
      <c r="B245" s="351" t="e">
        <f>#REF!</f>
        <v>#REF!</v>
      </c>
      <c r="C245" s="351" t="e">
        <f>#REF!</f>
        <v>#REF!</v>
      </c>
      <c r="D245" s="351" t="e">
        <f>#REF!</f>
        <v>#REF!</v>
      </c>
      <c r="E245" s="351" t="e">
        <f>#REF!</f>
        <v>#REF!</v>
      </c>
      <c r="F245" s="351" t="e">
        <f>#REF!</f>
        <v>#REF!</v>
      </c>
      <c r="G245" s="351" t="e">
        <f>#REF!</f>
        <v>#REF!</v>
      </c>
      <c r="H245" s="351" t="e">
        <f>#REF!</f>
        <v>#REF!</v>
      </c>
      <c r="I245" s="124"/>
      <c r="J245" s="124"/>
      <c r="K245" s="124"/>
      <c r="L245" s="124"/>
      <c r="M245" s="124"/>
      <c r="N245" s="351" t="e">
        <f t="shared" si="8"/>
        <v>#REF!</v>
      </c>
      <c r="O245" s="124">
        <f t="shared" si="8"/>
        <v>0</v>
      </c>
      <c r="P245" s="124">
        <f t="shared" si="8"/>
        <v>0</v>
      </c>
      <c r="Q245" s="124"/>
      <c r="R245" s="124"/>
      <c r="S245" s="124">
        <f t="shared" si="7"/>
        <v>0</v>
      </c>
      <c r="T245" s="353" t="e">
        <f>#REF!</f>
        <v>#REF!</v>
      </c>
      <c r="U245" s="353" t="e">
        <f>#REF!</f>
        <v>#REF!</v>
      </c>
      <c r="V245" s="353" t="e">
        <f>#REF!</f>
        <v>#REF!</v>
      </c>
      <c r="W245" s="124"/>
      <c r="X245" s="124"/>
      <c r="Y245" s="124"/>
      <c r="Z245" s="124"/>
      <c r="AA245" s="351" t="e">
        <f>#REF!</f>
        <v>#REF!</v>
      </c>
      <c r="AB245" s="124"/>
      <c r="AC245" s="124"/>
      <c r="AD245" s="124"/>
      <c r="AE245" s="124" t="e">
        <f>#REF!</f>
        <v>#REF!</v>
      </c>
      <c r="AF245" s="124" t="e">
        <f>#REF!</f>
        <v>#REF!</v>
      </c>
      <c r="AG245" s="124" t="e">
        <f>#REF!</f>
        <v>#REF!</v>
      </c>
      <c r="AH245" s="124" t="e">
        <f>#REF!</f>
        <v>#REF!</v>
      </c>
      <c r="AI245" s="124" t="e">
        <f>#REF!</f>
        <v>#REF!</v>
      </c>
      <c r="AJ245" s="124" t="e">
        <f>#REF!</f>
        <v>#REF!</v>
      </c>
      <c r="AK245" s="124" t="e">
        <f>#REF!</f>
        <v>#REF!</v>
      </c>
      <c r="AL245" s="124" t="e">
        <f>#REF!</f>
        <v>#REF!</v>
      </c>
      <c r="AM245" s="124" t="e">
        <f>#REF!</f>
        <v>#REF!</v>
      </c>
      <c r="AN245" s="124" t="e">
        <f>#REF!</f>
        <v>#REF!</v>
      </c>
      <c r="AO245" s="124" t="e">
        <f>#REF!</f>
        <v>#REF!</v>
      </c>
      <c r="AP245" s="124" t="e">
        <f>#REF!</f>
        <v>#REF!</v>
      </c>
    </row>
    <row r="246" spans="1:42" x14ac:dyDescent="0.25">
      <c r="A246" s="351" t="e">
        <f>#REF!</f>
        <v>#REF!</v>
      </c>
      <c r="B246" s="351" t="e">
        <f>#REF!</f>
        <v>#REF!</v>
      </c>
      <c r="C246" s="351" t="e">
        <f>#REF!</f>
        <v>#REF!</v>
      </c>
      <c r="D246" s="351" t="e">
        <f>#REF!</f>
        <v>#REF!</v>
      </c>
      <c r="E246" s="351" t="e">
        <f>#REF!</f>
        <v>#REF!</v>
      </c>
      <c r="F246" s="351" t="e">
        <f>#REF!</f>
        <v>#REF!</v>
      </c>
      <c r="G246" s="351" t="e">
        <f>#REF!</f>
        <v>#REF!</v>
      </c>
      <c r="H246" s="351" t="e">
        <f>#REF!</f>
        <v>#REF!</v>
      </c>
      <c r="I246" s="124"/>
      <c r="J246" s="124"/>
      <c r="K246" s="124"/>
      <c r="L246" s="124"/>
      <c r="M246" s="124"/>
      <c r="N246" s="351" t="e">
        <f t="shared" si="8"/>
        <v>#REF!</v>
      </c>
      <c r="O246" s="124">
        <f t="shared" si="8"/>
        <v>0</v>
      </c>
      <c r="P246" s="124">
        <f t="shared" si="8"/>
        <v>0</v>
      </c>
      <c r="Q246" s="124"/>
      <c r="R246" s="124"/>
      <c r="S246" s="124">
        <f t="shared" si="7"/>
        <v>0</v>
      </c>
      <c r="T246" s="353" t="e">
        <f>#REF!</f>
        <v>#REF!</v>
      </c>
      <c r="U246" s="353" t="e">
        <f>#REF!</f>
        <v>#REF!</v>
      </c>
      <c r="V246" s="353" t="e">
        <f>#REF!</f>
        <v>#REF!</v>
      </c>
      <c r="W246" s="124"/>
      <c r="X246" s="124"/>
      <c r="Y246" s="124"/>
      <c r="Z246" s="124"/>
      <c r="AA246" s="351" t="e">
        <f>#REF!</f>
        <v>#REF!</v>
      </c>
      <c r="AB246" s="124"/>
      <c r="AC246" s="124"/>
      <c r="AD246" s="124"/>
      <c r="AE246" s="124" t="e">
        <f>#REF!</f>
        <v>#REF!</v>
      </c>
      <c r="AF246" s="124" t="e">
        <f>#REF!</f>
        <v>#REF!</v>
      </c>
      <c r="AG246" s="124" t="e">
        <f>#REF!</f>
        <v>#REF!</v>
      </c>
      <c r="AH246" s="124" t="e">
        <f>#REF!</f>
        <v>#REF!</v>
      </c>
      <c r="AI246" s="124" t="e">
        <f>#REF!</f>
        <v>#REF!</v>
      </c>
      <c r="AJ246" s="124" t="e">
        <f>#REF!</f>
        <v>#REF!</v>
      </c>
      <c r="AK246" s="124" t="e">
        <f>#REF!</f>
        <v>#REF!</v>
      </c>
      <c r="AL246" s="124" t="e">
        <f>#REF!</f>
        <v>#REF!</v>
      </c>
      <c r="AM246" s="124" t="e">
        <f>#REF!</f>
        <v>#REF!</v>
      </c>
      <c r="AN246" s="124" t="e">
        <f>#REF!</f>
        <v>#REF!</v>
      </c>
      <c r="AO246" s="124" t="e">
        <f>#REF!</f>
        <v>#REF!</v>
      </c>
      <c r="AP246" s="124" t="e">
        <f>#REF!</f>
        <v>#REF!</v>
      </c>
    </row>
    <row r="247" spans="1:42" x14ac:dyDescent="0.25">
      <c r="A247" s="351" t="e">
        <f>#REF!</f>
        <v>#REF!</v>
      </c>
      <c r="B247" s="351" t="e">
        <f>#REF!</f>
        <v>#REF!</v>
      </c>
      <c r="C247" s="351" t="e">
        <f>#REF!</f>
        <v>#REF!</v>
      </c>
      <c r="D247" s="351" t="e">
        <f>#REF!</f>
        <v>#REF!</v>
      </c>
      <c r="E247" s="351" t="e">
        <f>#REF!</f>
        <v>#REF!</v>
      </c>
      <c r="F247" s="351" t="e">
        <f>#REF!</f>
        <v>#REF!</v>
      </c>
      <c r="G247" s="351" t="e">
        <f>#REF!</f>
        <v>#REF!</v>
      </c>
      <c r="H247" s="351" t="e">
        <f>#REF!</f>
        <v>#REF!</v>
      </c>
      <c r="I247" s="124"/>
      <c r="J247" s="124"/>
      <c r="K247" s="124"/>
      <c r="L247" s="124"/>
      <c r="M247" s="124"/>
      <c r="N247" s="351" t="e">
        <f t="shared" si="8"/>
        <v>#REF!</v>
      </c>
      <c r="O247" s="124">
        <f t="shared" si="8"/>
        <v>0</v>
      </c>
      <c r="P247" s="124">
        <f t="shared" si="8"/>
        <v>0</v>
      </c>
      <c r="Q247" s="124"/>
      <c r="R247" s="124"/>
      <c r="S247" s="124">
        <f t="shared" si="7"/>
        <v>0</v>
      </c>
      <c r="T247" s="353" t="e">
        <f>#REF!</f>
        <v>#REF!</v>
      </c>
      <c r="U247" s="353" t="e">
        <f>#REF!</f>
        <v>#REF!</v>
      </c>
      <c r="V247" s="353" t="e">
        <f>#REF!</f>
        <v>#REF!</v>
      </c>
      <c r="W247" s="124"/>
      <c r="X247" s="124"/>
      <c r="Y247" s="124"/>
      <c r="Z247" s="124"/>
      <c r="AA247" s="351" t="e">
        <f>#REF!</f>
        <v>#REF!</v>
      </c>
      <c r="AB247" s="124"/>
      <c r="AC247" s="124"/>
      <c r="AD247" s="124"/>
      <c r="AE247" s="124" t="e">
        <f>#REF!</f>
        <v>#REF!</v>
      </c>
      <c r="AF247" s="124" t="e">
        <f>#REF!</f>
        <v>#REF!</v>
      </c>
      <c r="AG247" s="124" t="e">
        <f>#REF!</f>
        <v>#REF!</v>
      </c>
      <c r="AH247" s="124" t="e">
        <f>#REF!</f>
        <v>#REF!</v>
      </c>
      <c r="AI247" s="124" t="e">
        <f>#REF!</f>
        <v>#REF!</v>
      </c>
      <c r="AJ247" s="124" t="e">
        <f>#REF!</f>
        <v>#REF!</v>
      </c>
      <c r="AK247" s="124" t="e">
        <f>#REF!</f>
        <v>#REF!</v>
      </c>
      <c r="AL247" s="124" t="e">
        <f>#REF!</f>
        <v>#REF!</v>
      </c>
      <c r="AM247" s="124" t="e">
        <f>#REF!</f>
        <v>#REF!</v>
      </c>
      <c r="AN247" s="124" t="e">
        <f>#REF!</f>
        <v>#REF!</v>
      </c>
      <c r="AO247" s="124" t="e">
        <f>#REF!</f>
        <v>#REF!</v>
      </c>
      <c r="AP247" s="124" t="e">
        <f>#REF!</f>
        <v>#REF!</v>
      </c>
    </row>
    <row r="248" spans="1:42" x14ac:dyDescent="0.25">
      <c r="A248" s="351" t="e">
        <f>#REF!</f>
        <v>#REF!</v>
      </c>
      <c r="B248" s="351" t="e">
        <f>#REF!</f>
        <v>#REF!</v>
      </c>
      <c r="C248" s="351" t="e">
        <f>#REF!</f>
        <v>#REF!</v>
      </c>
      <c r="D248" s="351" t="e">
        <f>#REF!</f>
        <v>#REF!</v>
      </c>
      <c r="E248" s="351" t="e">
        <f>#REF!</f>
        <v>#REF!</v>
      </c>
      <c r="F248" s="351" t="e">
        <f>#REF!</f>
        <v>#REF!</v>
      </c>
      <c r="G248" s="351" t="e">
        <f>#REF!</f>
        <v>#REF!</v>
      </c>
      <c r="H248" s="351" t="e">
        <f>#REF!</f>
        <v>#REF!</v>
      </c>
      <c r="I248" s="124"/>
      <c r="J248" s="124"/>
      <c r="K248" s="124"/>
      <c r="L248" s="124"/>
      <c r="M248" s="124"/>
      <c r="N248" s="351" t="e">
        <f t="shared" si="8"/>
        <v>#REF!</v>
      </c>
      <c r="O248" s="124">
        <f t="shared" si="8"/>
        <v>0</v>
      </c>
      <c r="P248" s="124">
        <f t="shared" si="8"/>
        <v>0</v>
      </c>
      <c r="Q248" s="124"/>
      <c r="R248" s="124"/>
      <c r="S248" s="124">
        <f t="shared" si="7"/>
        <v>0</v>
      </c>
      <c r="T248" s="353" t="e">
        <f>#REF!</f>
        <v>#REF!</v>
      </c>
      <c r="U248" s="353" t="e">
        <f>#REF!</f>
        <v>#REF!</v>
      </c>
      <c r="V248" s="353" t="e">
        <f>#REF!</f>
        <v>#REF!</v>
      </c>
      <c r="W248" s="124"/>
      <c r="X248" s="124"/>
      <c r="Y248" s="124"/>
      <c r="Z248" s="124"/>
      <c r="AA248" s="351" t="e">
        <f>#REF!</f>
        <v>#REF!</v>
      </c>
      <c r="AB248" s="124"/>
      <c r="AC248" s="124"/>
      <c r="AD248" s="124"/>
      <c r="AE248" s="124" t="e">
        <f>#REF!</f>
        <v>#REF!</v>
      </c>
      <c r="AF248" s="124" t="e">
        <f>#REF!</f>
        <v>#REF!</v>
      </c>
      <c r="AG248" s="124" t="e">
        <f>#REF!</f>
        <v>#REF!</v>
      </c>
      <c r="AH248" s="124" t="e">
        <f>#REF!</f>
        <v>#REF!</v>
      </c>
      <c r="AI248" s="124" t="e">
        <f>#REF!</f>
        <v>#REF!</v>
      </c>
      <c r="AJ248" s="124" t="e">
        <f>#REF!</f>
        <v>#REF!</v>
      </c>
      <c r="AK248" s="124" t="e">
        <f>#REF!</f>
        <v>#REF!</v>
      </c>
      <c r="AL248" s="124" t="e">
        <f>#REF!</f>
        <v>#REF!</v>
      </c>
      <c r="AM248" s="124" t="e">
        <f>#REF!</f>
        <v>#REF!</v>
      </c>
      <c r="AN248" s="124" t="e">
        <f>#REF!</f>
        <v>#REF!</v>
      </c>
      <c r="AO248" s="124" t="e">
        <f>#REF!</f>
        <v>#REF!</v>
      </c>
      <c r="AP248" s="124" t="e">
        <f>#REF!</f>
        <v>#REF!</v>
      </c>
    </row>
    <row r="249" spans="1:42" x14ac:dyDescent="0.25">
      <c r="A249" s="354" t="e">
        <f>#REF!</f>
        <v>#REF!</v>
      </c>
      <c r="B249" s="354" t="e">
        <f>#REF!</f>
        <v>#REF!</v>
      </c>
      <c r="C249" s="354" t="e">
        <f>#REF!</f>
        <v>#REF!</v>
      </c>
      <c r="D249" s="354" t="e">
        <f>#REF!</f>
        <v>#REF!</v>
      </c>
      <c r="E249" s="354" t="e">
        <f>#REF!</f>
        <v>#REF!</v>
      </c>
      <c r="F249" s="354" t="e">
        <f>#REF!</f>
        <v>#REF!</v>
      </c>
      <c r="G249" s="354" t="e">
        <f>#REF!</f>
        <v>#REF!</v>
      </c>
      <c r="H249" s="354" t="e">
        <f>#REF!</f>
        <v>#REF!</v>
      </c>
    </row>
  </sheetData>
  <sheetProtection algorithmName="SHA-512" hashValue="EM5K7H7fOUW9nArQ4F+zbFU958BZe57YLW5xTm2t1jsFbBZSs7r7+wC7coZX6DX8RGYBxLIDrkUxZyqQ5Ht4qw==" saltValue="Dqy1nmD5peg3crxMOEBDgA=="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3"/>
  <sheetViews>
    <sheetView topLeftCell="A4" zoomScale="90" zoomScaleNormal="90" workbookViewId="0">
      <pane ySplit="5" topLeftCell="A9" activePane="bottomLeft" state="frozen"/>
      <selection activeCell="A4" sqref="A4"/>
      <selection pane="bottomLeft" activeCell="I9" sqref="I9:J9"/>
    </sheetView>
  </sheetViews>
  <sheetFormatPr baseColWidth="10" defaultColWidth="11.42578125" defaultRowHeight="15" x14ac:dyDescent="0.25"/>
  <cols>
    <col min="1" max="1" width="11.5703125" style="1" customWidth="1"/>
    <col min="2" max="3" width="13.42578125" style="1" customWidth="1"/>
    <col min="4" max="4" width="12.28515625" style="1" customWidth="1"/>
    <col min="5" max="5" width="14.85546875" style="1" customWidth="1"/>
    <col min="6" max="6" width="16.140625" style="1" customWidth="1"/>
    <col min="7" max="7" width="15.42578125" style="1" customWidth="1"/>
    <col min="8" max="8" width="22.7109375" style="1" customWidth="1"/>
    <col min="9" max="9" width="14.42578125" style="1" customWidth="1"/>
    <col min="10" max="10" width="13.7109375" style="1" customWidth="1"/>
    <col min="11" max="11" width="21.5703125" style="1" customWidth="1"/>
    <col min="12" max="12" width="11.42578125" style="1"/>
    <col min="13" max="13" width="17.28515625" style="1" customWidth="1"/>
    <col min="14" max="14" width="17.7109375" style="1" customWidth="1"/>
    <col min="15" max="16" width="11.42578125" style="1"/>
    <col min="17" max="17" width="31.28515625" style="1" customWidth="1"/>
    <col min="18" max="16384" width="11.42578125" style="1"/>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row>
    <row r="5" spans="1:97" x14ac:dyDescent="0.25">
      <c r="A5" s="271"/>
      <c r="B5" s="271"/>
      <c r="C5" s="271"/>
      <c r="D5" s="271"/>
      <c r="E5" s="271"/>
      <c r="F5" s="271"/>
      <c r="G5" s="271"/>
      <c r="H5" s="271"/>
      <c r="I5" s="271"/>
      <c r="J5" s="271"/>
      <c r="K5" s="271"/>
      <c r="L5" s="272"/>
      <c r="M5" s="5"/>
      <c r="N5" s="5"/>
      <c r="O5" s="5"/>
    </row>
    <row r="6" spans="1:97" x14ac:dyDescent="0.25">
      <c r="A6" s="7" t="s">
        <v>4</v>
      </c>
      <c r="B6" s="606" t="s">
        <v>1986</v>
      </c>
      <c r="C6" s="606"/>
      <c r="D6" s="606"/>
      <c r="E6" s="606"/>
      <c r="F6" s="606"/>
      <c r="G6" s="606"/>
      <c r="H6" s="606"/>
      <c r="I6" s="606"/>
      <c r="J6" s="606"/>
      <c r="K6" s="606"/>
      <c r="L6" s="606"/>
      <c r="M6" s="606"/>
      <c r="N6" s="606"/>
      <c r="O6" s="606"/>
    </row>
    <row r="7" spans="1:97" ht="15" customHeight="1" x14ac:dyDescent="0.25">
      <c r="A7" s="633" t="s">
        <v>6</v>
      </c>
      <c r="B7" s="633" t="s">
        <v>7</v>
      </c>
      <c r="C7" s="633" t="s">
        <v>8</v>
      </c>
      <c r="D7" s="633" t="s">
        <v>9</v>
      </c>
      <c r="E7" s="633" t="s">
        <v>10</v>
      </c>
      <c r="F7" s="633" t="s">
        <v>11</v>
      </c>
      <c r="G7" s="633" t="s">
        <v>12</v>
      </c>
      <c r="H7" s="633" t="s">
        <v>13</v>
      </c>
      <c r="I7" s="667" t="s">
        <v>14</v>
      </c>
      <c r="J7" s="621" t="s">
        <v>15</v>
      </c>
      <c r="K7" s="633" t="s">
        <v>16</v>
      </c>
      <c r="L7" s="633" t="s">
        <v>17</v>
      </c>
      <c r="M7" s="633" t="s">
        <v>18</v>
      </c>
      <c r="N7" s="669" t="s">
        <v>19</v>
      </c>
      <c r="O7" s="669" t="s">
        <v>20</v>
      </c>
      <c r="P7" s="623" t="s">
        <v>21</v>
      </c>
      <c r="Q7" s="665" t="s">
        <v>22</v>
      </c>
    </row>
    <row r="8" spans="1:97" ht="35.25" customHeight="1" x14ac:dyDescent="0.25">
      <c r="A8" s="645"/>
      <c r="B8" s="645"/>
      <c r="C8" s="645"/>
      <c r="D8" s="645"/>
      <c r="E8" s="645"/>
      <c r="F8" s="645"/>
      <c r="G8" s="645"/>
      <c r="H8" s="645"/>
      <c r="I8" s="668"/>
      <c r="J8" s="622"/>
      <c r="K8" s="645"/>
      <c r="L8" s="645"/>
      <c r="M8" s="645"/>
      <c r="N8" s="670"/>
      <c r="O8" s="670"/>
      <c r="P8" s="624"/>
      <c r="Q8" s="666"/>
      <c r="S8" s="8"/>
      <c r="T8" s="8"/>
      <c r="U8" s="8"/>
      <c r="V8" s="8"/>
      <c r="W8" s="8"/>
      <c r="X8" s="8"/>
      <c r="Y8" s="8"/>
      <c r="Z8" s="8"/>
      <c r="AA8" s="8"/>
      <c r="AB8" s="8"/>
      <c r="AC8" s="8"/>
      <c r="AD8" s="8"/>
      <c r="AE8" s="8"/>
      <c r="AF8" s="8"/>
      <c r="AG8" s="8"/>
      <c r="AH8" s="8"/>
      <c r="AK8" s="9"/>
      <c r="AO8" s="9"/>
      <c r="AS8" s="9"/>
      <c r="AW8" s="9"/>
      <c r="BA8" s="9"/>
      <c r="BE8" s="9"/>
      <c r="BI8" s="9"/>
      <c r="BM8" s="9"/>
      <c r="BQ8" s="9"/>
      <c r="BU8" s="9"/>
      <c r="BY8" s="9"/>
      <c r="CC8" s="9"/>
      <c r="CG8" s="9"/>
      <c r="CK8" s="9"/>
      <c r="CO8" s="9"/>
      <c r="CS8" s="9"/>
    </row>
    <row r="9" spans="1:97" ht="196.5" customHeight="1" x14ac:dyDescent="0.25">
      <c r="A9" s="10" t="s">
        <v>55</v>
      </c>
      <c r="B9" s="10" t="s">
        <v>343</v>
      </c>
      <c r="C9" s="10" t="s">
        <v>1987</v>
      </c>
      <c r="D9" s="10">
        <v>245210003</v>
      </c>
      <c r="E9" s="10" t="s">
        <v>1988</v>
      </c>
      <c r="F9" s="11">
        <v>2012050000041</v>
      </c>
      <c r="G9" s="10" t="s">
        <v>1989</v>
      </c>
      <c r="H9" s="10" t="s">
        <v>1990</v>
      </c>
      <c r="I9" s="39">
        <v>3000000</v>
      </c>
      <c r="J9" s="332">
        <f>'[18]FORMATO FINANCIERO'!J9-'[18]FORMATO FINANCIERO'!H9</f>
        <v>3000000</v>
      </c>
      <c r="K9" s="201" t="s">
        <v>1991</v>
      </c>
      <c r="L9" s="10">
        <v>16</v>
      </c>
      <c r="M9" s="10"/>
      <c r="N9" s="10"/>
      <c r="O9" s="10">
        <v>14</v>
      </c>
      <c r="P9" s="333">
        <v>16</v>
      </c>
      <c r="Q9" s="10" t="s">
        <v>1992</v>
      </c>
      <c r="R9" s="16"/>
      <c r="U9" s="334"/>
      <c r="V9" s="8"/>
      <c r="W9" s="8"/>
      <c r="X9" s="8"/>
      <c r="Y9" s="8"/>
      <c r="Z9" s="8"/>
      <c r="AA9" s="8"/>
      <c r="AB9" s="8"/>
      <c r="AC9" s="8"/>
      <c r="AD9" s="8"/>
      <c r="AE9" s="8"/>
      <c r="AF9" s="8"/>
      <c r="AG9" s="8"/>
      <c r="AH9" s="8"/>
      <c r="AK9" s="9"/>
      <c r="AO9" s="9"/>
      <c r="AS9" s="9"/>
      <c r="AW9" s="9"/>
      <c r="BA9" s="9"/>
      <c r="BE9" s="9"/>
      <c r="BI9" s="9"/>
      <c r="BM9" s="9"/>
      <c r="BQ9" s="9"/>
      <c r="BU9" s="9"/>
      <c r="BY9" s="9"/>
      <c r="CC9" s="9"/>
      <c r="CG9" s="9"/>
      <c r="CK9" s="9"/>
      <c r="CO9" s="9"/>
      <c r="CS9" s="9"/>
    </row>
    <row r="10" spans="1:97" ht="109.5" customHeight="1" x14ac:dyDescent="0.25">
      <c r="A10" s="10"/>
      <c r="B10" s="10"/>
      <c r="C10" s="10"/>
      <c r="D10" s="10"/>
      <c r="E10" s="10"/>
      <c r="F10" s="10"/>
      <c r="G10" s="10"/>
      <c r="H10" s="10"/>
      <c r="I10" s="10"/>
      <c r="J10" s="10"/>
      <c r="K10" s="10" t="s">
        <v>1993</v>
      </c>
      <c r="L10" s="10">
        <v>37</v>
      </c>
      <c r="M10" s="10"/>
      <c r="N10" s="10"/>
      <c r="O10" s="10">
        <v>29</v>
      </c>
      <c r="P10" s="10">
        <v>81</v>
      </c>
      <c r="Q10" s="10" t="s">
        <v>1994</v>
      </c>
      <c r="R10" s="16"/>
      <c r="U10" s="9"/>
      <c r="V10" s="8"/>
      <c r="W10" s="8"/>
      <c r="X10" s="8"/>
      <c r="Y10" s="8"/>
      <c r="Z10" s="8"/>
      <c r="AA10" s="8"/>
      <c r="AB10" s="8"/>
      <c r="AC10" s="8"/>
      <c r="AD10" s="8"/>
      <c r="AE10" s="8"/>
      <c r="AF10" s="8"/>
      <c r="AG10" s="8"/>
      <c r="AH10" s="8"/>
      <c r="AK10" s="9"/>
      <c r="AO10" s="9"/>
      <c r="AS10" s="9"/>
      <c r="AW10" s="9"/>
      <c r="BA10" s="9"/>
      <c r="BE10" s="9"/>
      <c r="BI10" s="9"/>
      <c r="BM10" s="9"/>
      <c r="BQ10" s="9"/>
      <c r="BU10" s="9"/>
      <c r="BY10" s="9"/>
      <c r="CC10" s="9"/>
      <c r="CG10" s="9"/>
      <c r="CK10" s="9"/>
      <c r="CO10" s="9"/>
      <c r="CS10" s="9"/>
    </row>
    <row r="11" spans="1:97" x14ac:dyDescent="0.25">
      <c r="A11" s="10"/>
      <c r="B11" s="10"/>
      <c r="C11" s="10"/>
      <c r="D11" s="10"/>
      <c r="E11" s="10"/>
      <c r="F11" s="10"/>
      <c r="G11" s="10"/>
      <c r="H11" s="10"/>
      <c r="I11" s="10"/>
      <c r="J11" s="10"/>
      <c r="K11" s="10"/>
      <c r="L11" s="10"/>
      <c r="M11" s="10"/>
      <c r="N11" s="10"/>
      <c r="O11" s="10"/>
      <c r="P11" s="10"/>
      <c r="Q11" s="10"/>
      <c r="S11" s="8"/>
      <c r="T11" s="8"/>
      <c r="U11" s="8"/>
      <c r="V11" s="8"/>
      <c r="W11" s="8"/>
      <c r="X11" s="8"/>
      <c r="Y11" s="8"/>
      <c r="Z11" s="8"/>
      <c r="AA11" s="8"/>
      <c r="AB11" s="8"/>
      <c r="AC11" s="8"/>
      <c r="AD11" s="8"/>
      <c r="AE11" s="8"/>
      <c r="AF11" s="8"/>
      <c r="AG11" s="8"/>
      <c r="AH11" s="8"/>
      <c r="AK11" s="9"/>
      <c r="AO11" s="9"/>
      <c r="AS11" s="9"/>
      <c r="AW11" s="9"/>
      <c r="BA11" s="9"/>
      <c r="BE11" s="9"/>
      <c r="BI11" s="9"/>
      <c r="BM11" s="9"/>
      <c r="BQ11" s="9"/>
      <c r="BU11" s="9"/>
      <c r="BY11" s="9"/>
      <c r="CC11" s="9"/>
      <c r="CG11" s="9"/>
      <c r="CK11" s="9"/>
      <c r="CO11" s="9"/>
      <c r="CS11" s="9"/>
    </row>
    <row r="12" spans="1:97" x14ac:dyDescent="0.25">
      <c r="A12" s="249"/>
      <c r="B12" s="249"/>
      <c r="C12" s="249"/>
      <c r="D12" s="249"/>
      <c r="E12" s="249"/>
      <c r="F12" s="249"/>
      <c r="G12" s="249"/>
      <c r="H12" s="249"/>
      <c r="I12" s="249"/>
      <c r="J12" s="249"/>
      <c r="K12" s="249"/>
      <c r="L12" s="249"/>
      <c r="M12" s="249"/>
      <c r="N12" s="335"/>
      <c r="O12" s="335"/>
      <c r="P12" s="335"/>
      <c r="Q12" s="335"/>
      <c r="S12" s="8"/>
      <c r="T12" s="8"/>
      <c r="U12" s="8"/>
      <c r="V12" s="8"/>
      <c r="W12" s="8"/>
      <c r="X12" s="8"/>
      <c r="Y12" s="8"/>
      <c r="Z12" s="8"/>
      <c r="AA12" s="8"/>
      <c r="AB12" s="8"/>
      <c r="AC12" s="8"/>
      <c r="AD12" s="8"/>
      <c r="AE12" s="8"/>
      <c r="AF12" s="8"/>
      <c r="AG12" s="8"/>
      <c r="AH12" s="8"/>
      <c r="AK12" s="9"/>
      <c r="AO12" s="9"/>
      <c r="AS12" s="9"/>
      <c r="AW12" s="9"/>
      <c r="BA12" s="9"/>
      <c r="BE12" s="9"/>
      <c r="BI12" s="9"/>
      <c r="BM12" s="9"/>
      <c r="BQ12" s="9"/>
      <c r="BU12" s="9"/>
      <c r="BY12" s="9"/>
      <c r="CC12" s="9"/>
      <c r="CG12" s="9"/>
      <c r="CK12" s="9"/>
      <c r="CO12" s="9"/>
      <c r="CS12" s="9"/>
    </row>
    <row r="13" spans="1:97" x14ac:dyDescent="0.25">
      <c r="A13" s="249"/>
      <c r="B13" s="249"/>
      <c r="C13" s="249"/>
      <c r="D13" s="249"/>
      <c r="E13" s="249"/>
      <c r="F13" s="249"/>
      <c r="G13" s="249"/>
      <c r="H13" s="249"/>
      <c r="I13" s="249"/>
      <c r="J13" s="249"/>
      <c r="K13" s="249"/>
      <c r="L13" s="249"/>
      <c r="M13" s="249"/>
      <c r="N13" s="335"/>
      <c r="O13" s="335"/>
      <c r="P13" s="335"/>
      <c r="Q13" s="335"/>
      <c r="S13" s="8"/>
      <c r="T13" s="8"/>
      <c r="U13" s="8"/>
      <c r="V13" s="8"/>
      <c r="W13" s="8"/>
      <c r="X13" s="8"/>
      <c r="Y13" s="8"/>
      <c r="Z13" s="8"/>
      <c r="AA13" s="8"/>
      <c r="AB13" s="8"/>
      <c r="AC13" s="8"/>
      <c r="AD13" s="8"/>
      <c r="AE13" s="8"/>
      <c r="AF13" s="8"/>
      <c r="AG13" s="8"/>
      <c r="AH13" s="8"/>
      <c r="AK13" s="9"/>
      <c r="AO13" s="9"/>
      <c r="AS13" s="9"/>
      <c r="AW13" s="9"/>
      <c r="BA13" s="9"/>
      <c r="BE13" s="9"/>
      <c r="BI13" s="9"/>
      <c r="BM13" s="9"/>
      <c r="BQ13" s="9"/>
      <c r="BU13" s="9"/>
      <c r="BY13" s="9"/>
      <c r="CC13" s="9"/>
      <c r="CG13" s="9"/>
      <c r="CK13" s="9"/>
      <c r="CO13" s="9"/>
      <c r="CS13" s="9"/>
    </row>
    <row r="14" spans="1:97" x14ac:dyDescent="0.25">
      <c r="A14" s="249"/>
      <c r="B14" s="249"/>
      <c r="C14" s="249"/>
      <c r="D14" s="249"/>
      <c r="E14" s="249"/>
      <c r="F14" s="249"/>
      <c r="G14" s="249"/>
      <c r="H14" s="249"/>
      <c r="I14" s="249"/>
      <c r="J14" s="249"/>
      <c r="K14" s="249"/>
      <c r="L14" s="249"/>
      <c r="M14" s="249"/>
      <c r="N14" s="335"/>
      <c r="O14" s="335"/>
      <c r="P14" s="335"/>
      <c r="Q14" s="335"/>
      <c r="S14" s="8"/>
      <c r="T14" s="8"/>
      <c r="U14" s="8"/>
      <c r="V14" s="8"/>
      <c r="W14" s="8"/>
      <c r="X14" s="8"/>
      <c r="Y14" s="8"/>
      <c r="Z14" s="8"/>
      <c r="AA14" s="8"/>
      <c r="AB14" s="8"/>
      <c r="AC14" s="8"/>
      <c r="AD14" s="8"/>
      <c r="AE14" s="8"/>
      <c r="AF14" s="8"/>
      <c r="AG14" s="8"/>
      <c r="AH14" s="8"/>
      <c r="AK14" s="9"/>
      <c r="AO14" s="9"/>
      <c r="AS14" s="9"/>
      <c r="AW14" s="9"/>
      <c r="BA14" s="9"/>
      <c r="BE14" s="9"/>
      <c r="BI14" s="9"/>
      <c r="BM14" s="9"/>
      <c r="BQ14" s="9"/>
      <c r="BU14" s="9"/>
      <c r="BY14" s="9"/>
      <c r="CC14" s="9"/>
      <c r="CG14" s="9"/>
      <c r="CK14" s="9"/>
      <c r="CO14" s="9"/>
      <c r="CS14" s="9"/>
    </row>
    <row r="15" spans="1:97" x14ac:dyDescent="0.25">
      <c r="A15" s="249"/>
      <c r="B15" s="249"/>
      <c r="C15" s="249"/>
      <c r="D15" s="249"/>
      <c r="E15" s="249"/>
      <c r="F15" s="249"/>
      <c r="G15" s="249"/>
      <c r="H15" s="249"/>
      <c r="I15" s="249"/>
      <c r="J15" s="249"/>
      <c r="K15" s="249"/>
      <c r="L15" s="249"/>
      <c r="M15" s="249"/>
      <c r="N15" s="335"/>
      <c r="O15" s="335"/>
      <c r="P15" s="335"/>
      <c r="Q15" s="335"/>
      <c r="S15" s="8"/>
      <c r="T15" s="8"/>
      <c r="U15" s="8"/>
      <c r="V15" s="8"/>
      <c r="W15" s="8"/>
      <c r="X15" s="8"/>
      <c r="Y15" s="8"/>
      <c r="Z15" s="8"/>
      <c r="AA15" s="8"/>
      <c r="AB15" s="8"/>
      <c r="AC15" s="8"/>
      <c r="AD15" s="8"/>
      <c r="AE15" s="8"/>
      <c r="AF15" s="8"/>
      <c r="AG15" s="8"/>
      <c r="AH15" s="8"/>
      <c r="AK15" s="9"/>
      <c r="AO15" s="9"/>
      <c r="AS15" s="9"/>
      <c r="AW15" s="9"/>
      <c r="BA15" s="9"/>
      <c r="BE15" s="9"/>
      <c r="BI15" s="9"/>
      <c r="BM15" s="9"/>
      <c r="BQ15" s="9"/>
      <c r="BU15" s="9"/>
      <c r="BY15" s="9"/>
      <c r="CC15" s="9"/>
      <c r="CG15" s="9"/>
      <c r="CK15" s="9"/>
      <c r="CO15" s="9"/>
      <c r="CS15" s="9"/>
    </row>
    <row r="16" spans="1:97" x14ac:dyDescent="0.25">
      <c r="A16" s="249"/>
      <c r="B16" s="249"/>
      <c r="C16" s="249"/>
      <c r="D16" s="249"/>
      <c r="E16" s="249"/>
      <c r="F16" s="249"/>
      <c r="G16" s="249"/>
      <c r="H16" s="249"/>
      <c r="I16" s="249"/>
      <c r="J16" s="249"/>
      <c r="K16" s="249"/>
      <c r="L16" s="249"/>
      <c r="M16" s="249"/>
      <c r="N16" s="335"/>
      <c r="O16" s="335"/>
      <c r="P16" s="335"/>
      <c r="Q16" s="335"/>
      <c r="S16" s="8"/>
      <c r="T16" s="8"/>
      <c r="U16" s="8"/>
      <c r="V16" s="8"/>
      <c r="W16" s="8"/>
      <c r="X16" s="8"/>
      <c r="Y16" s="8"/>
      <c r="Z16" s="8"/>
      <c r="AA16" s="8"/>
      <c r="AB16" s="8"/>
      <c r="AC16" s="8"/>
      <c r="AD16" s="8"/>
      <c r="AE16" s="8"/>
      <c r="AF16" s="8"/>
      <c r="AG16" s="8"/>
      <c r="AH16" s="8"/>
      <c r="AK16" s="9"/>
      <c r="AO16" s="9"/>
      <c r="AS16" s="9"/>
      <c r="AW16" s="9"/>
      <c r="BA16" s="9"/>
      <c r="BE16" s="9"/>
      <c r="BI16" s="9"/>
      <c r="BM16" s="9"/>
      <c r="BQ16" s="9"/>
      <c r="BU16" s="9"/>
      <c r="BY16" s="9"/>
      <c r="CC16" s="9"/>
      <c r="CG16" s="9"/>
      <c r="CK16" s="9"/>
      <c r="CO16" s="9"/>
      <c r="CS16" s="9"/>
    </row>
    <row r="17" spans="1:97" x14ac:dyDescent="0.25">
      <c r="A17" s="249"/>
      <c r="B17" s="249"/>
      <c r="C17" s="249"/>
      <c r="D17" s="249"/>
      <c r="E17" s="249"/>
      <c r="F17" s="249"/>
      <c r="G17" s="249"/>
      <c r="H17" s="249"/>
      <c r="I17" s="249"/>
      <c r="J17" s="249"/>
      <c r="K17" s="249"/>
      <c r="L17" s="249"/>
      <c r="M17" s="249"/>
      <c r="N17" s="335"/>
      <c r="O17" s="335"/>
      <c r="P17" s="335"/>
      <c r="Q17" s="335"/>
      <c r="S17" s="8"/>
      <c r="T17" s="8"/>
      <c r="U17" s="8"/>
      <c r="V17" s="8"/>
      <c r="W17" s="8"/>
      <c r="X17" s="8"/>
      <c r="Y17" s="8"/>
      <c r="Z17" s="8"/>
      <c r="AA17" s="8"/>
      <c r="AB17" s="8"/>
      <c r="AC17" s="8"/>
      <c r="AD17" s="8"/>
      <c r="AE17" s="8"/>
      <c r="AF17" s="8"/>
      <c r="AG17" s="8"/>
      <c r="AH17" s="8"/>
      <c r="AK17" s="9"/>
      <c r="AO17" s="9"/>
      <c r="AS17" s="9"/>
      <c r="AW17" s="9"/>
      <c r="BA17" s="9"/>
      <c r="BE17" s="9"/>
      <c r="BI17" s="9"/>
      <c r="BM17" s="9"/>
      <c r="BQ17" s="9"/>
      <c r="BU17" s="9"/>
      <c r="BY17" s="9"/>
      <c r="CC17" s="9"/>
      <c r="CG17" s="9"/>
      <c r="CK17" s="9"/>
      <c r="CO17" s="9"/>
      <c r="CS17" s="9"/>
    </row>
    <row r="18" spans="1:97" x14ac:dyDescent="0.25">
      <c r="A18" s="249"/>
      <c r="B18" s="249"/>
      <c r="C18" s="249"/>
      <c r="D18" s="249"/>
      <c r="E18" s="249"/>
      <c r="F18" s="249"/>
      <c r="G18" s="249"/>
      <c r="H18" s="249"/>
      <c r="I18" s="249"/>
      <c r="J18" s="249"/>
      <c r="K18" s="249"/>
      <c r="L18" s="249"/>
      <c r="M18" s="249"/>
      <c r="N18" s="335"/>
      <c r="O18" s="335"/>
      <c r="P18" s="335"/>
      <c r="Q18" s="335"/>
      <c r="S18" s="8"/>
      <c r="T18" s="8"/>
      <c r="U18" s="8"/>
      <c r="V18" s="8"/>
      <c r="W18" s="8"/>
      <c r="X18" s="8"/>
      <c r="Y18" s="8"/>
      <c r="Z18" s="8"/>
      <c r="AA18" s="8"/>
      <c r="AB18" s="8"/>
      <c r="AC18" s="8"/>
      <c r="AD18" s="8"/>
      <c r="AE18" s="8"/>
      <c r="AF18" s="8"/>
      <c r="AG18" s="8"/>
      <c r="AH18" s="8"/>
      <c r="AK18" s="9"/>
      <c r="AO18" s="9"/>
      <c r="AS18" s="9"/>
      <c r="AW18" s="9"/>
      <c r="BA18" s="9"/>
      <c r="BE18" s="9"/>
      <c r="BI18" s="9"/>
      <c r="BM18" s="9"/>
      <c r="BQ18" s="9"/>
      <c r="BU18" s="9"/>
      <c r="BY18" s="9"/>
      <c r="CC18" s="9"/>
      <c r="CG18" s="9"/>
      <c r="CK18" s="9"/>
      <c r="CO18" s="9"/>
      <c r="CS18" s="9"/>
    </row>
    <row r="19" spans="1:97" x14ac:dyDescent="0.25">
      <c r="A19" s="249"/>
      <c r="B19" s="249"/>
      <c r="C19" s="249"/>
      <c r="D19" s="249"/>
      <c r="E19" s="249"/>
      <c r="F19" s="249"/>
      <c r="G19" s="249"/>
      <c r="H19" s="249"/>
      <c r="I19" s="249"/>
      <c r="J19" s="249"/>
      <c r="K19" s="249"/>
      <c r="L19" s="249"/>
      <c r="M19" s="249"/>
      <c r="N19" s="335"/>
      <c r="O19" s="335"/>
      <c r="P19" s="335"/>
      <c r="Q19" s="335"/>
      <c r="S19" s="8"/>
      <c r="T19" s="8"/>
      <c r="U19" s="8"/>
      <c r="V19" s="8"/>
      <c r="W19" s="8"/>
      <c r="X19" s="8"/>
      <c r="Y19" s="8"/>
      <c r="Z19" s="8"/>
      <c r="AA19" s="8"/>
      <c r="AB19" s="8"/>
      <c r="AC19" s="8"/>
      <c r="AD19" s="8"/>
      <c r="AE19" s="8"/>
      <c r="AF19" s="8"/>
      <c r="AG19" s="8"/>
      <c r="AH19" s="8"/>
      <c r="AK19" s="9"/>
      <c r="AO19" s="9"/>
      <c r="AS19" s="9"/>
      <c r="AW19" s="9"/>
      <c r="BA19" s="9"/>
      <c r="BE19" s="9"/>
      <c r="BI19" s="9"/>
      <c r="BM19" s="9"/>
      <c r="BQ19" s="9"/>
      <c r="BU19" s="9"/>
      <c r="BY19" s="9"/>
      <c r="CC19" s="9"/>
      <c r="CG19" s="9"/>
      <c r="CK19" s="9"/>
      <c r="CO19" s="9"/>
      <c r="CS19" s="9"/>
    </row>
    <row r="20" spans="1:97" x14ac:dyDescent="0.25">
      <c r="A20" s="249"/>
      <c r="B20" s="249"/>
      <c r="C20" s="249"/>
      <c r="D20" s="249"/>
      <c r="E20" s="249"/>
      <c r="F20" s="249"/>
      <c r="G20" s="249"/>
      <c r="H20" s="249"/>
      <c r="I20" s="249"/>
      <c r="J20" s="249"/>
      <c r="K20" s="249"/>
      <c r="L20" s="249"/>
      <c r="M20" s="249"/>
      <c r="N20" s="335"/>
      <c r="O20" s="335"/>
      <c r="P20" s="335"/>
      <c r="Q20" s="335"/>
      <c r="S20" s="8"/>
      <c r="T20" s="8"/>
      <c r="U20" s="8"/>
      <c r="V20" s="8"/>
      <c r="W20" s="8"/>
      <c r="X20" s="8"/>
      <c r="Y20" s="8"/>
      <c r="Z20" s="8"/>
      <c r="AA20" s="8"/>
      <c r="AB20" s="8"/>
      <c r="AC20" s="8"/>
      <c r="AD20" s="8"/>
      <c r="AE20" s="8"/>
      <c r="AF20" s="8"/>
      <c r="AG20" s="8"/>
      <c r="AH20" s="8"/>
      <c r="AK20" s="9"/>
      <c r="AO20" s="9"/>
      <c r="AS20" s="9"/>
      <c r="AW20" s="9"/>
      <c r="BA20" s="9"/>
      <c r="BE20" s="9"/>
      <c r="BI20" s="9"/>
      <c r="BM20" s="9"/>
      <c r="BQ20" s="9"/>
      <c r="BU20" s="9"/>
      <c r="BY20" s="9"/>
      <c r="CC20" s="9"/>
      <c r="CG20" s="9"/>
      <c r="CK20" s="9"/>
      <c r="CO20" s="9"/>
      <c r="CS20" s="9"/>
    </row>
    <row r="21" spans="1:97" x14ac:dyDescent="0.25">
      <c r="A21" s="249"/>
      <c r="B21" s="249"/>
      <c r="C21" s="249"/>
      <c r="D21" s="249"/>
      <c r="E21" s="249"/>
      <c r="F21" s="249"/>
      <c r="G21" s="249"/>
      <c r="H21" s="249"/>
      <c r="I21" s="249"/>
      <c r="J21" s="249"/>
      <c r="K21" s="249"/>
      <c r="L21" s="249"/>
      <c r="M21" s="249"/>
      <c r="N21" s="335"/>
      <c r="O21" s="335"/>
      <c r="P21" s="335"/>
      <c r="Q21" s="335"/>
      <c r="S21" s="8"/>
      <c r="T21" s="8"/>
      <c r="U21" s="8"/>
      <c r="V21" s="8"/>
      <c r="W21" s="8"/>
      <c r="X21" s="8"/>
      <c r="Y21" s="8"/>
      <c r="Z21" s="8"/>
      <c r="AA21" s="8"/>
      <c r="AB21" s="8"/>
      <c r="AC21" s="8"/>
      <c r="AD21" s="8"/>
      <c r="AE21" s="8"/>
      <c r="AF21" s="8"/>
      <c r="AG21" s="8"/>
      <c r="AH21" s="8"/>
      <c r="AK21" s="9"/>
      <c r="AO21" s="9"/>
      <c r="AS21" s="9"/>
      <c r="AW21" s="9"/>
      <c r="BA21" s="9"/>
      <c r="BE21" s="9"/>
      <c r="BI21" s="9"/>
      <c r="BM21" s="9"/>
      <c r="BQ21" s="9"/>
      <c r="BU21" s="9"/>
      <c r="BY21" s="9"/>
      <c r="CC21" s="9"/>
      <c r="CG21" s="9"/>
      <c r="CK21" s="9"/>
      <c r="CO21" s="9"/>
      <c r="CS21" s="9"/>
    </row>
    <row r="22" spans="1:97" x14ac:dyDescent="0.25">
      <c r="A22" s="249"/>
      <c r="B22" s="249"/>
      <c r="C22" s="249"/>
      <c r="D22" s="249"/>
      <c r="E22" s="249"/>
      <c r="F22" s="249"/>
      <c r="G22" s="249"/>
      <c r="H22" s="249"/>
      <c r="I22" s="249"/>
      <c r="J22" s="249"/>
      <c r="K22" s="249"/>
      <c r="L22" s="249"/>
      <c r="M22" s="249"/>
      <c r="N22" s="335"/>
      <c r="O22" s="335"/>
      <c r="P22" s="335"/>
      <c r="Q22" s="335"/>
      <c r="S22" s="8"/>
      <c r="T22" s="8"/>
      <c r="U22" s="8"/>
      <c r="V22" s="8"/>
      <c r="W22" s="8"/>
      <c r="X22" s="8"/>
      <c r="Y22" s="8"/>
      <c r="Z22" s="8"/>
      <c r="AA22" s="8"/>
      <c r="AB22" s="8"/>
      <c r="AC22" s="8"/>
      <c r="AD22" s="8"/>
      <c r="AE22" s="8"/>
      <c r="AF22" s="8"/>
      <c r="AG22" s="8"/>
      <c r="AH22" s="8"/>
      <c r="AK22" s="9"/>
      <c r="AO22" s="9"/>
      <c r="AS22" s="9"/>
      <c r="AW22" s="9"/>
      <c r="BA22" s="9"/>
      <c r="BE22" s="9"/>
      <c r="BI22" s="9"/>
      <c r="BM22" s="9"/>
      <c r="BQ22" s="9"/>
      <c r="BU22" s="9"/>
      <c r="BY22" s="9"/>
      <c r="CC22" s="9"/>
      <c r="CG22" s="9"/>
      <c r="CK22" s="9"/>
      <c r="CO22" s="9"/>
      <c r="CS22" s="9"/>
    </row>
    <row r="23" spans="1:97" x14ac:dyDescent="0.25">
      <c r="A23" s="249"/>
      <c r="B23" s="249"/>
      <c r="C23" s="249"/>
      <c r="D23" s="249"/>
      <c r="E23" s="249"/>
      <c r="F23" s="249"/>
      <c r="G23" s="249"/>
      <c r="H23" s="249"/>
      <c r="I23" s="249"/>
      <c r="J23" s="249"/>
      <c r="K23" s="249"/>
      <c r="L23" s="249"/>
      <c r="M23" s="249"/>
      <c r="N23" s="335"/>
      <c r="O23" s="335"/>
      <c r="P23" s="335"/>
      <c r="Q23" s="335"/>
      <c r="S23" s="8"/>
      <c r="T23" s="8"/>
      <c r="U23" s="8"/>
      <c r="V23" s="8"/>
      <c r="W23" s="8"/>
      <c r="X23" s="8"/>
      <c r="Y23" s="8"/>
      <c r="Z23" s="8"/>
      <c r="AA23" s="8"/>
      <c r="AB23" s="8"/>
      <c r="AC23" s="8"/>
      <c r="AD23" s="8"/>
      <c r="AE23" s="8"/>
      <c r="AF23" s="8"/>
      <c r="AG23" s="8"/>
      <c r="AH23" s="8"/>
      <c r="AK23" s="9"/>
      <c r="AO23" s="9"/>
      <c r="AS23" s="9"/>
      <c r="AW23" s="9"/>
      <c r="BA23" s="9"/>
      <c r="BE23" s="9"/>
      <c r="BI23" s="9"/>
      <c r="BM23" s="9"/>
      <c r="BQ23" s="9"/>
      <c r="BU23" s="9"/>
      <c r="BY23" s="9"/>
      <c r="CC23" s="9"/>
      <c r="CG23" s="9"/>
      <c r="CK23" s="9"/>
      <c r="CO23" s="9"/>
      <c r="CS23" s="9"/>
    </row>
    <row r="24" spans="1:97" x14ac:dyDescent="0.25">
      <c r="A24" s="249"/>
      <c r="B24" s="249"/>
      <c r="C24" s="249"/>
      <c r="D24" s="249"/>
      <c r="E24" s="249"/>
      <c r="F24" s="249"/>
      <c r="G24" s="249"/>
      <c r="H24" s="249"/>
      <c r="I24" s="249"/>
      <c r="J24" s="249"/>
      <c r="K24" s="249"/>
      <c r="L24" s="249"/>
      <c r="M24" s="249"/>
      <c r="N24" s="335"/>
      <c r="O24" s="335"/>
      <c r="P24" s="335"/>
      <c r="Q24" s="335"/>
      <c r="S24" s="8"/>
      <c r="T24" s="8"/>
      <c r="U24" s="8"/>
      <c r="V24" s="8"/>
      <c r="W24" s="8"/>
      <c r="X24" s="8"/>
      <c r="Y24" s="8"/>
      <c r="Z24" s="8"/>
      <c r="AA24" s="8"/>
      <c r="AB24" s="8"/>
      <c r="AC24" s="8"/>
      <c r="AD24" s="8"/>
      <c r="AE24" s="8"/>
      <c r="AF24" s="8"/>
      <c r="AG24" s="8"/>
      <c r="AH24" s="8"/>
      <c r="AK24" s="9"/>
      <c r="AO24" s="9"/>
      <c r="AS24" s="9"/>
      <c r="AW24" s="9"/>
      <c r="BA24" s="9"/>
      <c r="BE24" s="9"/>
      <c r="BI24" s="9"/>
      <c r="BM24" s="9"/>
      <c r="BQ24" s="9"/>
      <c r="BU24" s="9"/>
      <c r="BY24" s="9"/>
      <c r="CC24" s="9"/>
      <c r="CG24" s="9"/>
      <c r="CK24" s="9"/>
      <c r="CO24" s="9"/>
      <c r="CS24" s="9"/>
    </row>
    <row r="25" spans="1:97" x14ac:dyDescent="0.25">
      <c r="A25" s="249"/>
      <c r="B25" s="249"/>
      <c r="C25" s="249"/>
      <c r="D25" s="249"/>
      <c r="E25" s="249"/>
      <c r="F25" s="249"/>
      <c r="G25" s="249"/>
      <c r="H25" s="249"/>
      <c r="I25" s="249"/>
      <c r="J25" s="249"/>
      <c r="K25" s="249"/>
      <c r="L25" s="249"/>
      <c r="M25" s="249"/>
      <c r="N25" s="335"/>
      <c r="O25" s="335"/>
      <c r="P25" s="335"/>
      <c r="Q25" s="335"/>
      <c r="S25" s="8"/>
      <c r="T25" s="8"/>
      <c r="U25" s="8"/>
      <c r="V25" s="8"/>
      <c r="W25" s="8"/>
      <c r="X25" s="8"/>
      <c r="Y25" s="8"/>
      <c r="Z25" s="8"/>
      <c r="AA25" s="8"/>
      <c r="AB25" s="8"/>
      <c r="AC25" s="8"/>
      <c r="AD25" s="8"/>
      <c r="AE25" s="8"/>
      <c r="AF25" s="8"/>
      <c r="AG25" s="8"/>
      <c r="AH25" s="8"/>
      <c r="AK25" s="9"/>
      <c r="AO25" s="9"/>
      <c r="AS25" s="9"/>
      <c r="AW25" s="9"/>
      <c r="BA25" s="9"/>
      <c r="BE25" s="9"/>
      <c r="BI25" s="9"/>
      <c r="BM25" s="9"/>
      <c r="BQ25" s="9"/>
      <c r="BU25" s="9"/>
      <c r="BY25" s="9"/>
      <c r="CC25" s="9"/>
      <c r="CG25" s="9"/>
      <c r="CK25" s="9"/>
      <c r="CO25" s="9"/>
      <c r="CS25" s="9"/>
    </row>
    <row r="26" spans="1:97" x14ac:dyDescent="0.25">
      <c r="A26" s="249"/>
      <c r="B26" s="249"/>
      <c r="C26" s="249"/>
      <c r="D26" s="249"/>
      <c r="E26" s="249"/>
      <c r="F26" s="249"/>
      <c r="G26" s="249"/>
      <c r="H26" s="249"/>
      <c r="I26" s="249"/>
      <c r="J26" s="249"/>
      <c r="K26" s="249"/>
      <c r="L26" s="249"/>
      <c r="M26" s="249"/>
      <c r="N26" s="335"/>
      <c r="O26" s="335"/>
      <c r="P26" s="335"/>
      <c r="Q26" s="335"/>
      <c r="S26" s="8"/>
      <c r="T26" s="8"/>
      <c r="U26" s="8"/>
      <c r="V26" s="8"/>
      <c r="W26" s="8"/>
      <c r="X26" s="8"/>
      <c r="Y26" s="8"/>
      <c r="Z26" s="8"/>
      <c r="AA26" s="8"/>
      <c r="AB26" s="8"/>
      <c r="AC26" s="8"/>
      <c r="AD26" s="8"/>
      <c r="AE26" s="8"/>
      <c r="AF26" s="8"/>
      <c r="AG26" s="8"/>
      <c r="AH26" s="8"/>
      <c r="AK26" s="9"/>
      <c r="AO26" s="9"/>
      <c r="AS26" s="9"/>
      <c r="AW26" s="9"/>
      <c r="BA26" s="9"/>
      <c r="BE26" s="9"/>
      <c r="BI26" s="9"/>
      <c r="BM26" s="9"/>
      <c r="BQ26" s="9"/>
      <c r="BU26" s="9"/>
      <c r="BY26" s="9"/>
      <c r="CC26" s="9"/>
      <c r="CG26" s="9"/>
      <c r="CK26" s="9"/>
      <c r="CO26" s="9"/>
      <c r="CS26" s="9"/>
    </row>
    <row r="27" spans="1:97" x14ac:dyDescent="0.25">
      <c r="A27" s="249"/>
      <c r="B27" s="249"/>
      <c r="C27" s="249"/>
      <c r="D27" s="249"/>
      <c r="E27" s="249"/>
      <c r="F27" s="249"/>
      <c r="G27" s="249"/>
      <c r="H27" s="249"/>
      <c r="I27" s="249"/>
      <c r="J27" s="249"/>
      <c r="K27" s="249"/>
      <c r="L27" s="249"/>
      <c r="M27" s="249"/>
      <c r="N27" s="335"/>
      <c r="O27" s="335"/>
      <c r="P27" s="335"/>
      <c r="Q27" s="335"/>
      <c r="S27" s="8"/>
      <c r="T27" s="8"/>
      <c r="U27" s="8"/>
      <c r="V27" s="8"/>
      <c r="W27" s="8"/>
      <c r="X27" s="8"/>
      <c r="Y27" s="8"/>
      <c r="Z27" s="8"/>
      <c r="AA27" s="8"/>
      <c r="AB27" s="8"/>
      <c r="AC27" s="8"/>
      <c r="AD27" s="8"/>
      <c r="AE27" s="8"/>
      <c r="AF27" s="8"/>
      <c r="AG27" s="8"/>
      <c r="AH27" s="8"/>
      <c r="AK27" s="9"/>
      <c r="AO27" s="9"/>
      <c r="AS27" s="9"/>
      <c r="AW27" s="9"/>
      <c r="BA27" s="9"/>
      <c r="BE27" s="9"/>
      <c r="BI27" s="9"/>
      <c r="BM27" s="9"/>
      <c r="BQ27" s="9"/>
      <c r="BU27" s="9"/>
      <c r="BY27" s="9"/>
      <c r="CC27" s="9"/>
      <c r="CG27" s="9"/>
      <c r="CK27" s="9"/>
      <c r="CO27" s="9"/>
      <c r="CS27" s="9"/>
    </row>
    <row r="28" spans="1:97" x14ac:dyDescent="0.25">
      <c r="A28" s="249"/>
      <c r="B28" s="249"/>
      <c r="C28" s="249"/>
      <c r="D28" s="249"/>
      <c r="E28" s="249"/>
      <c r="F28" s="249"/>
      <c r="G28" s="249"/>
      <c r="H28" s="249"/>
      <c r="I28" s="249"/>
      <c r="J28" s="249"/>
      <c r="K28" s="249"/>
      <c r="L28" s="249"/>
      <c r="M28" s="249"/>
      <c r="N28" s="335"/>
      <c r="O28" s="335"/>
      <c r="P28" s="335"/>
      <c r="Q28" s="335"/>
      <c r="S28" s="8"/>
      <c r="T28" s="8"/>
      <c r="U28" s="8"/>
      <c r="V28" s="8"/>
      <c r="W28" s="8"/>
      <c r="X28" s="8"/>
      <c r="Y28" s="8"/>
      <c r="Z28" s="8"/>
      <c r="AA28" s="8"/>
      <c r="AB28" s="8"/>
      <c r="AC28" s="8"/>
      <c r="AD28" s="8"/>
      <c r="AE28" s="8"/>
      <c r="AF28" s="8"/>
      <c r="AG28" s="8"/>
      <c r="AH28" s="8"/>
      <c r="AK28" s="9"/>
      <c r="AO28" s="9"/>
      <c r="AS28" s="9"/>
      <c r="AW28" s="9"/>
      <c r="BA28" s="9"/>
      <c r="BE28" s="9"/>
      <c r="BI28" s="9"/>
      <c r="BM28" s="9"/>
      <c r="BQ28" s="9"/>
      <c r="BU28" s="9"/>
      <c r="BY28" s="9"/>
      <c r="CC28" s="9"/>
      <c r="CG28" s="9"/>
      <c r="CK28" s="9"/>
      <c r="CO28" s="9"/>
      <c r="CS28" s="9"/>
    </row>
    <row r="29" spans="1:97" x14ac:dyDescent="0.25">
      <c r="A29" s="249"/>
      <c r="B29" s="249"/>
      <c r="C29" s="249"/>
      <c r="D29" s="249"/>
      <c r="E29" s="249"/>
      <c r="F29" s="249"/>
      <c r="G29" s="249"/>
      <c r="H29" s="249"/>
      <c r="I29" s="249"/>
      <c r="J29" s="249"/>
      <c r="K29" s="249"/>
      <c r="L29" s="249"/>
      <c r="M29" s="249"/>
      <c r="N29" s="335"/>
      <c r="O29" s="335"/>
      <c r="P29" s="335"/>
      <c r="Q29" s="335"/>
      <c r="S29" s="8"/>
      <c r="T29" s="8"/>
      <c r="U29" s="8"/>
      <c r="V29" s="8"/>
      <c r="W29" s="8"/>
      <c r="X29" s="8"/>
      <c r="Y29" s="8"/>
      <c r="Z29" s="8"/>
      <c r="AA29" s="8"/>
      <c r="AB29" s="8"/>
      <c r="AC29" s="8"/>
      <c r="AD29" s="8"/>
      <c r="AE29" s="8"/>
      <c r="AF29" s="8"/>
      <c r="AG29" s="8"/>
      <c r="AH29" s="8"/>
      <c r="AK29" s="9"/>
      <c r="AO29" s="9"/>
      <c r="AS29" s="9"/>
      <c r="AW29" s="9"/>
      <c r="BA29" s="9"/>
      <c r="BE29" s="9"/>
      <c r="BI29" s="9"/>
      <c r="BM29" s="9"/>
      <c r="BQ29" s="9"/>
      <c r="BU29" s="9"/>
      <c r="BY29" s="9"/>
      <c r="CC29" s="9"/>
      <c r="CG29" s="9"/>
      <c r="CK29" s="9"/>
      <c r="CO29" s="9"/>
      <c r="CS29" s="9"/>
    </row>
    <row r="30" spans="1:97" x14ac:dyDescent="0.25">
      <c r="A30" s="249"/>
      <c r="B30" s="249"/>
      <c r="C30" s="249"/>
      <c r="D30" s="249"/>
      <c r="E30" s="249"/>
      <c r="F30" s="249"/>
      <c r="G30" s="249"/>
      <c r="H30" s="249"/>
      <c r="I30" s="249"/>
      <c r="J30" s="249"/>
      <c r="K30" s="249"/>
      <c r="L30" s="249"/>
      <c r="M30" s="249"/>
      <c r="N30" s="335"/>
      <c r="O30" s="335"/>
      <c r="P30" s="335"/>
      <c r="Q30" s="335"/>
      <c r="S30" s="8"/>
      <c r="T30" s="8"/>
      <c r="U30" s="8"/>
      <c r="V30" s="8"/>
      <c r="W30" s="8"/>
      <c r="X30" s="8"/>
      <c r="Y30" s="8"/>
      <c r="Z30" s="8"/>
      <c r="AA30" s="8"/>
      <c r="AB30" s="8"/>
      <c r="AC30" s="8"/>
      <c r="AD30" s="8"/>
      <c r="AE30" s="8"/>
      <c r="AF30" s="8"/>
      <c r="AG30" s="8"/>
      <c r="AH30" s="8"/>
      <c r="AK30" s="9"/>
      <c r="AO30" s="9"/>
      <c r="AS30" s="9"/>
      <c r="AW30" s="9"/>
      <c r="BA30" s="9"/>
      <c r="BE30" s="9"/>
      <c r="BI30" s="9"/>
      <c r="BM30" s="9"/>
      <c r="BQ30" s="9"/>
      <c r="BU30" s="9"/>
      <c r="BY30" s="9"/>
      <c r="CC30" s="9"/>
      <c r="CG30" s="9"/>
      <c r="CK30" s="9"/>
      <c r="CO30" s="9"/>
      <c r="CS30" s="9"/>
    </row>
    <row r="31" spans="1:97" x14ac:dyDescent="0.25">
      <c r="A31" s="249"/>
      <c r="B31" s="249"/>
      <c r="C31" s="249"/>
      <c r="D31" s="249"/>
      <c r="E31" s="249"/>
      <c r="F31" s="249"/>
      <c r="G31" s="249"/>
      <c r="H31" s="249"/>
      <c r="I31" s="249"/>
      <c r="J31" s="249"/>
      <c r="K31" s="249"/>
      <c r="L31" s="249"/>
      <c r="M31" s="249"/>
      <c r="N31" s="335"/>
      <c r="O31" s="335"/>
      <c r="P31" s="335"/>
      <c r="Q31" s="335"/>
      <c r="S31" s="8"/>
      <c r="T31" s="8"/>
      <c r="U31" s="8"/>
      <c r="V31" s="8"/>
      <c r="W31" s="8"/>
      <c r="X31" s="8"/>
      <c r="Y31" s="8"/>
      <c r="Z31" s="8"/>
      <c r="AA31" s="8"/>
      <c r="AB31" s="8"/>
      <c r="AC31" s="8"/>
      <c r="AD31" s="8"/>
      <c r="AE31" s="8"/>
      <c r="AF31" s="8"/>
      <c r="AG31" s="8"/>
      <c r="AH31" s="8"/>
      <c r="AK31" s="9"/>
      <c r="AO31" s="9"/>
      <c r="AS31" s="9"/>
      <c r="AW31" s="9"/>
      <c r="BA31" s="9"/>
      <c r="BE31" s="9"/>
      <c r="BI31" s="9"/>
      <c r="BM31" s="9"/>
      <c r="BQ31" s="9"/>
      <c r="BU31" s="9"/>
      <c r="BY31" s="9"/>
      <c r="CC31" s="9"/>
      <c r="CG31" s="9"/>
      <c r="CK31" s="9"/>
      <c r="CO31" s="9"/>
      <c r="CS31" s="9"/>
    </row>
    <row r="32" spans="1:97" x14ac:dyDescent="0.25">
      <c r="A32" s="249"/>
      <c r="B32" s="249"/>
      <c r="C32" s="249"/>
      <c r="D32" s="249"/>
      <c r="E32" s="249"/>
      <c r="F32" s="249"/>
      <c r="G32" s="249"/>
      <c r="H32" s="249"/>
      <c r="I32" s="249"/>
      <c r="J32" s="249"/>
      <c r="K32" s="249"/>
      <c r="L32" s="249"/>
      <c r="M32" s="249"/>
      <c r="N32" s="335"/>
      <c r="O32" s="335"/>
      <c r="P32" s="335"/>
      <c r="Q32" s="335"/>
      <c r="S32" s="8"/>
      <c r="T32" s="8"/>
      <c r="U32" s="8"/>
      <c r="V32" s="8"/>
      <c r="W32" s="8"/>
      <c r="X32" s="8"/>
      <c r="Y32" s="8"/>
      <c r="Z32" s="8"/>
      <c r="AA32" s="8"/>
      <c r="AB32" s="8"/>
      <c r="AC32" s="8"/>
      <c r="AD32" s="8"/>
      <c r="AE32" s="8"/>
      <c r="AF32" s="8"/>
      <c r="AG32" s="8"/>
      <c r="AH32" s="8"/>
      <c r="AK32" s="9"/>
      <c r="AO32" s="9"/>
      <c r="AS32" s="9"/>
      <c r="AW32" s="9"/>
      <c r="BA32" s="9"/>
      <c r="BE32" s="9"/>
      <c r="BI32" s="9"/>
      <c r="BM32" s="9"/>
      <c r="BQ32" s="9"/>
      <c r="BU32" s="9"/>
      <c r="BY32" s="9"/>
      <c r="CC32" s="9"/>
      <c r="CG32" s="9"/>
      <c r="CK32" s="9"/>
      <c r="CO32" s="9"/>
      <c r="CS32" s="9"/>
    </row>
    <row r="33" spans="1:97" x14ac:dyDescent="0.25">
      <c r="A33" s="249"/>
      <c r="B33" s="249"/>
      <c r="C33" s="249"/>
      <c r="D33" s="249"/>
      <c r="E33" s="249"/>
      <c r="F33" s="249"/>
      <c r="G33" s="249"/>
      <c r="H33" s="249"/>
      <c r="I33" s="249"/>
      <c r="J33" s="249"/>
      <c r="K33" s="249"/>
      <c r="L33" s="249"/>
      <c r="M33" s="249"/>
      <c r="N33" s="335"/>
      <c r="O33" s="335"/>
      <c r="P33" s="335"/>
      <c r="Q33" s="335"/>
      <c r="S33" s="8"/>
      <c r="T33" s="8"/>
      <c r="U33" s="8"/>
      <c r="V33" s="8"/>
      <c r="W33" s="8"/>
      <c r="X33" s="8"/>
      <c r="Y33" s="8"/>
      <c r="Z33" s="8"/>
      <c r="AA33" s="8"/>
      <c r="AB33" s="8"/>
      <c r="AC33" s="8"/>
      <c r="AD33" s="8"/>
      <c r="AE33" s="8"/>
      <c r="AF33" s="8"/>
      <c r="AG33" s="8"/>
      <c r="AH33" s="8"/>
      <c r="AK33" s="9"/>
      <c r="AO33" s="9"/>
      <c r="AS33" s="9"/>
      <c r="AW33" s="9"/>
      <c r="BA33" s="9"/>
      <c r="BE33" s="9"/>
      <c r="BI33" s="9"/>
      <c r="BM33" s="9"/>
      <c r="BQ33" s="9"/>
      <c r="BU33" s="9"/>
      <c r="BY33" s="9"/>
      <c r="CC33" s="9"/>
      <c r="CG33" s="9"/>
      <c r="CK33" s="9"/>
      <c r="CO33" s="9"/>
      <c r="CS33" s="9"/>
    </row>
  </sheetData>
  <sheetProtection algorithmName="SHA-512" hashValue="FBTJQ7J8YiG8+RvIAtKrFpBBlX9PtUQ0T4iWodpasBF9hTkc22mGVsWXNxWe+qp9zMXK4QjwM9HAzOAidQnlYQ==" saltValue="QUt+FlSsGz5S9RY35I46Zg=="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4"/>
  <sheetViews>
    <sheetView showZeros="0" topLeftCell="Q4" workbookViewId="0">
      <pane ySplit="5" topLeftCell="A9" activePane="bottomLeft" state="frozen"/>
      <selection activeCell="A4" sqref="A4"/>
      <selection pane="bottomLeft" activeCell="T12" sqref="T12"/>
    </sheetView>
  </sheetViews>
  <sheetFormatPr baseColWidth="10" defaultColWidth="11.42578125" defaultRowHeight="15" x14ac:dyDescent="0.25"/>
  <cols>
    <col min="1" max="1" width="15.7109375" style="1" customWidth="1"/>
    <col min="2" max="2" width="17.7109375" style="1" customWidth="1"/>
    <col min="3" max="3" width="18.7109375" style="1" customWidth="1"/>
    <col min="4" max="5" width="13.7109375" style="1" customWidth="1"/>
    <col min="6" max="6" width="10.7109375" style="1" customWidth="1"/>
    <col min="7" max="7" width="22.7109375" style="1" customWidth="1"/>
    <col min="8" max="19" width="14.7109375" style="1" customWidth="1"/>
    <col min="20" max="20" width="30.7109375" style="1" customWidth="1"/>
    <col min="21" max="29" width="12.7109375" style="1" customWidth="1"/>
    <col min="30" max="30" width="21.7109375" style="1" customWidth="1"/>
    <col min="31" max="38" width="5.7109375" style="1" customWidth="1"/>
    <col min="39" max="42" width="8.7109375" style="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1958</v>
      </c>
      <c r="D5" s="24"/>
      <c r="E5" s="24"/>
      <c r="F5" s="24"/>
      <c r="G5" s="24"/>
      <c r="H5" s="24"/>
      <c r="I5" s="25"/>
      <c r="J5" s="25"/>
      <c r="K5" s="24"/>
      <c r="L5" s="25"/>
      <c r="M5" s="25"/>
      <c r="N5" s="25"/>
      <c r="O5" s="25"/>
      <c r="P5" s="25"/>
      <c r="Q5" s="27"/>
      <c r="R5" s="27"/>
      <c r="S5" s="27"/>
      <c r="T5" s="27"/>
      <c r="U5" s="27"/>
      <c r="V5" s="27"/>
      <c r="W5" s="27"/>
      <c r="X5" s="27"/>
      <c r="Y5" s="27"/>
      <c r="Z5" s="27"/>
      <c r="AA5" s="27"/>
      <c r="AB5" s="27"/>
      <c r="AC5" s="27"/>
      <c r="AD5" s="27"/>
    </row>
    <row r="6" spans="1:42" x14ac:dyDescent="0.25">
      <c r="A6" s="1" t="s">
        <v>1959</v>
      </c>
      <c r="B6" s="1" t="s">
        <v>1960</v>
      </c>
      <c r="C6" s="1" t="s">
        <v>1961</v>
      </c>
      <c r="Z6" s="1" t="s">
        <v>1962</v>
      </c>
      <c r="AC6" s="1" t="s">
        <v>1963</v>
      </c>
    </row>
    <row r="7" spans="1:42" s="29" customFormat="1" ht="24" customHeight="1"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36"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48" x14ac:dyDescent="0.25">
      <c r="A9" s="34" t="s">
        <v>23</v>
      </c>
      <c r="B9" s="34" t="s">
        <v>142</v>
      </c>
      <c r="C9" s="34" t="s">
        <v>150</v>
      </c>
      <c r="D9" s="34">
        <v>212330000</v>
      </c>
      <c r="E9" s="74" t="s">
        <v>1931</v>
      </c>
      <c r="F9" s="74" t="s">
        <v>1932</v>
      </c>
      <c r="G9" s="34" t="s">
        <v>1933</v>
      </c>
      <c r="H9" s="36">
        <v>1106000000</v>
      </c>
      <c r="I9" s="36">
        <v>420566662</v>
      </c>
      <c r="J9" s="36">
        <v>754987912</v>
      </c>
      <c r="K9" s="34">
        <v>0</v>
      </c>
      <c r="L9" s="34"/>
      <c r="M9" s="34"/>
      <c r="N9" s="34">
        <f>H9+K9</f>
        <v>1106000000</v>
      </c>
      <c r="O9" s="36">
        <f>I9+L9</f>
        <v>420566662</v>
      </c>
      <c r="P9" s="36">
        <f>J9+M9</f>
        <v>754987912</v>
      </c>
      <c r="Q9" s="36">
        <v>559953511</v>
      </c>
      <c r="R9" s="34"/>
      <c r="S9" s="36">
        <f>Q9+R9</f>
        <v>559953511</v>
      </c>
      <c r="T9" s="37">
        <v>0</v>
      </c>
      <c r="U9" s="37">
        <v>0</v>
      </c>
      <c r="V9" s="37">
        <v>0</v>
      </c>
      <c r="W9" s="34"/>
      <c r="X9" s="34"/>
      <c r="Y9" s="34"/>
      <c r="Z9" s="34"/>
      <c r="AA9" s="34">
        <v>0</v>
      </c>
      <c r="AB9" s="34"/>
      <c r="AC9" s="34"/>
      <c r="AD9" s="10"/>
      <c r="AE9" s="10">
        <v>0</v>
      </c>
      <c r="AF9" s="10">
        <v>0</v>
      </c>
      <c r="AG9" s="10">
        <v>0</v>
      </c>
      <c r="AH9" s="10">
        <v>0</v>
      </c>
      <c r="AI9" s="10">
        <v>0</v>
      </c>
      <c r="AJ9" s="10">
        <v>0</v>
      </c>
      <c r="AK9" s="10">
        <v>0</v>
      </c>
      <c r="AL9" s="10">
        <v>0</v>
      </c>
      <c r="AM9" s="10">
        <v>0</v>
      </c>
      <c r="AN9" s="10">
        <v>0</v>
      </c>
      <c r="AO9" s="10">
        <v>0</v>
      </c>
      <c r="AP9" s="10">
        <v>0</v>
      </c>
    </row>
    <row r="10" spans="1:42" ht="135" x14ac:dyDescent="0.25">
      <c r="A10" s="34">
        <v>0</v>
      </c>
      <c r="B10" s="34">
        <v>0</v>
      </c>
      <c r="C10" s="34">
        <v>0</v>
      </c>
      <c r="D10" s="34">
        <v>0</v>
      </c>
      <c r="E10" s="74">
        <v>0</v>
      </c>
      <c r="F10" s="74">
        <v>0</v>
      </c>
      <c r="G10" s="34">
        <v>0</v>
      </c>
      <c r="H10" s="34">
        <v>0</v>
      </c>
      <c r="I10" s="10"/>
      <c r="J10" s="10"/>
      <c r="K10" s="10"/>
      <c r="L10" s="10"/>
      <c r="M10" s="10"/>
      <c r="N10" s="34">
        <f t="shared" ref="N10:P28" si="0">H10+K10</f>
        <v>0</v>
      </c>
      <c r="O10" s="34">
        <f t="shared" si="0"/>
        <v>0</v>
      </c>
      <c r="P10" s="34">
        <f t="shared" si="0"/>
        <v>0</v>
      </c>
      <c r="Q10" s="10"/>
      <c r="R10" s="10"/>
      <c r="S10" s="34">
        <f t="shared" ref="S10:S28" si="1">Q10+R10</f>
        <v>0</v>
      </c>
      <c r="T10" s="37" t="s">
        <v>1964</v>
      </c>
      <c r="U10" s="37" t="s">
        <v>1965</v>
      </c>
      <c r="V10" s="37">
        <v>60</v>
      </c>
      <c r="W10" s="10">
        <v>0</v>
      </c>
      <c r="X10" s="10"/>
      <c r="Y10" s="10">
        <v>0</v>
      </c>
      <c r="Z10" s="10">
        <v>47</v>
      </c>
      <c r="AA10" s="34">
        <v>180</v>
      </c>
      <c r="AB10" s="10">
        <v>180</v>
      </c>
      <c r="AC10" s="10">
        <v>180</v>
      </c>
      <c r="AD10" s="10" t="s">
        <v>1966</v>
      </c>
      <c r="AE10" s="10">
        <v>0</v>
      </c>
      <c r="AF10" s="10">
        <v>0</v>
      </c>
      <c r="AG10" s="10" t="s">
        <v>102</v>
      </c>
      <c r="AH10" s="41"/>
      <c r="AI10" s="10" t="s">
        <v>102</v>
      </c>
      <c r="AJ10" s="27"/>
      <c r="AK10" s="10" t="s">
        <v>102</v>
      </c>
      <c r="AL10" s="27"/>
      <c r="AM10" s="10" t="s">
        <v>102</v>
      </c>
      <c r="AN10" s="10" t="s">
        <v>102</v>
      </c>
      <c r="AO10" s="10" t="s">
        <v>102</v>
      </c>
      <c r="AP10" s="10">
        <v>0</v>
      </c>
    </row>
    <row r="11" spans="1:42" ht="24" x14ac:dyDescent="0.25">
      <c r="A11" s="34">
        <v>0</v>
      </c>
      <c r="B11" s="34">
        <v>0</v>
      </c>
      <c r="C11" s="34">
        <v>0</v>
      </c>
      <c r="D11" s="34">
        <v>0</v>
      </c>
      <c r="E11" s="74">
        <v>0</v>
      </c>
      <c r="F11" s="74">
        <v>0</v>
      </c>
      <c r="G11" s="34">
        <v>0</v>
      </c>
      <c r="H11" s="34">
        <v>0</v>
      </c>
      <c r="I11" s="10"/>
      <c r="J11" s="10"/>
      <c r="K11" s="10"/>
      <c r="L11" s="10"/>
      <c r="M11" s="10"/>
      <c r="N11" s="34">
        <f t="shared" si="0"/>
        <v>0</v>
      </c>
      <c r="O11" s="34">
        <f t="shared" si="0"/>
        <v>0</v>
      </c>
      <c r="P11" s="34">
        <f t="shared" si="0"/>
        <v>0</v>
      </c>
      <c r="Q11" s="10"/>
      <c r="R11" s="10"/>
      <c r="S11" s="34">
        <f t="shared" si="1"/>
        <v>0</v>
      </c>
      <c r="T11" s="37" t="s">
        <v>1967</v>
      </c>
      <c r="U11" s="37" t="s">
        <v>1965</v>
      </c>
      <c r="V11" s="37">
        <v>258</v>
      </c>
      <c r="W11" s="27"/>
      <c r="X11" s="10"/>
      <c r="Y11" s="10">
        <v>10</v>
      </c>
      <c r="Z11" s="10">
        <v>45</v>
      </c>
      <c r="AA11" s="34">
        <v>300</v>
      </c>
      <c r="AB11" s="10">
        <v>150</v>
      </c>
      <c r="AC11" s="10">
        <v>270</v>
      </c>
      <c r="AD11" s="10"/>
      <c r="AE11" s="10">
        <v>0</v>
      </c>
      <c r="AF11" s="10" t="s">
        <v>102</v>
      </c>
      <c r="AG11" s="10" t="s">
        <v>102</v>
      </c>
      <c r="AH11" s="10" t="s">
        <v>102</v>
      </c>
      <c r="AI11" s="10" t="s">
        <v>102</v>
      </c>
      <c r="AJ11" s="10" t="s">
        <v>102</v>
      </c>
      <c r="AK11" s="10" t="s">
        <v>102</v>
      </c>
      <c r="AL11" s="10" t="s">
        <v>102</v>
      </c>
      <c r="AM11" s="10" t="s">
        <v>102</v>
      </c>
      <c r="AN11" s="10" t="s">
        <v>102</v>
      </c>
      <c r="AO11" s="10" t="s">
        <v>102</v>
      </c>
      <c r="AP11" s="10">
        <v>0</v>
      </c>
    </row>
    <row r="12" spans="1:42" ht="72" x14ac:dyDescent="0.25">
      <c r="A12" s="34" t="s">
        <v>23</v>
      </c>
      <c r="B12" s="34" t="s">
        <v>142</v>
      </c>
      <c r="C12" s="34" t="s">
        <v>150</v>
      </c>
      <c r="D12" s="34">
        <v>212330000</v>
      </c>
      <c r="E12" s="74" t="s">
        <v>1936</v>
      </c>
      <c r="F12" s="74" t="s">
        <v>1937</v>
      </c>
      <c r="G12" s="34" t="s">
        <v>1968</v>
      </c>
      <c r="H12" s="34">
        <v>12139342000</v>
      </c>
      <c r="I12" s="36">
        <v>12139342000</v>
      </c>
      <c r="J12" s="39">
        <v>10946154113</v>
      </c>
      <c r="K12" s="10"/>
      <c r="L12" s="10"/>
      <c r="M12" s="10"/>
      <c r="N12" s="34">
        <f t="shared" si="0"/>
        <v>12139342000</v>
      </c>
      <c r="O12" s="34">
        <f t="shared" si="0"/>
        <v>12139342000</v>
      </c>
      <c r="P12" s="34">
        <f t="shared" si="0"/>
        <v>10946154113</v>
      </c>
      <c r="Q12" s="36">
        <v>9504419340</v>
      </c>
      <c r="R12" s="10"/>
      <c r="S12" s="34">
        <f t="shared" si="1"/>
        <v>9504419340</v>
      </c>
      <c r="T12" s="37">
        <v>0</v>
      </c>
      <c r="U12" s="37">
        <v>0</v>
      </c>
      <c r="V12" s="37">
        <v>0</v>
      </c>
      <c r="W12" s="10"/>
      <c r="X12" s="10"/>
      <c r="Y12" s="10"/>
      <c r="Z12" s="10"/>
      <c r="AA12" s="34">
        <v>0</v>
      </c>
      <c r="AB12" s="10"/>
      <c r="AC12" s="10"/>
      <c r="AD12" s="10"/>
      <c r="AE12" s="10">
        <v>0</v>
      </c>
      <c r="AF12" s="10">
        <v>0</v>
      </c>
      <c r="AG12" s="10">
        <v>0</v>
      </c>
      <c r="AH12" s="10">
        <v>0</v>
      </c>
      <c r="AI12" s="10">
        <v>0</v>
      </c>
      <c r="AJ12" s="10">
        <v>0</v>
      </c>
      <c r="AK12" s="10">
        <v>0</v>
      </c>
      <c r="AL12" s="10">
        <v>0</v>
      </c>
      <c r="AM12" s="10">
        <v>0</v>
      </c>
      <c r="AN12" s="10">
        <v>0</v>
      </c>
      <c r="AO12" s="10">
        <v>0</v>
      </c>
      <c r="AP12" s="10">
        <v>0</v>
      </c>
    </row>
    <row r="13" spans="1:42" ht="24" x14ac:dyDescent="0.25">
      <c r="A13" s="34">
        <v>0</v>
      </c>
      <c r="B13" s="34">
        <v>0</v>
      </c>
      <c r="C13" s="34">
        <v>0</v>
      </c>
      <c r="D13" s="34">
        <v>0</v>
      </c>
      <c r="E13" s="74">
        <v>0</v>
      </c>
      <c r="F13" s="74">
        <v>0</v>
      </c>
      <c r="G13" s="34">
        <v>0</v>
      </c>
      <c r="H13" s="34">
        <v>0</v>
      </c>
      <c r="I13" s="10"/>
      <c r="J13" s="10"/>
      <c r="K13" s="10"/>
      <c r="L13" s="10"/>
      <c r="M13" s="10"/>
      <c r="N13" s="34">
        <f t="shared" si="0"/>
        <v>0</v>
      </c>
      <c r="O13" s="34">
        <f t="shared" si="0"/>
        <v>0</v>
      </c>
      <c r="P13" s="34">
        <f t="shared" si="0"/>
        <v>0</v>
      </c>
      <c r="Q13" s="10"/>
      <c r="R13" s="10"/>
      <c r="S13" s="34">
        <f t="shared" si="1"/>
        <v>0</v>
      </c>
      <c r="T13" s="37" t="s">
        <v>1969</v>
      </c>
      <c r="U13" s="37" t="s">
        <v>1965</v>
      </c>
      <c r="V13" s="37">
        <v>10</v>
      </c>
      <c r="W13" s="27"/>
      <c r="X13" s="10"/>
      <c r="Y13" s="10">
        <v>3</v>
      </c>
      <c r="Z13" s="10">
        <v>88</v>
      </c>
      <c r="AA13" s="34">
        <v>210</v>
      </c>
      <c r="AB13" s="10">
        <v>120</v>
      </c>
      <c r="AC13" s="10">
        <v>300</v>
      </c>
      <c r="AD13" s="10"/>
      <c r="AE13" s="10">
        <v>0</v>
      </c>
      <c r="AF13" s="10">
        <v>0</v>
      </c>
      <c r="AG13" s="10" t="s">
        <v>102</v>
      </c>
      <c r="AH13" s="10" t="s">
        <v>102</v>
      </c>
      <c r="AI13" s="10" t="s">
        <v>102</v>
      </c>
      <c r="AJ13" s="10" t="s">
        <v>102</v>
      </c>
      <c r="AK13" s="10" t="s">
        <v>102</v>
      </c>
      <c r="AL13" s="10" t="s">
        <v>102</v>
      </c>
      <c r="AM13" s="10" t="s">
        <v>102</v>
      </c>
      <c r="AN13" s="10" t="s">
        <v>102</v>
      </c>
      <c r="AO13" s="10" t="s">
        <v>102</v>
      </c>
      <c r="AP13" s="10" t="s">
        <v>102</v>
      </c>
    </row>
    <row r="14" spans="1:42" ht="48" x14ac:dyDescent="0.25">
      <c r="A14" s="34" t="s">
        <v>23</v>
      </c>
      <c r="B14" s="34" t="s">
        <v>142</v>
      </c>
      <c r="C14" s="34" t="s">
        <v>150</v>
      </c>
      <c r="D14" s="34">
        <v>212330000</v>
      </c>
      <c r="E14" s="74" t="s">
        <v>1939</v>
      </c>
      <c r="F14" s="74" t="s">
        <v>1940</v>
      </c>
      <c r="G14" s="34" t="s">
        <v>1941</v>
      </c>
      <c r="H14" s="34">
        <v>2745458000</v>
      </c>
      <c r="I14" s="36">
        <v>2745458000</v>
      </c>
      <c r="J14" s="10">
        <v>3195458000</v>
      </c>
      <c r="K14" s="10"/>
      <c r="L14" s="10"/>
      <c r="M14" s="10"/>
      <c r="N14" s="34">
        <f t="shared" si="0"/>
        <v>2745458000</v>
      </c>
      <c r="O14" s="34">
        <f t="shared" si="0"/>
        <v>2745458000</v>
      </c>
      <c r="P14" s="34">
        <f t="shared" si="0"/>
        <v>3195458000</v>
      </c>
      <c r="Q14" s="36">
        <v>3125784117</v>
      </c>
      <c r="R14" s="10"/>
      <c r="S14" s="34">
        <f t="shared" si="1"/>
        <v>3125784117</v>
      </c>
      <c r="T14" s="37">
        <v>0</v>
      </c>
      <c r="U14" s="37">
        <v>0</v>
      </c>
      <c r="V14" s="37">
        <v>0</v>
      </c>
      <c r="W14" s="10"/>
      <c r="X14" s="10"/>
      <c r="Y14" s="10"/>
      <c r="Z14" s="10"/>
      <c r="AA14" s="34">
        <v>0</v>
      </c>
      <c r="AB14" s="10"/>
      <c r="AC14" s="10"/>
      <c r="AD14" s="10"/>
      <c r="AE14" s="10">
        <v>0</v>
      </c>
      <c r="AF14" s="10">
        <v>0</v>
      </c>
      <c r="AG14" s="10">
        <v>0</v>
      </c>
      <c r="AH14" s="10">
        <v>0</v>
      </c>
      <c r="AI14" s="10">
        <v>0</v>
      </c>
      <c r="AJ14" s="10">
        <v>0</v>
      </c>
      <c r="AK14" s="10">
        <v>0</v>
      </c>
      <c r="AL14" s="10">
        <v>0</v>
      </c>
      <c r="AM14" s="10">
        <v>0</v>
      </c>
      <c r="AN14" s="10">
        <v>0</v>
      </c>
      <c r="AO14" s="10">
        <v>0</v>
      </c>
      <c r="AP14" s="10">
        <v>0</v>
      </c>
    </row>
    <row r="15" spans="1:42" ht="90" x14ac:dyDescent="0.25">
      <c r="A15" s="34">
        <v>0</v>
      </c>
      <c r="B15" s="34">
        <v>0</v>
      </c>
      <c r="C15" s="34">
        <v>0</v>
      </c>
      <c r="D15" s="34">
        <v>0</v>
      </c>
      <c r="E15" s="74">
        <v>0</v>
      </c>
      <c r="F15" s="74">
        <v>0</v>
      </c>
      <c r="G15" s="34">
        <v>0</v>
      </c>
      <c r="H15" s="34">
        <v>0</v>
      </c>
      <c r="I15" s="10"/>
      <c r="J15" s="10"/>
      <c r="K15" s="10"/>
      <c r="L15" s="10"/>
      <c r="M15" s="10"/>
      <c r="N15" s="34">
        <f t="shared" si="0"/>
        <v>0</v>
      </c>
      <c r="O15" s="34">
        <f t="shared" si="0"/>
        <v>0</v>
      </c>
      <c r="P15" s="34">
        <f t="shared" si="0"/>
        <v>0</v>
      </c>
      <c r="Q15" s="10"/>
      <c r="R15" s="10"/>
      <c r="S15" s="34">
        <f t="shared" si="1"/>
        <v>0</v>
      </c>
      <c r="T15" s="37" t="s">
        <v>1970</v>
      </c>
      <c r="U15" s="37" t="s">
        <v>1965</v>
      </c>
      <c r="V15" s="37">
        <v>1</v>
      </c>
      <c r="W15" s="10"/>
      <c r="X15" s="10"/>
      <c r="Y15" s="10">
        <v>0</v>
      </c>
      <c r="Z15" s="10">
        <v>0</v>
      </c>
      <c r="AA15" s="34">
        <v>210</v>
      </c>
      <c r="AB15" s="10"/>
      <c r="AC15" s="10"/>
      <c r="AD15" s="10" t="s">
        <v>1971</v>
      </c>
      <c r="AE15" s="10">
        <v>0</v>
      </c>
      <c r="AF15" s="10">
        <v>0</v>
      </c>
      <c r="AG15" s="10">
        <v>0</v>
      </c>
      <c r="AH15" s="10">
        <v>0</v>
      </c>
      <c r="AI15" s="10" t="s">
        <v>102</v>
      </c>
      <c r="AJ15" s="10" t="s">
        <v>102</v>
      </c>
      <c r="AK15" s="10" t="s">
        <v>102</v>
      </c>
      <c r="AL15" s="10" t="s">
        <v>102</v>
      </c>
      <c r="AM15" s="10" t="s">
        <v>102</v>
      </c>
      <c r="AN15" s="10" t="s">
        <v>102</v>
      </c>
      <c r="AO15" s="10" t="s">
        <v>102</v>
      </c>
      <c r="AP15" s="10">
        <v>0</v>
      </c>
    </row>
    <row r="16" spans="1:42" ht="24" x14ac:dyDescent="0.25">
      <c r="A16" s="34">
        <v>0</v>
      </c>
      <c r="B16" s="34">
        <v>0</v>
      </c>
      <c r="C16" s="34">
        <v>0</v>
      </c>
      <c r="D16" s="34">
        <v>0</v>
      </c>
      <c r="E16" s="74">
        <v>0</v>
      </c>
      <c r="F16" s="74">
        <v>0</v>
      </c>
      <c r="G16" s="34">
        <v>0</v>
      </c>
      <c r="H16" s="34">
        <v>0</v>
      </c>
      <c r="I16" s="10"/>
      <c r="J16" s="10"/>
      <c r="K16" s="10"/>
      <c r="L16" s="10"/>
      <c r="M16" s="10"/>
      <c r="N16" s="34">
        <f t="shared" si="0"/>
        <v>0</v>
      </c>
      <c r="O16" s="34">
        <f t="shared" si="0"/>
        <v>0</v>
      </c>
      <c r="P16" s="34">
        <f t="shared" si="0"/>
        <v>0</v>
      </c>
      <c r="Q16" s="10"/>
      <c r="R16" s="10"/>
      <c r="S16" s="34">
        <f t="shared" si="1"/>
        <v>0</v>
      </c>
      <c r="T16" s="37" t="s">
        <v>1972</v>
      </c>
      <c r="U16" s="37" t="s">
        <v>1965</v>
      </c>
      <c r="V16" s="37">
        <v>2</v>
      </c>
      <c r="W16" s="10"/>
      <c r="X16" s="10"/>
      <c r="Y16" s="10"/>
      <c r="Z16" s="10">
        <v>3</v>
      </c>
      <c r="AA16" s="34">
        <v>180</v>
      </c>
      <c r="AB16" s="10">
        <v>90</v>
      </c>
      <c r="AC16" s="10">
        <v>210</v>
      </c>
      <c r="AD16" s="10"/>
      <c r="AE16" s="10">
        <v>0</v>
      </c>
      <c r="AF16" s="10">
        <v>0</v>
      </c>
      <c r="AG16" s="10">
        <v>0</v>
      </c>
      <c r="AH16" s="10">
        <v>0</v>
      </c>
      <c r="AI16" s="27"/>
      <c r="AJ16" s="10" t="s">
        <v>102</v>
      </c>
      <c r="AK16" s="10" t="s">
        <v>102</v>
      </c>
      <c r="AL16" s="10" t="s">
        <v>102</v>
      </c>
      <c r="AM16" s="10" t="s">
        <v>102</v>
      </c>
      <c r="AN16" s="10" t="s">
        <v>102</v>
      </c>
      <c r="AO16" s="10" t="s">
        <v>102</v>
      </c>
      <c r="AP16" s="10" t="s">
        <v>102</v>
      </c>
    </row>
    <row r="17" spans="1:42" ht="24" x14ac:dyDescent="0.25">
      <c r="A17" s="34">
        <v>0</v>
      </c>
      <c r="B17" s="34">
        <v>0</v>
      </c>
      <c r="C17" s="34">
        <v>0</v>
      </c>
      <c r="D17" s="34">
        <v>0</v>
      </c>
      <c r="E17" s="74">
        <v>0</v>
      </c>
      <c r="F17" s="74">
        <v>0</v>
      </c>
      <c r="G17" s="34">
        <v>0</v>
      </c>
      <c r="H17" s="34">
        <v>0</v>
      </c>
      <c r="I17" s="10"/>
      <c r="J17" s="10"/>
      <c r="K17" s="10"/>
      <c r="L17" s="10"/>
      <c r="M17" s="10"/>
      <c r="N17" s="34">
        <f t="shared" si="0"/>
        <v>0</v>
      </c>
      <c r="O17" s="34">
        <f t="shared" si="0"/>
        <v>0</v>
      </c>
      <c r="P17" s="34">
        <f t="shared" si="0"/>
        <v>0</v>
      </c>
      <c r="Q17" s="10"/>
      <c r="R17" s="10"/>
      <c r="S17" s="34">
        <f t="shared" si="1"/>
        <v>0</v>
      </c>
      <c r="T17" s="37" t="s">
        <v>1973</v>
      </c>
      <c r="U17" s="37" t="s">
        <v>1965</v>
      </c>
      <c r="V17" s="37">
        <v>12</v>
      </c>
      <c r="W17" s="10"/>
      <c r="X17" s="10"/>
      <c r="Y17" s="10"/>
      <c r="Z17" s="10">
        <v>12</v>
      </c>
      <c r="AA17" s="34">
        <v>180</v>
      </c>
      <c r="AB17" s="10">
        <v>90</v>
      </c>
      <c r="AC17" s="10">
        <v>210</v>
      </c>
      <c r="AD17" s="10"/>
      <c r="AE17" s="10">
        <v>0</v>
      </c>
      <c r="AF17" s="10">
        <v>0</v>
      </c>
      <c r="AG17" s="10">
        <v>0</v>
      </c>
      <c r="AH17" s="10">
        <v>0</v>
      </c>
      <c r="AI17" s="10">
        <v>0</v>
      </c>
      <c r="AJ17" s="27"/>
      <c r="AK17" s="10" t="s">
        <v>102</v>
      </c>
      <c r="AL17" s="10" t="s">
        <v>102</v>
      </c>
      <c r="AM17" s="10" t="s">
        <v>102</v>
      </c>
      <c r="AN17" s="10" t="s">
        <v>102</v>
      </c>
      <c r="AO17" s="10" t="s">
        <v>102</v>
      </c>
      <c r="AP17" s="10" t="s">
        <v>102</v>
      </c>
    </row>
    <row r="18" spans="1:42" ht="30" x14ac:dyDescent="0.25">
      <c r="A18" s="34">
        <v>0</v>
      </c>
      <c r="B18" s="34">
        <v>0</v>
      </c>
      <c r="C18" s="34">
        <v>0</v>
      </c>
      <c r="D18" s="34">
        <v>0</v>
      </c>
      <c r="E18" s="74">
        <v>0</v>
      </c>
      <c r="F18" s="74">
        <v>0</v>
      </c>
      <c r="G18" s="34">
        <v>0</v>
      </c>
      <c r="H18" s="34">
        <v>0</v>
      </c>
      <c r="I18" s="10"/>
      <c r="J18" s="10"/>
      <c r="K18" s="10"/>
      <c r="L18" s="10"/>
      <c r="M18" s="10"/>
      <c r="N18" s="34">
        <f t="shared" si="0"/>
        <v>0</v>
      </c>
      <c r="O18" s="34">
        <f t="shared" si="0"/>
        <v>0</v>
      </c>
      <c r="P18" s="34">
        <f t="shared" si="0"/>
        <v>0</v>
      </c>
      <c r="Q18" s="10"/>
      <c r="R18" s="10"/>
      <c r="S18" s="34">
        <f t="shared" si="1"/>
        <v>0</v>
      </c>
      <c r="T18" s="37" t="s">
        <v>1974</v>
      </c>
      <c r="U18" s="37" t="s">
        <v>1965</v>
      </c>
      <c r="V18" s="37">
        <v>1</v>
      </c>
      <c r="W18" s="10"/>
      <c r="X18" s="10"/>
      <c r="Y18" s="10"/>
      <c r="Z18" s="10">
        <v>0</v>
      </c>
      <c r="AA18" s="34">
        <v>90</v>
      </c>
      <c r="AB18" s="10"/>
      <c r="AC18" s="10"/>
      <c r="AD18" s="10" t="s">
        <v>1975</v>
      </c>
      <c r="AE18" s="10">
        <v>0</v>
      </c>
      <c r="AF18" s="10">
        <v>0</v>
      </c>
      <c r="AG18" s="10">
        <v>0</v>
      </c>
      <c r="AH18" s="10" t="s">
        <v>102</v>
      </c>
      <c r="AI18" s="10" t="s">
        <v>102</v>
      </c>
      <c r="AJ18" s="10" t="s">
        <v>102</v>
      </c>
      <c r="AK18" s="10">
        <v>0</v>
      </c>
      <c r="AL18" s="10">
        <v>0</v>
      </c>
      <c r="AM18" s="10">
        <v>0</v>
      </c>
      <c r="AN18" s="10">
        <v>0</v>
      </c>
      <c r="AO18" s="10">
        <v>0</v>
      </c>
      <c r="AP18" s="10">
        <v>0</v>
      </c>
    </row>
    <row r="19" spans="1:42" ht="72" x14ac:dyDescent="0.25">
      <c r="A19" s="34" t="s">
        <v>23</v>
      </c>
      <c r="B19" s="34" t="s">
        <v>142</v>
      </c>
      <c r="C19" s="34" t="s">
        <v>150</v>
      </c>
      <c r="D19" s="34">
        <v>212360000</v>
      </c>
      <c r="E19" s="74" t="s">
        <v>1942</v>
      </c>
      <c r="F19" s="74" t="s">
        <v>1943</v>
      </c>
      <c r="G19" s="34" t="s">
        <v>1944</v>
      </c>
      <c r="H19" s="34">
        <v>1210000000</v>
      </c>
      <c r="I19" s="36">
        <v>1410000000</v>
      </c>
      <c r="J19" s="10">
        <v>1410000000</v>
      </c>
      <c r="K19" s="10"/>
      <c r="L19" s="10"/>
      <c r="M19" s="10"/>
      <c r="N19" s="34">
        <f t="shared" si="0"/>
        <v>1210000000</v>
      </c>
      <c r="O19" s="34">
        <f t="shared" si="0"/>
        <v>1410000000</v>
      </c>
      <c r="P19" s="34">
        <f t="shared" si="0"/>
        <v>1410000000</v>
      </c>
      <c r="Q19" s="36">
        <v>477995690</v>
      </c>
      <c r="R19" s="10"/>
      <c r="S19" s="34">
        <f t="shared" si="1"/>
        <v>477995690</v>
      </c>
      <c r="T19" s="37">
        <v>0</v>
      </c>
      <c r="U19" s="37">
        <v>0</v>
      </c>
      <c r="V19" s="37">
        <v>0</v>
      </c>
      <c r="W19" s="10"/>
      <c r="X19" s="10"/>
      <c r="Y19" s="10"/>
      <c r="Z19" s="10"/>
      <c r="AA19" s="34">
        <v>0</v>
      </c>
      <c r="AB19" s="10"/>
      <c r="AC19" s="10"/>
      <c r="AD19" s="10"/>
      <c r="AE19" s="10">
        <v>0</v>
      </c>
      <c r="AF19" s="10">
        <v>0</v>
      </c>
      <c r="AG19" s="10">
        <v>0</v>
      </c>
      <c r="AH19" s="10">
        <v>0</v>
      </c>
      <c r="AI19" s="10">
        <v>0</v>
      </c>
      <c r="AJ19" s="10">
        <v>0</v>
      </c>
      <c r="AK19" s="10">
        <v>0</v>
      </c>
      <c r="AL19" s="10">
        <v>0</v>
      </c>
      <c r="AM19" s="10">
        <v>0</v>
      </c>
      <c r="AN19" s="10">
        <v>0</v>
      </c>
      <c r="AO19" s="10">
        <v>0</v>
      </c>
      <c r="AP19" s="10">
        <v>0</v>
      </c>
    </row>
    <row r="20" spans="1:42" ht="43.15" customHeight="1" x14ac:dyDescent="0.25">
      <c r="A20" s="34">
        <v>0</v>
      </c>
      <c r="B20" s="34">
        <v>0</v>
      </c>
      <c r="C20" s="34">
        <v>0</v>
      </c>
      <c r="D20" s="34">
        <v>0</v>
      </c>
      <c r="E20" s="74">
        <v>0</v>
      </c>
      <c r="F20" s="74">
        <v>0</v>
      </c>
      <c r="G20" s="34">
        <v>0</v>
      </c>
      <c r="H20" s="34">
        <v>0</v>
      </c>
      <c r="I20" s="10"/>
      <c r="J20" s="10"/>
      <c r="K20" s="10"/>
      <c r="L20" s="10"/>
      <c r="M20" s="10"/>
      <c r="N20" s="34">
        <f t="shared" si="0"/>
        <v>0</v>
      </c>
      <c r="O20" s="34">
        <f t="shared" si="0"/>
        <v>0</v>
      </c>
      <c r="P20" s="34">
        <f t="shared" si="0"/>
        <v>0</v>
      </c>
      <c r="Q20" s="10"/>
      <c r="R20" s="10"/>
      <c r="S20" s="34">
        <f t="shared" si="1"/>
        <v>0</v>
      </c>
      <c r="T20" s="37" t="s">
        <v>1976</v>
      </c>
      <c r="U20" s="37" t="s">
        <v>1965</v>
      </c>
      <c r="V20" s="37">
        <v>2</v>
      </c>
      <c r="W20" s="41"/>
      <c r="X20" s="10"/>
      <c r="Y20" s="10">
        <v>1</v>
      </c>
      <c r="Z20" s="10">
        <v>2</v>
      </c>
      <c r="AA20" s="34">
        <v>330</v>
      </c>
      <c r="AB20" s="10">
        <v>150</v>
      </c>
      <c r="AC20" s="10">
        <v>330</v>
      </c>
      <c r="AD20" s="680"/>
      <c r="AE20" s="10">
        <v>0</v>
      </c>
      <c r="AF20" s="10" t="s">
        <v>102</v>
      </c>
      <c r="AG20" s="10" t="s">
        <v>102</v>
      </c>
      <c r="AH20" s="10" t="s">
        <v>102</v>
      </c>
      <c r="AI20" s="10" t="s">
        <v>102</v>
      </c>
      <c r="AJ20" s="10" t="s">
        <v>102</v>
      </c>
      <c r="AK20" s="10" t="s">
        <v>102</v>
      </c>
      <c r="AL20" s="10" t="s">
        <v>102</v>
      </c>
      <c r="AM20" s="10" t="s">
        <v>102</v>
      </c>
      <c r="AN20" s="10" t="s">
        <v>102</v>
      </c>
      <c r="AO20" s="10" t="s">
        <v>102</v>
      </c>
      <c r="AP20" s="10" t="s">
        <v>102</v>
      </c>
    </row>
    <row r="21" spans="1:42" ht="24" x14ac:dyDescent="0.25">
      <c r="A21" s="34">
        <v>0</v>
      </c>
      <c r="B21" s="34">
        <v>0</v>
      </c>
      <c r="C21" s="34">
        <v>0</v>
      </c>
      <c r="D21" s="34">
        <v>0</v>
      </c>
      <c r="E21" s="74">
        <v>0</v>
      </c>
      <c r="F21" s="74">
        <v>0</v>
      </c>
      <c r="G21" s="34">
        <v>0</v>
      </c>
      <c r="H21" s="34">
        <v>0</v>
      </c>
      <c r="I21" s="10"/>
      <c r="J21" s="10"/>
      <c r="K21" s="10"/>
      <c r="L21" s="10"/>
      <c r="M21" s="10"/>
      <c r="N21" s="34">
        <f t="shared" si="0"/>
        <v>0</v>
      </c>
      <c r="O21" s="34">
        <f t="shared" si="0"/>
        <v>0</v>
      </c>
      <c r="P21" s="34">
        <f t="shared" si="0"/>
        <v>0</v>
      </c>
      <c r="Q21" s="10"/>
      <c r="R21" s="10"/>
      <c r="S21" s="34">
        <f t="shared" si="1"/>
        <v>0</v>
      </c>
      <c r="T21" s="37" t="s">
        <v>1977</v>
      </c>
      <c r="U21" s="37" t="s">
        <v>1965</v>
      </c>
      <c r="V21" s="37">
        <v>5</v>
      </c>
      <c r="W21" s="41"/>
      <c r="X21" s="10"/>
      <c r="Y21" s="10">
        <v>1</v>
      </c>
      <c r="Z21" s="10">
        <v>3</v>
      </c>
      <c r="AA21" s="34">
        <v>120</v>
      </c>
      <c r="AB21" s="10">
        <v>90</v>
      </c>
      <c r="AC21" s="10">
        <v>120</v>
      </c>
      <c r="AD21" s="681"/>
      <c r="AE21" s="10">
        <v>0</v>
      </c>
      <c r="AF21" s="10">
        <v>0</v>
      </c>
      <c r="AG21" s="10">
        <v>0</v>
      </c>
      <c r="AH21" s="10" t="s">
        <v>102</v>
      </c>
      <c r="AI21" s="10" t="s">
        <v>102</v>
      </c>
      <c r="AJ21" s="10" t="s">
        <v>102</v>
      </c>
      <c r="AK21" s="10" t="s">
        <v>102</v>
      </c>
      <c r="AL21" s="10">
        <v>0</v>
      </c>
      <c r="AM21" s="10">
        <v>0</v>
      </c>
      <c r="AN21" s="10">
        <v>0</v>
      </c>
      <c r="AO21" s="10">
        <v>0</v>
      </c>
      <c r="AP21" s="10">
        <v>0</v>
      </c>
    </row>
    <row r="22" spans="1:42" ht="24" x14ac:dyDescent="0.25">
      <c r="A22" s="34">
        <v>0</v>
      </c>
      <c r="B22" s="34">
        <v>0</v>
      </c>
      <c r="C22" s="34">
        <v>0</v>
      </c>
      <c r="D22" s="34">
        <v>0</v>
      </c>
      <c r="E22" s="74">
        <v>0</v>
      </c>
      <c r="F22" s="74">
        <v>0</v>
      </c>
      <c r="G22" s="34">
        <v>0</v>
      </c>
      <c r="H22" s="34">
        <v>0</v>
      </c>
      <c r="I22" s="10"/>
      <c r="J22" s="10"/>
      <c r="K22" s="10"/>
      <c r="L22" s="10"/>
      <c r="M22" s="10"/>
      <c r="N22" s="34">
        <f t="shared" si="0"/>
        <v>0</v>
      </c>
      <c r="O22" s="34">
        <f t="shared" si="0"/>
        <v>0</v>
      </c>
      <c r="P22" s="34">
        <f t="shared" si="0"/>
        <v>0</v>
      </c>
      <c r="Q22" s="10"/>
      <c r="R22" s="10"/>
      <c r="S22" s="34">
        <f t="shared" si="1"/>
        <v>0</v>
      </c>
      <c r="T22" s="37" t="s">
        <v>1978</v>
      </c>
      <c r="U22" s="37" t="s">
        <v>1965</v>
      </c>
      <c r="V22" s="37">
        <v>11</v>
      </c>
      <c r="W22" s="41"/>
      <c r="X22" s="10"/>
      <c r="Y22" s="10">
        <v>5</v>
      </c>
      <c r="Z22" s="10">
        <v>15</v>
      </c>
      <c r="AA22" s="34">
        <v>330</v>
      </c>
      <c r="AB22" s="10">
        <v>150</v>
      </c>
      <c r="AC22" s="10">
        <v>330</v>
      </c>
      <c r="AD22" s="682"/>
      <c r="AE22" s="10">
        <v>0</v>
      </c>
      <c r="AF22" s="10" t="s">
        <v>102</v>
      </c>
      <c r="AG22" s="10" t="s">
        <v>102</v>
      </c>
      <c r="AH22" s="10" t="s">
        <v>102</v>
      </c>
      <c r="AI22" s="10" t="s">
        <v>102</v>
      </c>
      <c r="AJ22" s="10" t="s">
        <v>102</v>
      </c>
      <c r="AK22" s="10" t="s">
        <v>102</v>
      </c>
      <c r="AL22" s="10" t="s">
        <v>102</v>
      </c>
      <c r="AM22" s="10" t="s">
        <v>102</v>
      </c>
      <c r="AN22" s="10" t="s">
        <v>102</v>
      </c>
      <c r="AO22" s="10" t="s">
        <v>102</v>
      </c>
      <c r="AP22" s="10" t="s">
        <v>102</v>
      </c>
    </row>
    <row r="23" spans="1:42" ht="48" x14ac:dyDescent="0.25">
      <c r="A23" s="34" t="s">
        <v>23</v>
      </c>
      <c r="B23" s="34" t="s">
        <v>142</v>
      </c>
      <c r="C23" s="34" t="s">
        <v>150</v>
      </c>
      <c r="D23" s="34">
        <v>212360000</v>
      </c>
      <c r="E23" s="74" t="s">
        <v>1946</v>
      </c>
      <c r="F23" s="74" t="s">
        <v>1979</v>
      </c>
      <c r="G23" s="34" t="s">
        <v>1948</v>
      </c>
      <c r="H23" s="34">
        <v>2499200000</v>
      </c>
      <c r="I23" s="36">
        <v>2699200000</v>
      </c>
      <c r="J23" s="10">
        <v>2699200000</v>
      </c>
      <c r="K23" s="10">
        <v>0</v>
      </c>
      <c r="L23" s="10"/>
      <c r="M23" s="10"/>
      <c r="N23" s="34">
        <f t="shared" si="0"/>
        <v>2499200000</v>
      </c>
      <c r="O23" s="34">
        <f t="shared" si="0"/>
        <v>2699200000</v>
      </c>
      <c r="P23" s="34">
        <f t="shared" si="0"/>
        <v>2699200000</v>
      </c>
      <c r="Q23" s="36">
        <v>2080715415</v>
      </c>
      <c r="R23" s="10"/>
      <c r="S23" s="34">
        <f t="shared" si="1"/>
        <v>2080715415</v>
      </c>
      <c r="T23" s="37">
        <v>0</v>
      </c>
      <c r="U23" s="37">
        <v>0</v>
      </c>
      <c r="V23" s="37">
        <v>0</v>
      </c>
      <c r="W23" s="10"/>
      <c r="X23" s="10"/>
      <c r="Y23" s="10"/>
      <c r="Z23" s="10"/>
      <c r="AA23" s="34">
        <v>0</v>
      </c>
      <c r="AB23" s="10"/>
      <c r="AC23" s="10"/>
      <c r="AD23" s="10"/>
      <c r="AE23" s="10">
        <v>0</v>
      </c>
      <c r="AF23" s="10">
        <v>0</v>
      </c>
      <c r="AG23" s="10">
        <v>0</v>
      </c>
      <c r="AH23" s="10">
        <v>0</v>
      </c>
      <c r="AI23" s="10">
        <v>0</v>
      </c>
      <c r="AJ23" s="10">
        <v>0</v>
      </c>
      <c r="AK23" s="10">
        <v>0</v>
      </c>
      <c r="AL23" s="10">
        <v>0</v>
      </c>
      <c r="AM23" s="10">
        <v>0</v>
      </c>
      <c r="AN23" s="10">
        <v>0</v>
      </c>
      <c r="AO23" s="10">
        <v>0</v>
      </c>
      <c r="AP23" s="10">
        <v>0</v>
      </c>
    </row>
    <row r="24" spans="1:42" x14ac:dyDescent="0.25">
      <c r="A24" s="34">
        <v>0</v>
      </c>
      <c r="B24" s="34">
        <v>0</v>
      </c>
      <c r="C24" s="34">
        <v>0</v>
      </c>
      <c r="D24" s="34">
        <v>0</v>
      </c>
      <c r="E24" s="74">
        <v>0</v>
      </c>
      <c r="F24" s="74">
        <v>0</v>
      </c>
      <c r="G24" s="34">
        <v>0</v>
      </c>
      <c r="H24" s="34">
        <v>0</v>
      </c>
      <c r="I24" s="10"/>
      <c r="J24" s="10"/>
      <c r="K24" s="10"/>
      <c r="L24" s="10"/>
      <c r="M24" s="10"/>
      <c r="N24" s="34">
        <f t="shared" si="0"/>
        <v>0</v>
      </c>
      <c r="O24" s="34">
        <f t="shared" si="0"/>
        <v>0</v>
      </c>
      <c r="P24" s="34">
        <f t="shared" si="0"/>
        <v>0</v>
      </c>
      <c r="Q24" s="10"/>
      <c r="R24" s="10"/>
      <c r="S24" s="34">
        <f t="shared" si="1"/>
        <v>0</v>
      </c>
      <c r="T24" s="37" t="s">
        <v>1980</v>
      </c>
      <c r="U24" s="37" t="s">
        <v>1965</v>
      </c>
      <c r="V24" s="37">
        <v>2</v>
      </c>
      <c r="W24" s="41"/>
      <c r="X24" s="10"/>
      <c r="Y24" s="10">
        <v>1</v>
      </c>
      <c r="Z24" s="10">
        <v>1</v>
      </c>
      <c r="AA24" s="34">
        <v>300</v>
      </c>
      <c r="AB24" s="10">
        <v>120</v>
      </c>
      <c r="AC24" s="10">
        <v>300</v>
      </c>
      <c r="AD24" s="10"/>
      <c r="AE24" s="10">
        <v>0</v>
      </c>
      <c r="AF24" s="10">
        <v>0</v>
      </c>
      <c r="AG24" s="10" t="s">
        <v>102</v>
      </c>
      <c r="AH24" s="10" t="s">
        <v>102</v>
      </c>
      <c r="AI24" s="10" t="s">
        <v>102</v>
      </c>
      <c r="AJ24" s="10" t="s">
        <v>102</v>
      </c>
      <c r="AK24" s="10" t="s">
        <v>102</v>
      </c>
      <c r="AL24" s="10" t="s">
        <v>102</v>
      </c>
      <c r="AM24" s="10" t="s">
        <v>102</v>
      </c>
      <c r="AN24" s="10" t="s">
        <v>102</v>
      </c>
      <c r="AO24" s="10" t="s">
        <v>102</v>
      </c>
      <c r="AP24" s="10" t="s">
        <v>102</v>
      </c>
    </row>
    <row r="25" spans="1:42" ht="24" x14ac:dyDescent="0.25">
      <c r="A25" s="34">
        <v>0</v>
      </c>
      <c r="B25" s="34">
        <v>0</v>
      </c>
      <c r="C25" s="34">
        <v>0</v>
      </c>
      <c r="D25" s="34">
        <v>0</v>
      </c>
      <c r="E25" s="74">
        <v>0</v>
      </c>
      <c r="F25" s="74">
        <v>0</v>
      </c>
      <c r="G25" s="34">
        <v>0</v>
      </c>
      <c r="H25" s="34">
        <v>0</v>
      </c>
      <c r="I25" s="10"/>
      <c r="J25" s="10"/>
      <c r="K25" s="10"/>
      <c r="L25" s="10"/>
      <c r="M25" s="10"/>
      <c r="N25" s="34">
        <f t="shared" si="0"/>
        <v>0</v>
      </c>
      <c r="O25" s="34">
        <f t="shared" si="0"/>
        <v>0</v>
      </c>
      <c r="P25" s="34">
        <f t="shared" si="0"/>
        <v>0</v>
      </c>
      <c r="Q25" s="10"/>
      <c r="R25" s="10"/>
      <c r="S25" s="34">
        <f t="shared" si="1"/>
        <v>0</v>
      </c>
      <c r="T25" s="37" t="s">
        <v>1981</v>
      </c>
      <c r="U25" s="37" t="s">
        <v>1965</v>
      </c>
      <c r="V25" s="37">
        <v>3</v>
      </c>
      <c r="W25" s="41"/>
      <c r="X25" s="10"/>
      <c r="Y25" s="10">
        <v>1</v>
      </c>
      <c r="Z25" s="10">
        <v>1</v>
      </c>
      <c r="AA25" s="34">
        <v>300</v>
      </c>
      <c r="AB25" s="10">
        <v>120</v>
      </c>
      <c r="AC25" s="10">
        <v>300</v>
      </c>
      <c r="AD25" s="10"/>
      <c r="AE25" s="10">
        <v>0</v>
      </c>
      <c r="AF25" s="10">
        <v>0</v>
      </c>
      <c r="AG25" s="10" t="s">
        <v>102</v>
      </c>
      <c r="AH25" s="10" t="s">
        <v>102</v>
      </c>
      <c r="AI25" s="10" t="s">
        <v>102</v>
      </c>
      <c r="AJ25" s="10" t="s">
        <v>102</v>
      </c>
      <c r="AK25" s="10" t="s">
        <v>102</v>
      </c>
      <c r="AL25" s="10" t="s">
        <v>102</v>
      </c>
      <c r="AM25" s="10" t="s">
        <v>102</v>
      </c>
      <c r="AN25" s="10" t="s">
        <v>102</v>
      </c>
      <c r="AO25" s="10" t="s">
        <v>102</v>
      </c>
      <c r="AP25" s="10" t="s">
        <v>102</v>
      </c>
    </row>
    <row r="26" spans="1:42" ht="48" x14ac:dyDescent="0.25">
      <c r="A26" s="34" t="s">
        <v>23</v>
      </c>
      <c r="B26" s="34" t="s">
        <v>142</v>
      </c>
      <c r="C26" s="34" t="s">
        <v>150</v>
      </c>
      <c r="D26" s="34">
        <v>212360000</v>
      </c>
      <c r="E26" s="74" t="s">
        <v>1949</v>
      </c>
      <c r="F26" s="74" t="s">
        <v>1950</v>
      </c>
      <c r="G26" s="34" t="s">
        <v>1951</v>
      </c>
      <c r="H26" s="34">
        <v>300000000</v>
      </c>
      <c r="I26" s="36">
        <v>300000000</v>
      </c>
      <c r="J26" s="10">
        <v>0</v>
      </c>
      <c r="K26" s="10"/>
      <c r="L26" s="10"/>
      <c r="M26" s="10"/>
      <c r="N26" s="34">
        <f t="shared" si="0"/>
        <v>300000000</v>
      </c>
      <c r="O26" s="34">
        <f t="shared" si="0"/>
        <v>300000000</v>
      </c>
      <c r="P26" s="34">
        <f t="shared" si="0"/>
        <v>0</v>
      </c>
      <c r="Q26" s="36">
        <v>0</v>
      </c>
      <c r="R26" s="10"/>
      <c r="S26" s="34">
        <f t="shared" si="1"/>
        <v>0</v>
      </c>
      <c r="T26" s="37">
        <v>0</v>
      </c>
      <c r="U26" s="37">
        <v>0</v>
      </c>
      <c r="V26" s="37">
        <v>0</v>
      </c>
      <c r="W26" s="10"/>
      <c r="X26" s="10"/>
      <c r="Y26" s="10"/>
      <c r="Z26" s="10"/>
      <c r="AA26" s="34">
        <v>0</v>
      </c>
      <c r="AB26" s="10"/>
      <c r="AC26" s="10"/>
      <c r="AD26" s="10"/>
      <c r="AE26" s="10">
        <v>0</v>
      </c>
      <c r="AF26" s="10">
        <v>0</v>
      </c>
      <c r="AG26" s="10">
        <v>0</v>
      </c>
      <c r="AH26" s="10">
        <v>0</v>
      </c>
      <c r="AI26" s="10">
        <v>0</v>
      </c>
      <c r="AJ26" s="10">
        <v>0</v>
      </c>
      <c r="AK26" s="10">
        <v>0</v>
      </c>
      <c r="AL26" s="10">
        <v>0</v>
      </c>
      <c r="AM26" s="10">
        <v>0</v>
      </c>
      <c r="AN26" s="10">
        <v>0</v>
      </c>
      <c r="AO26" s="10">
        <v>0</v>
      </c>
      <c r="AP26" s="10">
        <v>0</v>
      </c>
    </row>
    <row r="27" spans="1:42" ht="90" x14ac:dyDescent="0.25">
      <c r="A27" s="34"/>
      <c r="B27" s="34"/>
      <c r="C27" s="34"/>
      <c r="D27" s="34"/>
      <c r="E27" s="74"/>
      <c r="F27" s="74"/>
      <c r="G27" s="34"/>
      <c r="H27" s="34"/>
      <c r="I27" s="10"/>
      <c r="J27" s="10"/>
      <c r="K27" s="10"/>
      <c r="L27" s="10"/>
      <c r="M27" s="10"/>
      <c r="N27" s="34"/>
      <c r="O27" s="34"/>
      <c r="P27" s="34"/>
      <c r="Q27" s="10"/>
      <c r="R27" s="10"/>
      <c r="S27" s="34"/>
      <c r="T27" s="37" t="s">
        <v>1982</v>
      </c>
      <c r="U27" s="37" t="s">
        <v>1965</v>
      </c>
      <c r="V27" s="37">
        <v>1</v>
      </c>
      <c r="W27" s="10"/>
      <c r="X27" s="10"/>
      <c r="Y27" s="10"/>
      <c r="Z27" s="10"/>
      <c r="AA27" s="34">
        <v>300</v>
      </c>
      <c r="AB27" s="10"/>
      <c r="AC27" s="10"/>
      <c r="AD27" s="10" t="s">
        <v>1971</v>
      </c>
      <c r="AE27" s="10"/>
      <c r="AF27" s="10"/>
      <c r="AG27" s="10" t="s">
        <v>102</v>
      </c>
      <c r="AH27" s="10" t="s">
        <v>102</v>
      </c>
      <c r="AI27" s="10" t="s">
        <v>102</v>
      </c>
      <c r="AJ27" s="10" t="s">
        <v>102</v>
      </c>
      <c r="AK27" s="10" t="s">
        <v>102</v>
      </c>
      <c r="AL27" s="10" t="s">
        <v>102</v>
      </c>
      <c r="AM27" s="10" t="s">
        <v>102</v>
      </c>
      <c r="AN27" s="10" t="s">
        <v>102</v>
      </c>
      <c r="AO27" s="10" t="s">
        <v>102</v>
      </c>
      <c r="AP27" s="10" t="s">
        <v>102</v>
      </c>
    </row>
    <row r="28" spans="1:42" ht="42" customHeight="1" x14ac:dyDescent="0.25">
      <c r="A28" s="34" t="s">
        <v>23</v>
      </c>
      <c r="B28" s="34" t="s">
        <v>1573</v>
      </c>
      <c r="C28" s="34" t="s">
        <v>1952</v>
      </c>
      <c r="D28" s="327">
        <v>214620000</v>
      </c>
      <c r="E28" s="74"/>
      <c r="F28" s="74" t="s">
        <v>1954</v>
      </c>
      <c r="G28" s="34" t="s">
        <v>1955</v>
      </c>
      <c r="H28" s="34">
        <v>0</v>
      </c>
      <c r="I28" s="36">
        <v>2948121442</v>
      </c>
      <c r="J28" s="10">
        <v>3215024703</v>
      </c>
      <c r="K28" s="10"/>
      <c r="L28" s="10"/>
      <c r="M28" s="10"/>
      <c r="N28" s="34">
        <f t="shared" si="0"/>
        <v>0</v>
      </c>
      <c r="O28" s="36">
        <f t="shared" si="0"/>
        <v>2948121442</v>
      </c>
      <c r="P28" s="34">
        <f t="shared" si="0"/>
        <v>3215024703</v>
      </c>
      <c r="Q28" s="36">
        <v>2867747322</v>
      </c>
      <c r="R28" s="10"/>
      <c r="S28" s="34">
        <f t="shared" si="1"/>
        <v>2867747322</v>
      </c>
      <c r="T28" s="37"/>
      <c r="U28" s="37"/>
      <c r="V28" s="37"/>
      <c r="W28" s="10"/>
      <c r="X28" s="10"/>
      <c r="Y28" s="10"/>
      <c r="Z28" s="10"/>
      <c r="AA28" s="34"/>
      <c r="AB28" s="10"/>
      <c r="AC28" s="10"/>
      <c r="AD28" s="10"/>
      <c r="AE28" s="10"/>
      <c r="AF28" s="10"/>
      <c r="AG28" s="10"/>
      <c r="AH28" s="10"/>
      <c r="AI28" s="10"/>
      <c r="AJ28" s="10"/>
      <c r="AK28" s="10"/>
      <c r="AL28" s="10"/>
      <c r="AM28" s="10"/>
      <c r="AN28" s="10"/>
      <c r="AO28" s="10"/>
      <c r="AP28" s="10"/>
    </row>
    <row r="29" spans="1:42" ht="48" x14ac:dyDescent="0.25">
      <c r="A29" s="34"/>
      <c r="B29" s="34"/>
      <c r="C29" s="34"/>
      <c r="D29" s="328"/>
      <c r="E29" s="74"/>
      <c r="F29" s="74"/>
      <c r="G29" s="34"/>
      <c r="H29" s="34"/>
      <c r="I29" s="10"/>
      <c r="J29" s="10"/>
      <c r="K29" s="10"/>
      <c r="L29" s="10"/>
      <c r="M29" s="10"/>
      <c r="N29" s="34"/>
      <c r="O29" s="34"/>
      <c r="P29" s="34"/>
      <c r="Q29" s="10"/>
      <c r="R29" s="10"/>
      <c r="S29" s="34"/>
      <c r="T29" s="37" t="s">
        <v>1983</v>
      </c>
      <c r="U29" s="37" t="s">
        <v>123</v>
      </c>
      <c r="V29" s="37">
        <v>20</v>
      </c>
      <c r="W29" s="10"/>
      <c r="X29" s="10"/>
      <c r="Y29" s="10">
        <v>12</v>
      </c>
      <c r="Z29" s="10">
        <v>12</v>
      </c>
      <c r="AA29" s="34">
        <v>330</v>
      </c>
      <c r="AB29" s="10">
        <v>150</v>
      </c>
      <c r="AC29" s="10">
        <v>330</v>
      </c>
      <c r="AD29" s="10"/>
      <c r="AE29" s="10"/>
      <c r="AF29" s="10" t="s">
        <v>102</v>
      </c>
      <c r="AG29" s="10" t="s">
        <v>102</v>
      </c>
      <c r="AH29" s="10" t="s">
        <v>102</v>
      </c>
      <c r="AI29" s="10" t="s">
        <v>102</v>
      </c>
      <c r="AJ29" s="10" t="s">
        <v>102</v>
      </c>
      <c r="AK29" s="10" t="s">
        <v>102</v>
      </c>
      <c r="AL29" s="10" t="s">
        <v>102</v>
      </c>
      <c r="AM29" s="10" t="s">
        <v>102</v>
      </c>
      <c r="AN29" s="10" t="s">
        <v>102</v>
      </c>
      <c r="AO29" s="10" t="s">
        <v>102</v>
      </c>
      <c r="AP29" s="10" t="s">
        <v>102</v>
      </c>
    </row>
    <row r="30" spans="1:42" x14ac:dyDescent="0.2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row>
    <row r="31" spans="1:42" s="331" customFormat="1" x14ac:dyDescent="0.25">
      <c r="A31" s="329" t="s">
        <v>1984</v>
      </c>
      <c r="B31" s="329"/>
      <c r="C31" s="329"/>
      <c r="D31" s="329"/>
      <c r="E31" s="329"/>
      <c r="F31" s="329"/>
      <c r="G31" s="329"/>
      <c r="H31" s="330">
        <f>+H9+H12+H14+H19+H23+H26+H28</f>
        <v>20000000000</v>
      </c>
      <c r="I31" s="330">
        <f>+I9+I12+I14+I19+I23+I26+I28</f>
        <v>22662688104</v>
      </c>
      <c r="J31" s="330">
        <f t="shared" ref="J31:AP31" si="2">+J9+J12+J14+J19+J23+J26+J28</f>
        <v>22220824728</v>
      </c>
      <c r="K31" s="330">
        <f t="shared" si="2"/>
        <v>0</v>
      </c>
      <c r="L31" s="330">
        <f t="shared" si="2"/>
        <v>0</v>
      </c>
      <c r="M31" s="330">
        <f t="shared" si="2"/>
        <v>0</v>
      </c>
      <c r="N31" s="330">
        <f t="shared" si="2"/>
        <v>20000000000</v>
      </c>
      <c r="O31" s="330">
        <f t="shared" si="2"/>
        <v>22662688104</v>
      </c>
      <c r="P31" s="330">
        <f t="shared" si="2"/>
        <v>22220824728</v>
      </c>
      <c r="Q31" s="330">
        <f t="shared" si="2"/>
        <v>18616615395</v>
      </c>
      <c r="R31" s="330">
        <f t="shared" si="2"/>
        <v>0</v>
      </c>
      <c r="S31" s="330">
        <f t="shared" si="2"/>
        <v>18616615395</v>
      </c>
      <c r="T31" s="330">
        <f t="shared" si="2"/>
        <v>0</v>
      </c>
      <c r="U31" s="330">
        <f t="shared" si="2"/>
        <v>0</v>
      </c>
      <c r="V31" s="330">
        <f t="shared" si="2"/>
        <v>0</v>
      </c>
      <c r="W31" s="330">
        <f t="shared" si="2"/>
        <v>0</v>
      </c>
      <c r="X31" s="330">
        <f t="shared" si="2"/>
        <v>0</v>
      </c>
      <c r="Y31" s="330">
        <f>+Y9+Y12+Y14+Y19+Y23+Y26+Y28</f>
        <v>0</v>
      </c>
      <c r="Z31" s="330">
        <f t="shared" si="2"/>
        <v>0</v>
      </c>
      <c r="AA31" s="330">
        <f t="shared" si="2"/>
        <v>0</v>
      </c>
      <c r="AB31" s="330">
        <f t="shared" si="2"/>
        <v>0</v>
      </c>
      <c r="AC31" s="330">
        <f t="shared" si="2"/>
        <v>0</v>
      </c>
      <c r="AD31" s="330">
        <f t="shared" si="2"/>
        <v>0</v>
      </c>
      <c r="AE31" s="330">
        <f t="shared" si="2"/>
        <v>0</v>
      </c>
      <c r="AF31" s="330">
        <f t="shared" si="2"/>
        <v>0</v>
      </c>
      <c r="AG31" s="330">
        <f t="shared" si="2"/>
        <v>0</v>
      </c>
      <c r="AH31" s="330">
        <f t="shared" si="2"/>
        <v>0</v>
      </c>
      <c r="AI31" s="330">
        <f t="shared" si="2"/>
        <v>0</v>
      </c>
      <c r="AJ31" s="330">
        <f t="shared" si="2"/>
        <v>0</v>
      </c>
      <c r="AK31" s="330">
        <f t="shared" si="2"/>
        <v>0</v>
      </c>
      <c r="AL31" s="330">
        <f t="shared" si="2"/>
        <v>0</v>
      </c>
      <c r="AM31" s="330">
        <f t="shared" si="2"/>
        <v>0</v>
      </c>
      <c r="AN31" s="330">
        <f t="shared" si="2"/>
        <v>0</v>
      </c>
      <c r="AO31" s="330">
        <f t="shared" si="2"/>
        <v>0</v>
      </c>
      <c r="AP31" s="330">
        <f t="shared" si="2"/>
        <v>0</v>
      </c>
    </row>
    <row r="32" spans="1:42" x14ac:dyDescent="0.25">
      <c r="H32" s="69" t="s">
        <v>1985</v>
      </c>
      <c r="J32" s="69" t="s">
        <v>1985</v>
      </c>
      <c r="N32" s="69"/>
      <c r="P32" s="69"/>
      <c r="S32" s="69"/>
    </row>
    <row r="34" spans="8:8" x14ac:dyDescent="0.25">
      <c r="H34" s="155"/>
    </row>
  </sheetData>
  <sheetProtection algorithmName="SHA-512" hashValue="OgHEeHvAgtsbWUVLGSYPYKyGQSIFuZhuFPimjGY7Cbvcs1ojVkyG/P1R48DOespVzIOlQyBsHKYMya1uVZqrXg==" saltValue="Z+SU847KcXuwgDlihG4m3A==" spinCount="100000" sheet="1" objects="1" scenarios="1" formatCells="0" insertRows="0" selectLockedCells="1"/>
  <mergeCells count="28">
    <mergeCell ref="AE7:AP7"/>
    <mergeCell ref="AD20:AD22"/>
    <mergeCell ref="L7:L8"/>
    <mergeCell ref="M7:M8"/>
    <mergeCell ref="N7:N8"/>
    <mergeCell ref="O7:O8"/>
    <mergeCell ref="P7:P8"/>
    <mergeCell ref="Q7:Q8"/>
    <mergeCell ref="R7:R8"/>
    <mergeCell ref="S7:S8"/>
    <mergeCell ref="T7:AC7"/>
    <mergeCell ref="AD7:AD8"/>
    <mergeCell ref="K7:K8"/>
    <mergeCell ref="A1:P1"/>
    <mergeCell ref="A2:P2"/>
    <mergeCell ref="A3:P3"/>
    <mergeCell ref="A4:P4"/>
    <mergeCell ref="A5:B5"/>
    <mergeCell ref="A7:A8"/>
    <mergeCell ref="B7:B8"/>
    <mergeCell ref="C7:C8"/>
    <mergeCell ref="D7:D8"/>
    <mergeCell ref="E7:E8"/>
    <mergeCell ref="F7:F8"/>
    <mergeCell ref="G7:G8"/>
    <mergeCell ref="H7:H8"/>
    <mergeCell ref="I7:I8"/>
    <mergeCell ref="J7:J8"/>
  </mergeCells>
  <pageMargins left="0.7" right="0.7" top="0.75" bottom="0.75" header="0.3" footer="0.3"/>
  <pageSetup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topLeftCell="A4" workbookViewId="0">
      <pane ySplit="5" topLeftCell="A9" activePane="bottomLeft" state="frozen"/>
      <selection activeCell="A4" sqref="A4"/>
      <selection pane="bottomLeft" activeCell="H9" sqref="H9"/>
    </sheetView>
  </sheetViews>
  <sheetFormatPr baseColWidth="10" defaultColWidth="11.42578125" defaultRowHeight="15" x14ac:dyDescent="0.25"/>
  <cols>
    <col min="1" max="1" width="15.7109375" style="1" customWidth="1"/>
    <col min="2" max="2" width="17.7109375" style="1" customWidth="1"/>
    <col min="3" max="3" width="18.7109375" style="1" customWidth="1"/>
    <col min="4" max="6" width="13.7109375" style="1" customWidth="1"/>
    <col min="7" max="7" width="10.7109375" style="1" customWidth="1"/>
    <col min="8" max="8" width="22.7109375" style="1" customWidth="1"/>
    <col min="9" max="10" width="14.7109375" style="1" customWidth="1"/>
    <col min="11" max="11" width="28.7109375" style="1" customWidth="1"/>
    <col min="12" max="16" width="11.7109375" style="1" customWidth="1"/>
    <col min="17" max="17" width="24.7109375" style="1" customWidth="1"/>
    <col min="18" max="16384" width="11.42578125" style="1"/>
  </cols>
  <sheetData>
    <row r="1" spans="1:21" x14ac:dyDescent="0.25">
      <c r="A1" s="605" t="s">
        <v>0</v>
      </c>
      <c r="B1" s="605"/>
      <c r="C1" s="605"/>
      <c r="D1" s="605"/>
      <c r="E1" s="605"/>
      <c r="F1" s="605"/>
      <c r="G1" s="605"/>
      <c r="H1" s="605"/>
      <c r="I1" s="605"/>
      <c r="J1" s="605"/>
      <c r="K1" s="605"/>
      <c r="L1" s="605"/>
      <c r="M1" s="605"/>
      <c r="N1" s="605"/>
      <c r="O1" s="605"/>
    </row>
    <row r="2" spans="1:21" x14ac:dyDescent="0.25">
      <c r="A2" s="605" t="s">
        <v>1</v>
      </c>
      <c r="B2" s="605"/>
      <c r="C2" s="605"/>
      <c r="D2" s="605"/>
      <c r="E2" s="605"/>
      <c r="F2" s="605"/>
      <c r="G2" s="605"/>
      <c r="H2" s="605"/>
      <c r="I2" s="605"/>
      <c r="J2" s="605"/>
      <c r="K2" s="605"/>
      <c r="L2" s="605"/>
      <c r="M2" s="605"/>
      <c r="N2" s="605"/>
      <c r="O2" s="605"/>
    </row>
    <row r="3" spans="1:21" x14ac:dyDescent="0.25">
      <c r="A3" s="605" t="s">
        <v>2</v>
      </c>
      <c r="B3" s="605"/>
      <c r="C3" s="605"/>
      <c r="D3" s="605"/>
      <c r="E3" s="605"/>
      <c r="F3" s="605"/>
      <c r="G3" s="605"/>
      <c r="H3" s="605" t="s">
        <v>3</v>
      </c>
      <c r="I3" s="605"/>
      <c r="J3" s="605"/>
      <c r="K3" s="605"/>
      <c r="L3" s="605"/>
      <c r="M3" s="605"/>
      <c r="N3" s="605"/>
      <c r="O3" s="605"/>
    </row>
    <row r="4" spans="1:21" x14ac:dyDescent="0.25">
      <c r="A4" s="605">
        <v>2013</v>
      </c>
      <c r="B4" s="605"/>
      <c r="C4" s="605"/>
      <c r="D4" s="605"/>
      <c r="E4" s="605"/>
      <c r="F4" s="605"/>
      <c r="G4" s="605"/>
      <c r="H4" s="605"/>
      <c r="I4" s="605"/>
      <c r="J4" s="605"/>
      <c r="K4" s="605"/>
      <c r="L4" s="605"/>
      <c r="M4" s="605"/>
      <c r="N4" s="605"/>
      <c r="O4" s="605"/>
    </row>
    <row r="5" spans="1:21" x14ac:dyDescent="0.25">
      <c r="A5" s="326"/>
      <c r="B5" s="2"/>
      <c r="C5" s="2"/>
      <c r="D5" s="2"/>
      <c r="E5" s="2"/>
      <c r="F5" s="2"/>
      <c r="G5" s="2"/>
      <c r="H5" s="2"/>
      <c r="I5" s="2"/>
      <c r="J5" s="2"/>
      <c r="K5" s="2"/>
      <c r="L5" s="4"/>
      <c r="M5" s="5"/>
      <c r="N5" s="5"/>
      <c r="O5" s="5"/>
    </row>
    <row r="6" spans="1:21" x14ac:dyDescent="0.25">
      <c r="A6" s="7" t="s">
        <v>4</v>
      </c>
      <c r="B6" s="606" t="s">
        <v>1929</v>
      </c>
      <c r="C6" s="606"/>
      <c r="D6" s="606"/>
      <c r="E6" s="606"/>
      <c r="F6" s="606"/>
      <c r="G6" s="606"/>
      <c r="H6" s="606"/>
      <c r="I6" s="606"/>
      <c r="J6" s="606"/>
      <c r="K6" s="606"/>
      <c r="L6" s="606"/>
      <c r="M6" s="606"/>
      <c r="N6" s="606"/>
      <c r="O6" s="606"/>
    </row>
    <row r="7" spans="1:21"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9" t="s">
        <v>22</v>
      </c>
    </row>
    <row r="8" spans="1:21" ht="32.25" customHeight="1" x14ac:dyDescent="0.25">
      <c r="A8" s="618"/>
      <c r="B8" s="618"/>
      <c r="C8" s="618"/>
      <c r="D8" s="618"/>
      <c r="E8" s="618"/>
      <c r="F8" s="618"/>
      <c r="G8" s="618"/>
      <c r="H8" s="618"/>
      <c r="I8" s="622"/>
      <c r="J8" s="622"/>
      <c r="K8" s="618"/>
      <c r="L8" s="618"/>
      <c r="M8" s="618"/>
      <c r="N8" s="624"/>
      <c r="O8" s="624"/>
      <c r="P8" s="624"/>
      <c r="Q8" s="620"/>
    </row>
    <row r="9" spans="1:21" ht="90" x14ac:dyDescent="0.25">
      <c r="A9" s="10" t="s">
        <v>23</v>
      </c>
      <c r="B9" s="10" t="s">
        <v>142</v>
      </c>
      <c r="C9" s="10" t="s">
        <v>150</v>
      </c>
      <c r="D9" s="10">
        <v>212330000</v>
      </c>
      <c r="E9" s="10" t="s">
        <v>1930</v>
      </c>
      <c r="F9" s="50" t="s">
        <v>1931</v>
      </c>
      <c r="G9" s="50" t="s">
        <v>1932</v>
      </c>
      <c r="H9" s="10" t="s">
        <v>1933</v>
      </c>
      <c r="I9" s="39">
        <v>-685433338</v>
      </c>
      <c r="J9" s="247">
        <f>'[19]FORMATO FINANCIERO'!J9-'[19]FORMATO FINANCIERO'!H9</f>
        <v>-351012088</v>
      </c>
      <c r="K9" s="10" t="s">
        <v>1934</v>
      </c>
      <c r="L9" s="10">
        <v>35</v>
      </c>
      <c r="M9" s="10"/>
      <c r="N9" s="10"/>
      <c r="O9" s="10"/>
      <c r="P9" s="82"/>
      <c r="Q9" s="10" t="s">
        <v>1935</v>
      </c>
      <c r="R9" s="8"/>
      <c r="U9" s="9"/>
    </row>
    <row r="10" spans="1:21" ht="90" x14ac:dyDescent="0.25">
      <c r="A10" s="10" t="s">
        <v>23</v>
      </c>
      <c r="B10" s="10" t="s">
        <v>142</v>
      </c>
      <c r="C10" s="10" t="s">
        <v>150</v>
      </c>
      <c r="D10" s="10">
        <v>212330000</v>
      </c>
      <c r="E10" s="10" t="s">
        <v>1930</v>
      </c>
      <c r="F10" s="50" t="s">
        <v>1936</v>
      </c>
      <c r="G10" s="50" t="s">
        <v>1937</v>
      </c>
      <c r="H10" s="10" t="s">
        <v>1938</v>
      </c>
      <c r="I10" s="39">
        <v>0</v>
      </c>
      <c r="J10" s="247">
        <f>'[19]FORMATO FINANCIERO'!J12-'[19]FORMATO FINANCIERO'!H12</f>
        <v>-1193187887</v>
      </c>
      <c r="K10" s="10" t="s">
        <v>1934</v>
      </c>
      <c r="L10" s="10">
        <v>35</v>
      </c>
      <c r="M10" s="10"/>
      <c r="N10" s="10"/>
      <c r="O10" s="10"/>
      <c r="P10" s="10"/>
      <c r="Q10" s="10" t="s">
        <v>1935</v>
      </c>
      <c r="R10" s="8"/>
      <c r="U10" s="9"/>
    </row>
    <row r="11" spans="1:21" ht="90" x14ac:dyDescent="0.25">
      <c r="A11" s="10" t="s">
        <v>23</v>
      </c>
      <c r="B11" s="10" t="s">
        <v>142</v>
      </c>
      <c r="C11" s="10" t="s">
        <v>150</v>
      </c>
      <c r="D11" s="10">
        <v>212330000</v>
      </c>
      <c r="E11" s="10" t="s">
        <v>1930</v>
      </c>
      <c r="F11" s="50" t="s">
        <v>1939</v>
      </c>
      <c r="G11" s="50" t="s">
        <v>1940</v>
      </c>
      <c r="H11" s="10" t="s">
        <v>1941</v>
      </c>
      <c r="I11" s="39">
        <v>0</v>
      </c>
      <c r="J11" s="10">
        <f>'[19]FORMATO FINANCIERO'!J14-'[19]FORMATO FINANCIERO'!H14</f>
        <v>450000000</v>
      </c>
      <c r="K11" s="10" t="s">
        <v>1934</v>
      </c>
      <c r="L11" s="10">
        <v>35</v>
      </c>
      <c r="M11" s="10"/>
      <c r="N11" s="10"/>
      <c r="O11" s="10"/>
      <c r="P11" s="10"/>
      <c r="Q11" s="10" t="s">
        <v>1935</v>
      </c>
      <c r="R11" s="8"/>
      <c r="U11" s="9"/>
    </row>
    <row r="12" spans="1:21" ht="120" x14ac:dyDescent="0.25">
      <c r="A12" s="10" t="s">
        <v>23</v>
      </c>
      <c r="B12" s="10" t="s">
        <v>142</v>
      </c>
      <c r="C12" s="10" t="s">
        <v>150</v>
      </c>
      <c r="D12" s="10">
        <v>212360000</v>
      </c>
      <c r="E12" s="10" t="s">
        <v>1363</v>
      </c>
      <c r="F12" s="50" t="s">
        <v>1942</v>
      </c>
      <c r="G12" s="50" t="s">
        <v>1943</v>
      </c>
      <c r="H12" s="10" t="s">
        <v>1944</v>
      </c>
      <c r="I12" s="39">
        <v>200000000</v>
      </c>
      <c r="J12" s="10">
        <f>'[19]FORMATO FINANCIERO'!J19-'[19]FORMATO FINANCIERO'!H19</f>
        <v>200000000</v>
      </c>
      <c r="K12" s="10" t="s">
        <v>1367</v>
      </c>
      <c r="L12" s="10">
        <v>59</v>
      </c>
      <c r="M12" s="10"/>
      <c r="N12" s="10"/>
      <c r="O12" s="10"/>
      <c r="P12" s="10"/>
      <c r="Q12" s="10" t="s">
        <v>1945</v>
      </c>
      <c r="R12" s="8"/>
      <c r="U12" s="9"/>
    </row>
    <row r="13" spans="1:21" ht="120" x14ac:dyDescent="0.25">
      <c r="A13" s="10" t="s">
        <v>23</v>
      </c>
      <c r="B13" s="10" t="s">
        <v>142</v>
      </c>
      <c r="C13" s="10" t="s">
        <v>150</v>
      </c>
      <c r="D13" s="10">
        <v>212360000</v>
      </c>
      <c r="E13" s="10" t="s">
        <v>1363</v>
      </c>
      <c r="F13" s="50" t="s">
        <v>1946</v>
      </c>
      <c r="G13" s="50" t="s">
        <v>1947</v>
      </c>
      <c r="H13" s="10" t="s">
        <v>1948</v>
      </c>
      <c r="I13" s="39">
        <v>200000000</v>
      </c>
      <c r="J13" s="10">
        <f>'[19]FORMATO FINANCIERO'!J23-'[19]FORMATO FINANCIERO'!H23</f>
        <v>200000000</v>
      </c>
      <c r="K13" s="10" t="s">
        <v>1367</v>
      </c>
      <c r="L13" s="10">
        <v>59</v>
      </c>
      <c r="M13" s="10"/>
      <c r="N13" s="10"/>
      <c r="O13" s="10"/>
      <c r="P13" s="10"/>
      <c r="Q13" s="10" t="s">
        <v>1945</v>
      </c>
      <c r="R13" s="8"/>
      <c r="U13" s="9"/>
    </row>
    <row r="14" spans="1:21" ht="120" x14ac:dyDescent="0.25">
      <c r="A14" s="10" t="s">
        <v>23</v>
      </c>
      <c r="B14" s="10" t="s">
        <v>142</v>
      </c>
      <c r="C14" s="10" t="s">
        <v>150</v>
      </c>
      <c r="D14" s="10">
        <v>212360000</v>
      </c>
      <c r="E14" s="10" t="s">
        <v>1363</v>
      </c>
      <c r="F14" s="50" t="s">
        <v>1949</v>
      </c>
      <c r="G14" s="50" t="s">
        <v>1950</v>
      </c>
      <c r="H14" s="10" t="s">
        <v>1951</v>
      </c>
      <c r="I14" s="39">
        <v>0</v>
      </c>
      <c r="J14" s="10">
        <f>'[19]FORMATO FINANCIERO'!J26-'[19]FORMATO FINANCIERO'!H26</f>
        <v>-300000000</v>
      </c>
      <c r="K14" s="10" t="s">
        <v>1367</v>
      </c>
      <c r="L14" s="10">
        <v>59</v>
      </c>
      <c r="M14" s="10"/>
      <c r="N14" s="10"/>
      <c r="O14" s="10"/>
      <c r="P14" s="10"/>
      <c r="Q14" s="10" t="s">
        <v>1945</v>
      </c>
      <c r="R14" s="8"/>
      <c r="U14" s="9"/>
    </row>
    <row r="15" spans="1:21" ht="165" x14ac:dyDescent="0.25">
      <c r="A15" s="34" t="s">
        <v>23</v>
      </c>
      <c r="B15" s="34" t="s">
        <v>1573</v>
      </c>
      <c r="C15" s="34" t="s">
        <v>1952</v>
      </c>
      <c r="D15" s="34">
        <v>214620000</v>
      </c>
      <c r="E15" s="74" t="s">
        <v>1953</v>
      </c>
      <c r="F15" s="41"/>
      <c r="G15" s="74" t="s">
        <v>1954</v>
      </c>
      <c r="H15" s="34" t="s">
        <v>1955</v>
      </c>
      <c r="I15" s="39">
        <v>2948121442</v>
      </c>
      <c r="J15" s="39">
        <f>'[19]FORMATO FINANCIERO'!J28-'[19]FORMATO FINANCIERO'!H28</f>
        <v>3215024703</v>
      </c>
      <c r="K15" s="10" t="s">
        <v>1956</v>
      </c>
      <c r="L15" s="10">
        <v>2800</v>
      </c>
      <c r="M15" s="10">
        <v>2468</v>
      </c>
      <c r="N15" s="41"/>
      <c r="O15" s="10">
        <v>2468</v>
      </c>
      <c r="P15" s="10">
        <v>3983</v>
      </c>
      <c r="Q15" s="10" t="s">
        <v>1957</v>
      </c>
    </row>
  </sheetData>
  <sheetProtection algorithmName="SHA-512" hashValue="8hVkDx5pjoE7FQcFdDSAk1OuuBkQWuVV9oeM4dKO1mMJMUVcGOB+YAagEsnYxy9wsWl25r/n2RJMu3a/DQnHDA==" saltValue="NzOWnosfg+CaxWzN2VdjIQ=="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3"/>
  <sheetViews>
    <sheetView showZeros="0" topLeftCell="A4" zoomScaleNormal="100" workbookViewId="0">
      <pane ySplit="5" topLeftCell="A9" activePane="bottomLeft" state="frozen"/>
      <selection activeCell="A4" sqref="A4"/>
      <selection pane="bottomLeft" activeCell="C9" sqref="C9"/>
    </sheetView>
  </sheetViews>
  <sheetFormatPr baseColWidth="10" defaultRowHeight="15" x14ac:dyDescent="0.25"/>
  <cols>
    <col min="1" max="1" width="15.7109375" style="1" customWidth="1"/>
    <col min="2" max="2" width="17.7109375" style="1" customWidth="1"/>
    <col min="3" max="3" width="18.7109375" style="1" customWidth="1"/>
    <col min="4" max="5" width="13.7109375" style="1" customWidth="1"/>
    <col min="6" max="6" width="10.7109375" style="1" customWidth="1"/>
    <col min="7" max="7" width="22.7109375" style="1" customWidth="1"/>
    <col min="8" max="19" width="14.7109375" style="1" customWidth="1"/>
    <col min="20" max="20" width="30.7109375" style="1" customWidth="1"/>
    <col min="21" max="21" width="12.7109375" style="1" customWidth="1"/>
    <col min="22" max="22" width="15" style="1" customWidth="1"/>
    <col min="23" max="29" width="12.7109375" style="1" customWidth="1"/>
    <col min="30" max="30" width="32" style="1" customWidth="1"/>
    <col min="31" max="38" width="5.7109375" style="1" customWidth="1"/>
    <col min="39" max="42" width="8.7109375" style="1" customWidth="1"/>
    <col min="43" max="16384" width="11.42578125" style="1"/>
  </cols>
  <sheetData>
    <row r="1" spans="1:42" x14ac:dyDescent="0.25">
      <c r="A1" s="605"/>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1910</v>
      </c>
      <c r="D5" s="24"/>
      <c r="E5" s="24"/>
      <c r="F5" s="24"/>
      <c r="G5" s="24"/>
      <c r="H5" s="24"/>
      <c r="I5" s="25"/>
      <c r="J5" s="25"/>
      <c r="K5" s="24"/>
      <c r="L5" s="25"/>
      <c r="M5" s="25"/>
      <c r="N5" s="25"/>
      <c r="O5" s="25"/>
      <c r="P5" s="25"/>
      <c r="Q5" s="27"/>
      <c r="R5" s="27"/>
      <c r="S5" s="27"/>
      <c r="T5" s="27"/>
      <c r="U5" s="27"/>
      <c r="V5" s="27"/>
      <c r="W5" s="27"/>
      <c r="X5" s="27"/>
      <c r="Y5" s="27"/>
      <c r="Z5" s="27"/>
      <c r="AA5" s="27"/>
      <c r="AB5" s="27"/>
      <c r="AC5" s="27"/>
      <c r="AD5" s="27"/>
    </row>
    <row r="7" spans="1:42" s="29" customFormat="1" ht="24" customHeight="1"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36"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210" x14ac:dyDescent="0.25">
      <c r="A9" s="34" t="s">
        <v>23</v>
      </c>
      <c r="B9" s="34" t="s">
        <v>136</v>
      </c>
      <c r="C9" s="34" t="s">
        <v>137</v>
      </c>
      <c r="D9" s="34">
        <v>211120000</v>
      </c>
      <c r="E9" s="74" t="s">
        <v>1912</v>
      </c>
      <c r="F9" s="34" t="s">
        <v>1913</v>
      </c>
      <c r="G9" s="34" t="s">
        <v>1914</v>
      </c>
      <c r="H9" s="36">
        <v>100000000</v>
      </c>
      <c r="I9" s="36">
        <v>0</v>
      </c>
      <c r="J9" s="36"/>
      <c r="K9" s="36">
        <v>0</v>
      </c>
      <c r="L9" s="36">
        <v>0</v>
      </c>
      <c r="M9" s="36">
        <v>0</v>
      </c>
      <c r="N9" s="36">
        <f>H9+K9</f>
        <v>100000000</v>
      </c>
      <c r="O9" s="36">
        <f>I9+L9</f>
        <v>0</v>
      </c>
      <c r="P9" s="36">
        <f>J9+M9</f>
        <v>0</v>
      </c>
      <c r="Q9" s="36">
        <v>0</v>
      </c>
      <c r="R9" s="36"/>
      <c r="S9" s="36">
        <f>Q9+R9</f>
        <v>0</v>
      </c>
      <c r="T9" s="37">
        <v>0</v>
      </c>
      <c r="U9" s="37">
        <v>0</v>
      </c>
      <c r="V9" s="37">
        <v>0</v>
      </c>
      <c r="W9" s="34"/>
      <c r="X9" s="34"/>
      <c r="Y9" s="34"/>
      <c r="Z9" s="34"/>
      <c r="AA9" s="34">
        <v>0</v>
      </c>
      <c r="AB9" s="34"/>
      <c r="AC9" s="34"/>
      <c r="AD9" s="10" t="s">
        <v>1917</v>
      </c>
      <c r="AE9" s="10">
        <v>0</v>
      </c>
      <c r="AF9" s="10">
        <v>0</v>
      </c>
      <c r="AG9" s="10">
        <v>0</v>
      </c>
      <c r="AH9" s="10">
        <v>0</v>
      </c>
      <c r="AI9" s="10">
        <v>0</v>
      </c>
      <c r="AJ9" s="10">
        <v>0</v>
      </c>
      <c r="AK9" s="10">
        <v>0</v>
      </c>
      <c r="AL9" s="10">
        <v>0</v>
      </c>
      <c r="AM9" s="10">
        <v>0</v>
      </c>
      <c r="AN9" s="10">
        <v>0</v>
      </c>
      <c r="AO9" s="10">
        <v>0</v>
      </c>
      <c r="AP9" s="10">
        <v>0</v>
      </c>
    </row>
    <row r="10" spans="1:42" ht="313.5" customHeight="1" x14ac:dyDescent="0.25">
      <c r="A10" s="34">
        <v>0</v>
      </c>
      <c r="B10" s="34">
        <v>0</v>
      </c>
      <c r="C10" s="34">
        <v>0</v>
      </c>
      <c r="D10" s="34">
        <v>0</v>
      </c>
      <c r="E10" s="27"/>
      <c r="F10" s="34">
        <v>0</v>
      </c>
      <c r="G10" s="34">
        <v>0</v>
      </c>
      <c r="H10" s="36">
        <v>0</v>
      </c>
      <c r="I10" s="39"/>
      <c r="J10" s="39"/>
      <c r="K10" s="39"/>
      <c r="L10" s="39"/>
      <c r="M10" s="39"/>
      <c r="N10" s="36">
        <f t="shared" ref="N10:P13" si="0">H10+K10</f>
        <v>0</v>
      </c>
      <c r="O10" s="36">
        <f t="shared" si="0"/>
        <v>0</v>
      </c>
      <c r="P10" s="36">
        <f t="shared" si="0"/>
        <v>0</v>
      </c>
      <c r="Q10" s="39"/>
      <c r="R10" s="39">
        <v>0</v>
      </c>
      <c r="S10" s="36">
        <f t="shared" ref="S10:S13" si="1">Q10+R10</f>
        <v>0</v>
      </c>
      <c r="T10" s="37" t="s">
        <v>1918</v>
      </c>
      <c r="U10" s="37" t="s">
        <v>316</v>
      </c>
      <c r="V10" s="37">
        <v>1</v>
      </c>
      <c r="W10" s="10">
        <v>1</v>
      </c>
      <c r="X10" s="10"/>
      <c r="Y10" s="10" t="s">
        <v>1919</v>
      </c>
      <c r="Z10" s="10">
        <v>1</v>
      </c>
      <c r="AA10" s="34">
        <v>360</v>
      </c>
      <c r="AB10" s="10">
        <v>150</v>
      </c>
      <c r="AC10" s="10">
        <v>300</v>
      </c>
      <c r="AD10" s="10" t="s">
        <v>1920</v>
      </c>
      <c r="AE10" s="10">
        <v>0</v>
      </c>
      <c r="AF10" s="10" t="s">
        <v>102</v>
      </c>
      <c r="AG10" s="10" t="s">
        <v>102</v>
      </c>
      <c r="AH10" s="10" t="s">
        <v>102</v>
      </c>
      <c r="AI10" s="10" t="s">
        <v>102</v>
      </c>
      <c r="AJ10" s="10" t="s">
        <v>102</v>
      </c>
      <c r="AK10" s="10">
        <v>0</v>
      </c>
      <c r="AL10" s="10">
        <v>0</v>
      </c>
      <c r="AM10" s="10" t="s">
        <v>102</v>
      </c>
      <c r="AN10" s="10" t="s">
        <v>102</v>
      </c>
      <c r="AO10" s="10" t="s">
        <v>102</v>
      </c>
      <c r="AP10" s="10">
        <v>0</v>
      </c>
    </row>
    <row r="11" spans="1:42" ht="231.75" customHeight="1" x14ac:dyDescent="0.25">
      <c r="A11" s="34">
        <v>0</v>
      </c>
      <c r="B11" s="34">
        <v>0</v>
      </c>
      <c r="C11" s="34">
        <v>0</v>
      </c>
      <c r="D11" s="34">
        <v>0</v>
      </c>
      <c r="E11" s="34">
        <v>0</v>
      </c>
      <c r="F11" s="34">
        <v>0</v>
      </c>
      <c r="G11" s="34">
        <v>0</v>
      </c>
      <c r="H11" s="36">
        <v>0</v>
      </c>
      <c r="I11" s="39"/>
      <c r="J11" s="39"/>
      <c r="K11" s="39"/>
      <c r="L11" s="39"/>
      <c r="M11" s="39"/>
      <c r="N11" s="36">
        <f t="shared" si="0"/>
        <v>0</v>
      </c>
      <c r="O11" s="36">
        <f t="shared" si="0"/>
        <v>0</v>
      </c>
      <c r="P11" s="36">
        <f t="shared" si="0"/>
        <v>0</v>
      </c>
      <c r="Q11" s="39"/>
      <c r="R11" s="39"/>
      <c r="S11" s="36">
        <f t="shared" si="1"/>
        <v>0</v>
      </c>
      <c r="T11" s="37" t="s">
        <v>1921</v>
      </c>
      <c r="U11" s="37" t="s">
        <v>316</v>
      </c>
      <c r="V11" s="37">
        <v>2</v>
      </c>
      <c r="W11" s="10">
        <v>2</v>
      </c>
      <c r="X11" s="10"/>
      <c r="Y11" s="10" t="s">
        <v>1922</v>
      </c>
      <c r="Z11" s="10">
        <v>2</v>
      </c>
      <c r="AA11" s="34">
        <v>360</v>
      </c>
      <c r="AB11" s="10">
        <v>60</v>
      </c>
      <c r="AC11" s="10">
        <v>60</v>
      </c>
      <c r="AD11" s="10" t="s">
        <v>1923</v>
      </c>
      <c r="AE11" s="10">
        <v>0</v>
      </c>
      <c r="AF11" s="10">
        <v>0</v>
      </c>
      <c r="AG11" s="10">
        <v>0</v>
      </c>
      <c r="AH11" s="10">
        <v>0</v>
      </c>
      <c r="AI11" s="10" t="s">
        <v>102</v>
      </c>
      <c r="AJ11" s="10" t="s">
        <v>102</v>
      </c>
      <c r="AK11" s="10" t="s">
        <v>102</v>
      </c>
      <c r="AL11" s="10">
        <v>0</v>
      </c>
      <c r="AM11" s="10" t="s">
        <v>102</v>
      </c>
      <c r="AN11" s="10" t="s">
        <v>102</v>
      </c>
      <c r="AO11" s="10" t="s">
        <v>102</v>
      </c>
      <c r="AP11" s="10">
        <v>0</v>
      </c>
    </row>
    <row r="12" spans="1:42" ht="93" customHeight="1" x14ac:dyDescent="0.25">
      <c r="A12" s="34">
        <v>0</v>
      </c>
      <c r="B12" s="34">
        <v>0</v>
      </c>
      <c r="C12" s="34">
        <v>0</v>
      </c>
      <c r="D12" s="34">
        <v>0</v>
      </c>
      <c r="E12" s="34">
        <v>0</v>
      </c>
      <c r="F12" s="34">
        <v>0</v>
      </c>
      <c r="G12" s="34">
        <v>0</v>
      </c>
      <c r="H12" s="36">
        <v>0</v>
      </c>
      <c r="I12" s="39"/>
      <c r="J12" s="39"/>
      <c r="K12" s="39"/>
      <c r="L12" s="39"/>
      <c r="M12" s="39">
        <v>0</v>
      </c>
      <c r="N12" s="36">
        <f t="shared" si="0"/>
        <v>0</v>
      </c>
      <c r="O12" s="36">
        <f t="shared" si="0"/>
        <v>0</v>
      </c>
      <c r="P12" s="36">
        <f t="shared" si="0"/>
        <v>0</v>
      </c>
      <c r="Q12" s="39"/>
      <c r="R12" s="39"/>
      <c r="S12" s="36">
        <f t="shared" si="1"/>
        <v>0</v>
      </c>
      <c r="T12" s="37" t="s">
        <v>1924</v>
      </c>
      <c r="U12" s="37" t="s">
        <v>316</v>
      </c>
      <c r="V12" s="37" t="s">
        <v>1925</v>
      </c>
      <c r="W12" s="10"/>
      <c r="X12" s="10"/>
      <c r="Y12" s="10">
        <v>10</v>
      </c>
      <c r="Z12" s="10">
        <v>15</v>
      </c>
      <c r="AA12" s="34">
        <v>360</v>
      </c>
      <c r="AB12" s="10">
        <v>180</v>
      </c>
      <c r="AC12" s="10">
        <v>360</v>
      </c>
      <c r="AD12" s="10" t="s">
        <v>1926</v>
      </c>
      <c r="AE12" s="10" t="s">
        <v>102</v>
      </c>
      <c r="AF12" s="10" t="s">
        <v>102</v>
      </c>
      <c r="AG12" s="10" t="s">
        <v>102</v>
      </c>
      <c r="AH12" s="10" t="s">
        <v>102</v>
      </c>
      <c r="AI12" s="10" t="s">
        <v>102</v>
      </c>
      <c r="AJ12" s="10" t="s">
        <v>102</v>
      </c>
      <c r="AK12" s="10" t="s">
        <v>102</v>
      </c>
      <c r="AL12" s="10" t="s">
        <v>102</v>
      </c>
      <c r="AM12" s="10" t="s">
        <v>102</v>
      </c>
      <c r="AN12" s="10" t="s">
        <v>102</v>
      </c>
      <c r="AO12" s="10" t="s">
        <v>102</v>
      </c>
      <c r="AP12" s="10" t="s">
        <v>102</v>
      </c>
    </row>
    <row r="13" spans="1:42" ht="142.5" customHeight="1" x14ac:dyDescent="0.25">
      <c r="A13" s="34">
        <v>0</v>
      </c>
      <c r="B13" s="34">
        <v>0</v>
      </c>
      <c r="C13" s="34">
        <v>0</v>
      </c>
      <c r="D13" s="34">
        <v>0</v>
      </c>
      <c r="E13" s="34">
        <v>0</v>
      </c>
      <c r="F13" s="34">
        <v>0</v>
      </c>
      <c r="G13" s="34">
        <v>0</v>
      </c>
      <c r="H13" s="36">
        <v>0</v>
      </c>
      <c r="I13" s="39"/>
      <c r="J13" s="39"/>
      <c r="K13" s="39"/>
      <c r="L13" s="39"/>
      <c r="M13" s="39"/>
      <c r="N13" s="36">
        <f t="shared" si="0"/>
        <v>0</v>
      </c>
      <c r="O13" s="36">
        <f t="shared" si="0"/>
        <v>0</v>
      </c>
      <c r="P13" s="36">
        <f t="shared" si="0"/>
        <v>0</v>
      </c>
      <c r="Q13" s="39"/>
      <c r="R13" s="39"/>
      <c r="S13" s="36">
        <f t="shared" si="1"/>
        <v>0</v>
      </c>
      <c r="T13" s="37" t="s">
        <v>1927</v>
      </c>
      <c r="U13" s="37" t="s">
        <v>316</v>
      </c>
      <c r="V13" s="37">
        <v>1</v>
      </c>
      <c r="W13" s="10">
        <v>1</v>
      </c>
      <c r="X13" s="10"/>
      <c r="Y13" s="10" t="s">
        <v>1922</v>
      </c>
      <c r="Z13" s="10">
        <v>1</v>
      </c>
      <c r="AA13" s="34">
        <v>180</v>
      </c>
      <c r="AB13" s="10">
        <v>30</v>
      </c>
      <c r="AC13" s="10">
        <v>180</v>
      </c>
      <c r="AD13" s="10" t="s">
        <v>1928</v>
      </c>
      <c r="AE13" s="10">
        <v>0</v>
      </c>
      <c r="AF13" s="10">
        <v>0</v>
      </c>
      <c r="AG13" s="10">
        <v>0</v>
      </c>
      <c r="AH13" s="10">
        <v>0</v>
      </c>
      <c r="AI13" s="10">
        <v>0</v>
      </c>
      <c r="AJ13" s="10" t="s">
        <v>102</v>
      </c>
      <c r="AK13" s="10" t="s">
        <v>102</v>
      </c>
      <c r="AL13" s="10" t="s">
        <v>102</v>
      </c>
      <c r="AM13" s="10" t="s">
        <v>102</v>
      </c>
      <c r="AN13" s="10" t="s">
        <v>102</v>
      </c>
      <c r="AO13" s="10" t="s">
        <v>102</v>
      </c>
      <c r="AP13" s="10">
        <v>0</v>
      </c>
    </row>
  </sheetData>
  <sheetProtection algorithmName="SHA-512" hashValue="kY8H1W0tPI0/SDwpMJ+dTTeoTSDq1hg5BUOkV49YyC+KUo/AjtOGJgmyncH0L/T9tOjO5DPsm4CRyQ6l2+DsWg==" saltValue="7D24li1nPNeR2uXGiDEweg=="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topLeftCell="A4" workbookViewId="0">
      <pane ySplit="5" topLeftCell="A9" activePane="bottomLeft" state="frozen"/>
      <selection activeCell="A4" sqref="A4"/>
      <selection pane="bottomLeft" activeCell="H9" sqref="H9"/>
    </sheetView>
  </sheetViews>
  <sheetFormatPr baseColWidth="10" defaultRowHeight="15" x14ac:dyDescent="0.25"/>
  <cols>
    <col min="1" max="1" width="15.7109375" style="1" customWidth="1"/>
    <col min="2" max="2" width="17.7109375" style="1" customWidth="1"/>
    <col min="3" max="3" width="18.7109375" style="1" customWidth="1"/>
    <col min="4" max="6" width="13.7109375" style="1" customWidth="1"/>
    <col min="7" max="7" width="14.5703125" style="1" customWidth="1"/>
    <col min="8" max="8" width="22.7109375" style="1" customWidth="1"/>
    <col min="9" max="10" width="14.7109375" style="1" customWidth="1"/>
    <col min="11" max="11" width="28.7109375" style="1" customWidth="1"/>
    <col min="12" max="16" width="11.7109375" style="1" customWidth="1"/>
    <col min="17" max="17" width="24.7109375" style="1" customWidth="1"/>
    <col min="18" max="16384" width="11.42578125" style="1"/>
  </cols>
  <sheetData>
    <row r="1" spans="1:21" x14ac:dyDescent="0.25">
      <c r="A1" s="605" t="s">
        <v>0</v>
      </c>
      <c r="B1" s="605"/>
      <c r="C1" s="605"/>
      <c r="D1" s="605"/>
      <c r="E1" s="605"/>
      <c r="F1" s="605"/>
      <c r="G1" s="605"/>
      <c r="H1" s="605"/>
      <c r="I1" s="605"/>
      <c r="J1" s="605"/>
      <c r="K1" s="605"/>
      <c r="L1" s="605"/>
      <c r="M1" s="605"/>
      <c r="N1" s="605"/>
      <c r="O1" s="605"/>
    </row>
    <row r="2" spans="1:21" x14ac:dyDescent="0.25">
      <c r="A2" s="605" t="s">
        <v>1</v>
      </c>
      <c r="B2" s="605"/>
      <c r="C2" s="605"/>
      <c r="D2" s="605"/>
      <c r="E2" s="605"/>
      <c r="F2" s="605"/>
      <c r="G2" s="605"/>
      <c r="H2" s="605"/>
      <c r="I2" s="605"/>
      <c r="J2" s="605"/>
      <c r="K2" s="605"/>
      <c r="L2" s="605"/>
      <c r="M2" s="605"/>
      <c r="N2" s="605"/>
      <c r="O2" s="605"/>
    </row>
    <row r="3" spans="1:21" x14ac:dyDescent="0.25">
      <c r="A3" s="605" t="s">
        <v>2</v>
      </c>
      <c r="B3" s="605"/>
      <c r="C3" s="605"/>
      <c r="D3" s="605"/>
      <c r="E3" s="605"/>
      <c r="F3" s="605"/>
      <c r="G3" s="605"/>
      <c r="H3" s="605" t="s">
        <v>3</v>
      </c>
      <c r="I3" s="605"/>
      <c r="J3" s="605"/>
      <c r="K3" s="605"/>
      <c r="L3" s="605"/>
      <c r="M3" s="605"/>
      <c r="N3" s="605"/>
      <c r="O3" s="605"/>
    </row>
    <row r="4" spans="1:21" x14ac:dyDescent="0.25">
      <c r="A4" s="605">
        <v>2013</v>
      </c>
      <c r="B4" s="605"/>
      <c r="C4" s="605"/>
      <c r="D4" s="605"/>
      <c r="E4" s="605"/>
      <c r="F4" s="605"/>
      <c r="G4" s="605"/>
      <c r="H4" s="605"/>
      <c r="I4" s="605"/>
      <c r="J4" s="605"/>
      <c r="K4" s="605"/>
      <c r="L4" s="605"/>
      <c r="M4" s="605"/>
      <c r="N4" s="605"/>
      <c r="O4" s="605"/>
    </row>
    <row r="5" spans="1:21" x14ac:dyDescent="0.25">
      <c r="A5" s="2"/>
      <c r="B5" s="2"/>
      <c r="C5" s="2"/>
      <c r="D5" s="2"/>
      <c r="E5" s="2"/>
      <c r="F5" s="2"/>
      <c r="G5" s="2"/>
      <c r="H5" s="2"/>
      <c r="I5" s="2"/>
      <c r="J5" s="2"/>
      <c r="K5" s="2"/>
      <c r="L5" s="4"/>
      <c r="M5" s="5"/>
      <c r="N5" s="5"/>
      <c r="O5" s="5"/>
    </row>
    <row r="6" spans="1:21" x14ac:dyDescent="0.25">
      <c r="A6" s="7" t="s">
        <v>4</v>
      </c>
      <c r="B6" s="606" t="s">
        <v>1910</v>
      </c>
      <c r="C6" s="606"/>
      <c r="D6" s="606"/>
      <c r="E6" s="606"/>
      <c r="F6" s="606"/>
      <c r="G6" s="606"/>
      <c r="H6" s="606"/>
      <c r="I6" s="606"/>
      <c r="J6" s="606"/>
      <c r="K6" s="606"/>
      <c r="L6" s="606"/>
      <c r="M6" s="606"/>
      <c r="N6" s="606"/>
      <c r="O6" s="606"/>
    </row>
    <row r="7" spans="1:21"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9" t="s">
        <v>22</v>
      </c>
    </row>
    <row r="8" spans="1:21" ht="32.25" customHeight="1" x14ac:dyDescent="0.25">
      <c r="A8" s="618"/>
      <c r="B8" s="618"/>
      <c r="C8" s="618"/>
      <c r="D8" s="618"/>
      <c r="E8" s="618"/>
      <c r="F8" s="618"/>
      <c r="G8" s="618"/>
      <c r="H8" s="618"/>
      <c r="I8" s="622"/>
      <c r="J8" s="622"/>
      <c r="K8" s="618"/>
      <c r="L8" s="618"/>
      <c r="M8" s="618"/>
      <c r="N8" s="624"/>
      <c r="O8" s="624"/>
      <c r="P8" s="624"/>
      <c r="Q8" s="620"/>
    </row>
    <row r="9" spans="1:21" ht="409.5" x14ac:dyDescent="0.25">
      <c r="A9" s="10" t="s">
        <v>23</v>
      </c>
      <c r="B9" s="10" t="s">
        <v>136</v>
      </c>
      <c r="C9" s="10" t="s">
        <v>137</v>
      </c>
      <c r="D9" s="10">
        <v>211120000</v>
      </c>
      <c r="E9" s="10" t="s">
        <v>1911</v>
      </c>
      <c r="F9" s="50" t="s">
        <v>1912</v>
      </c>
      <c r="G9" s="10" t="s">
        <v>1913</v>
      </c>
      <c r="H9" s="10" t="s">
        <v>1914</v>
      </c>
      <c r="I9" s="39">
        <v>-100000000</v>
      </c>
      <c r="J9" s="135">
        <f>'[20]FORMATO FINANCIERO'!J9-'[20]FORMATO FINANCIERO'!H9</f>
        <v>-100000000</v>
      </c>
      <c r="K9" s="10" t="s">
        <v>1915</v>
      </c>
      <c r="L9" s="10">
        <v>40</v>
      </c>
      <c r="M9" s="10">
        <v>25</v>
      </c>
      <c r="N9" s="10"/>
      <c r="O9" s="10">
        <v>25</v>
      </c>
      <c r="P9" s="82">
        <v>35</v>
      </c>
      <c r="Q9" s="10" t="s">
        <v>1916</v>
      </c>
      <c r="R9" s="8"/>
      <c r="U9" s="9"/>
    </row>
  </sheetData>
  <sheetProtection algorithmName="SHA-512" hashValue="PaKKr31kYpwZXebMa2J1W9gBvTJUVfnj449s84rl4MNdgztUl5uMrrrh0Htcs7Hwb1w8YwegNcGoVoDkRIEf8Q==" saltValue="D9njcxwXCsaluduvq0Ry8A=="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75"/>
  <sheetViews>
    <sheetView showZeros="0" topLeftCell="P4" zoomScale="80" zoomScaleNormal="80" workbookViewId="0">
      <pane ySplit="5" topLeftCell="A9" activePane="bottomLeft" state="frozen"/>
      <selection activeCell="A4" sqref="A4"/>
      <selection pane="bottomLeft" activeCell="AB11" sqref="AB11"/>
    </sheetView>
  </sheetViews>
  <sheetFormatPr baseColWidth="10" defaultRowHeight="15" x14ac:dyDescent="0.25"/>
  <cols>
    <col min="1" max="1" width="11.7109375" style="1" customWidth="1"/>
    <col min="2" max="2" width="15.85546875" style="1" customWidth="1"/>
    <col min="3" max="3" width="18" style="1" customWidth="1"/>
    <col min="4" max="4" width="14" style="1" customWidth="1"/>
    <col min="5" max="5" width="12" style="1" customWidth="1"/>
    <col min="6" max="6" width="10.85546875" style="1" customWidth="1"/>
    <col min="7" max="7" width="14.85546875" style="1" customWidth="1"/>
    <col min="8" max="8" width="14.140625" style="1" customWidth="1"/>
    <col min="9" max="9" width="21.42578125" style="1" customWidth="1"/>
    <col min="10" max="10" width="27.140625" style="1" customWidth="1"/>
    <col min="11" max="11" width="14.140625" style="1" customWidth="1"/>
    <col min="12" max="12" width="23.85546875" style="1" customWidth="1"/>
    <col min="13" max="13" width="25.28515625" style="1" customWidth="1"/>
    <col min="14" max="14" width="16.28515625" style="1" customWidth="1"/>
    <col min="15" max="15" width="16.85546875" style="1" customWidth="1"/>
    <col min="16" max="16" width="17.42578125" style="1" customWidth="1"/>
    <col min="17" max="17" width="17.7109375" style="1" customWidth="1"/>
    <col min="18" max="18" width="13.5703125" style="1" customWidth="1"/>
    <col min="19" max="19" width="20.42578125" style="1" customWidth="1"/>
    <col min="20" max="20" width="20.7109375" style="1" customWidth="1"/>
    <col min="21" max="21" width="16.140625" style="1" customWidth="1"/>
    <col min="22" max="22" width="11.5703125" style="1" bestFit="1" customWidth="1"/>
    <col min="23" max="23" width="12.7109375" style="1" customWidth="1"/>
    <col min="24" max="24" width="13.140625" style="1" customWidth="1"/>
    <col min="25" max="25" width="11.7109375" style="1" customWidth="1"/>
    <col min="26" max="26" width="13.42578125" style="1" customWidth="1"/>
    <col min="27" max="27" width="11.5703125" style="1" bestFit="1" customWidth="1"/>
    <col min="28" max="28" width="17.5703125" style="1" customWidth="1"/>
    <col min="29" max="29" width="15" style="1" customWidth="1"/>
    <col min="30" max="30" width="32.28515625" style="1" customWidth="1"/>
    <col min="31" max="31" width="12" style="1" customWidth="1"/>
    <col min="32" max="32" width="14.42578125" style="1" bestFit="1" customWidth="1"/>
    <col min="33" max="33" width="9.5703125" style="1" customWidth="1"/>
    <col min="34" max="34" width="14.140625" style="1" customWidth="1"/>
    <col min="35" max="35" width="13.42578125" style="1" customWidth="1"/>
    <col min="36" max="36" width="7.85546875" style="1" customWidth="1"/>
    <col min="37" max="37" width="12.5703125" style="1" customWidth="1"/>
    <col min="38" max="38" width="14.5703125" style="1" customWidth="1"/>
    <col min="39" max="39" width="18" style="1" customWidth="1"/>
    <col min="40" max="40" width="10.42578125" style="1" customWidth="1"/>
    <col min="41" max="41" width="15.28515625" style="1" customWidth="1"/>
    <col min="42" max="42" width="19.140625" style="1" bestFit="1" customWidth="1"/>
    <col min="43" max="256" width="11.42578125" style="1"/>
    <col min="257" max="257" width="11.7109375" style="1" customWidth="1"/>
    <col min="258" max="258" width="15.85546875" style="1" customWidth="1"/>
    <col min="259" max="259" width="14.28515625" style="1" customWidth="1"/>
    <col min="260" max="260" width="14" style="1" customWidth="1"/>
    <col min="261" max="261" width="12" style="1" customWidth="1"/>
    <col min="262" max="262" width="10.85546875" style="1" customWidth="1"/>
    <col min="263" max="263" width="14.85546875" style="1" customWidth="1"/>
    <col min="264" max="264" width="14.140625" style="1" customWidth="1"/>
    <col min="265" max="265" width="30.28515625" style="1" customWidth="1"/>
    <col min="266" max="266" width="35.5703125" style="1" bestFit="1" customWidth="1"/>
    <col min="267" max="267" width="14.140625" style="1" customWidth="1"/>
    <col min="268" max="268" width="41" style="1" bestFit="1" customWidth="1"/>
    <col min="269" max="269" width="41.42578125" style="1" bestFit="1" customWidth="1"/>
    <col min="270" max="270" width="13" style="1" customWidth="1"/>
    <col min="271" max="272" width="13.140625" style="1" customWidth="1"/>
    <col min="273" max="273" width="13.7109375" style="1" customWidth="1"/>
    <col min="274" max="274" width="13.5703125" style="1" customWidth="1"/>
    <col min="275" max="275" width="14" style="1" customWidth="1"/>
    <col min="276" max="276" width="20.7109375" style="1" customWidth="1"/>
    <col min="277" max="277" width="11.7109375" style="1" customWidth="1"/>
    <col min="278" max="278" width="11.5703125" style="1" bestFit="1" customWidth="1"/>
    <col min="279" max="279" width="12.7109375" style="1" customWidth="1"/>
    <col min="280" max="280" width="13.140625" style="1" customWidth="1"/>
    <col min="281" max="281" width="11.7109375" style="1" customWidth="1"/>
    <col min="282" max="285" width="11.5703125" style="1" bestFit="1" customWidth="1"/>
    <col min="286" max="286" width="15.7109375" style="1" customWidth="1"/>
    <col min="287" max="287" width="7.5703125" style="1" customWidth="1"/>
    <col min="288" max="288" width="14.42578125" style="1" bestFit="1" customWidth="1"/>
    <col min="289" max="289" width="24" style="1" bestFit="1" customWidth="1"/>
    <col min="290" max="290" width="13.7109375" style="1" customWidth="1"/>
    <col min="291" max="291" width="10.5703125" style="1" customWidth="1"/>
    <col min="292" max="292" width="11.85546875" style="1" customWidth="1"/>
    <col min="293" max="293" width="11.140625" style="1" customWidth="1"/>
    <col min="294" max="294" width="9" style="1" customWidth="1"/>
    <col min="295" max="295" width="25.85546875" style="1" bestFit="1" customWidth="1"/>
    <col min="296" max="296" width="10.42578125" style="1" customWidth="1"/>
    <col min="297" max="297" width="12.28515625" style="1" customWidth="1"/>
    <col min="298" max="298" width="12.140625" style="1" customWidth="1"/>
    <col min="299" max="512" width="11.42578125" style="1"/>
    <col min="513" max="513" width="11.7109375" style="1" customWidth="1"/>
    <col min="514" max="514" width="15.85546875" style="1" customWidth="1"/>
    <col min="515" max="515" width="14.28515625" style="1" customWidth="1"/>
    <col min="516" max="516" width="14" style="1" customWidth="1"/>
    <col min="517" max="517" width="12" style="1" customWidth="1"/>
    <col min="518" max="518" width="10.85546875" style="1" customWidth="1"/>
    <col min="519" max="519" width="14.85546875" style="1" customWidth="1"/>
    <col min="520" max="520" width="14.140625" style="1" customWidth="1"/>
    <col min="521" max="521" width="30.28515625" style="1" customWidth="1"/>
    <col min="522" max="522" width="35.5703125" style="1" bestFit="1" customWidth="1"/>
    <col min="523" max="523" width="14.140625" style="1" customWidth="1"/>
    <col min="524" max="524" width="41" style="1" bestFit="1" customWidth="1"/>
    <col min="525" max="525" width="41.42578125" style="1" bestFit="1" customWidth="1"/>
    <col min="526" max="526" width="13" style="1" customWidth="1"/>
    <col min="527" max="528" width="13.140625" style="1" customWidth="1"/>
    <col min="529" max="529" width="13.7109375" style="1" customWidth="1"/>
    <col min="530" max="530" width="13.5703125" style="1" customWidth="1"/>
    <col min="531" max="531" width="14" style="1" customWidth="1"/>
    <col min="532" max="532" width="20.7109375" style="1" customWidth="1"/>
    <col min="533" max="533" width="11.7109375" style="1" customWidth="1"/>
    <col min="534" max="534" width="11.5703125" style="1" bestFit="1" customWidth="1"/>
    <col min="535" max="535" width="12.7109375" style="1" customWidth="1"/>
    <col min="536" max="536" width="13.140625" style="1" customWidth="1"/>
    <col min="537" max="537" width="11.7109375" style="1" customWidth="1"/>
    <col min="538" max="541" width="11.5703125" style="1" bestFit="1" customWidth="1"/>
    <col min="542" max="542" width="15.7109375" style="1" customWidth="1"/>
    <col min="543" max="543" width="7.5703125" style="1" customWidth="1"/>
    <col min="544" max="544" width="14.42578125" style="1" bestFit="1" customWidth="1"/>
    <col min="545" max="545" width="24" style="1" bestFit="1" customWidth="1"/>
    <col min="546" max="546" width="13.7109375" style="1" customWidth="1"/>
    <col min="547" max="547" width="10.5703125" style="1" customWidth="1"/>
    <col min="548" max="548" width="11.85546875" style="1" customWidth="1"/>
    <col min="549" max="549" width="11.140625" style="1" customWidth="1"/>
    <col min="550" max="550" width="9" style="1" customWidth="1"/>
    <col min="551" max="551" width="25.85546875" style="1" bestFit="1" customWidth="1"/>
    <col min="552" max="552" width="10.42578125" style="1" customWidth="1"/>
    <col min="553" max="553" width="12.28515625" style="1" customWidth="1"/>
    <col min="554" max="554" width="12.140625" style="1" customWidth="1"/>
    <col min="555" max="768" width="11.42578125" style="1"/>
    <col min="769" max="769" width="11.7109375" style="1" customWidth="1"/>
    <col min="770" max="770" width="15.85546875" style="1" customWidth="1"/>
    <col min="771" max="771" width="14.28515625" style="1" customWidth="1"/>
    <col min="772" max="772" width="14" style="1" customWidth="1"/>
    <col min="773" max="773" width="12" style="1" customWidth="1"/>
    <col min="774" max="774" width="10.85546875" style="1" customWidth="1"/>
    <col min="775" max="775" width="14.85546875" style="1" customWidth="1"/>
    <col min="776" max="776" width="14.140625" style="1" customWidth="1"/>
    <col min="777" max="777" width="30.28515625" style="1" customWidth="1"/>
    <col min="778" max="778" width="35.5703125" style="1" bestFit="1" customWidth="1"/>
    <col min="779" max="779" width="14.140625" style="1" customWidth="1"/>
    <col min="780" max="780" width="41" style="1" bestFit="1" customWidth="1"/>
    <col min="781" max="781" width="41.42578125" style="1" bestFit="1" customWidth="1"/>
    <col min="782" max="782" width="13" style="1" customWidth="1"/>
    <col min="783" max="784" width="13.140625" style="1" customWidth="1"/>
    <col min="785" max="785" width="13.7109375" style="1" customWidth="1"/>
    <col min="786" max="786" width="13.5703125" style="1" customWidth="1"/>
    <col min="787" max="787" width="14" style="1" customWidth="1"/>
    <col min="788" max="788" width="20.7109375" style="1" customWidth="1"/>
    <col min="789" max="789" width="11.7109375" style="1" customWidth="1"/>
    <col min="790" max="790" width="11.5703125" style="1" bestFit="1" customWidth="1"/>
    <col min="791" max="791" width="12.7109375" style="1" customWidth="1"/>
    <col min="792" max="792" width="13.140625" style="1" customWidth="1"/>
    <col min="793" max="793" width="11.7109375" style="1" customWidth="1"/>
    <col min="794" max="797" width="11.5703125" style="1" bestFit="1" customWidth="1"/>
    <col min="798" max="798" width="15.7109375" style="1" customWidth="1"/>
    <col min="799" max="799" width="7.5703125" style="1" customWidth="1"/>
    <col min="800" max="800" width="14.42578125" style="1" bestFit="1" customWidth="1"/>
    <col min="801" max="801" width="24" style="1" bestFit="1" customWidth="1"/>
    <col min="802" max="802" width="13.7109375" style="1" customWidth="1"/>
    <col min="803" max="803" width="10.5703125" style="1" customWidth="1"/>
    <col min="804" max="804" width="11.85546875" style="1" customWidth="1"/>
    <col min="805" max="805" width="11.140625" style="1" customWidth="1"/>
    <col min="806" max="806" width="9" style="1" customWidth="1"/>
    <col min="807" max="807" width="25.85546875" style="1" bestFit="1" customWidth="1"/>
    <col min="808" max="808" width="10.42578125" style="1" customWidth="1"/>
    <col min="809" max="809" width="12.28515625" style="1" customWidth="1"/>
    <col min="810" max="810" width="12.140625" style="1" customWidth="1"/>
    <col min="811" max="1024" width="11.42578125" style="1"/>
    <col min="1025" max="1025" width="11.7109375" style="1" customWidth="1"/>
    <col min="1026" max="1026" width="15.85546875" style="1" customWidth="1"/>
    <col min="1027" max="1027" width="14.28515625" style="1" customWidth="1"/>
    <col min="1028" max="1028" width="14" style="1" customWidth="1"/>
    <col min="1029" max="1029" width="12" style="1" customWidth="1"/>
    <col min="1030" max="1030" width="10.85546875" style="1" customWidth="1"/>
    <col min="1031" max="1031" width="14.85546875" style="1" customWidth="1"/>
    <col min="1032" max="1032" width="14.140625" style="1" customWidth="1"/>
    <col min="1033" max="1033" width="30.28515625" style="1" customWidth="1"/>
    <col min="1034" max="1034" width="35.5703125" style="1" bestFit="1" customWidth="1"/>
    <col min="1035" max="1035" width="14.140625" style="1" customWidth="1"/>
    <col min="1036" max="1036" width="41" style="1" bestFit="1" customWidth="1"/>
    <col min="1037" max="1037" width="41.42578125" style="1" bestFit="1" customWidth="1"/>
    <col min="1038" max="1038" width="13" style="1" customWidth="1"/>
    <col min="1039" max="1040" width="13.140625" style="1" customWidth="1"/>
    <col min="1041" max="1041" width="13.7109375" style="1" customWidth="1"/>
    <col min="1042" max="1042" width="13.5703125" style="1" customWidth="1"/>
    <col min="1043" max="1043" width="14" style="1" customWidth="1"/>
    <col min="1044" max="1044" width="20.7109375" style="1" customWidth="1"/>
    <col min="1045" max="1045" width="11.7109375" style="1" customWidth="1"/>
    <col min="1046" max="1046" width="11.5703125" style="1" bestFit="1" customWidth="1"/>
    <col min="1047" max="1047" width="12.7109375" style="1" customWidth="1"/>
    <col min="1048" max="1048" width="13.140625" style="1" customWidth="1"/>
    <col min="1049" max="1049" width="11.7109375" style="1" customWidth="1"/>
    <col min="1050" max="1053" width="11.5703125" style="1" bestFit="1" customWidth="1"/>
    <col min="1054" max="1054" width="15.7109375" style="1" customWidth="1"/>
    <col min="1055" max="1055" width="7.5703125" style="1" customWidth="1"/>
    <col min="1056" max="1056" width="14.42578125" style="1" bestFit="1" customWidth="1"/>
    <col min="1057" max="1057" width="24" style="1" bestFit="1" customWidth="1"/>
    <col min="1058" max="1058" width="13.7109375" style="1" customWidth="1"/>
    <col min="1059" max="1059" width="10.5703125" style="1" customWidth="1"/>
    <col min="1060" max="1060" width="11.85546875" style="1" customWidth="1"/>
    <col min="1061" max="1061" width="11.140625" style="1" customWidth="1"/>
    <col min="1062" max="1062" width="9" style="1" customWidth="1"/>
    <col min="1063" max="1063" width="25.85546875" style="1" bestFit="1" customWidth="1"/>
    <col min="1064" max="1064" width="10.42578125" style="1" customWidth="1"/>
    <col min="1065" max="1065" width="12.28515625" style="1" customWidth="1"/>
    <col min="1066" max="1066" width="12.140625" style="1" customWidth="1"/>
    <col min="1067" max="1280" width="11.42578125" style="1"/>
    <col min="1281" max="1281" width="11.7109375" style="1" customWidth="1"/>
    <col min="1282" max="1282" width="15.85546875" style="1" customWidth="1"/>
    <col min="1283" max="1283" width="14.28515625" style="1" customWidth="1"/>
    <col min="1284" max="1284" width="14" style="1" customWidth="1"/>
    <col min="1285" max="1285" width="12" style="1" customWidth="1"/>
    <col min="1286" max="1286" width="10.85546875" style="1" customWidth="1"/>
    <col min="1287" max="1287" width="14.85546875" style="1" customWidth="1"/>
    <col min="1288" max="1288" width="14.140625" style="1" customWidth="1"/>
    <col min="1289" max="1289" width="30.28515625" style="1" customWidth="1"/>
    <col min="1290" max="1290" width="35.5703125" style="1" bestFit="1" customWidth="1"/>
    <col min="1291" max="1291" width="14.140625" style="1" customWidth="1"/>
    <col min="1292" max="1292" width="41" style="1" bestFit="1" customWidth="1"/>
    <col min="1293" max="1293" width="41.42578125" style="1" bestFit="1" customWidth="1"/>
    <col min="1294" max="1294" width="13" style="1" customWidth="1"/>
    <col min="1295" max="1296" width="13.140625" style="1" customWidth="1"/>
    <col min="1297" max="1297" width="13.7109375" style="1" customWidth="1"/>
    <col min="1298" max="1298" width="13.5703125" style="1" customWidth="1"/>
    <col min="1299" max="1299" width="14" style="1" customWidth="1"/>
    <col min="1300" max="1300" width="20.7109375" style="1" customWidth="1"/>
    <col min="1301" max="1301" width="11.7109375" style="1" customWidth="1"/>
    <col min="1302" max="1302" width="11.5703125" style="1" bestFit="1" customWidth="1"/>
    <col min="1303" max="1303" width="12.7109375" style="1" customWidth="1"/>
    <col min="1304" max="1304" width="13.140625" style="1" customWidth="1"/>
    <col min="1305" max="1305" width="11.7109375" style="1" customWidth="1"/>
    <col min="1306" max="1309" width="11.5703125" style="1" bestFit="1" customWidth="1"/>
    <col min="1310" max="1310" width="15.7109375" style="1" customWidth="1"/>
    <col min="1311" max="1311" width="7.5703125" style="1" customWidth="1"/>
    <col min="1312" max="1312" width="14.42578125" style="1" bestFit="1" customWidth="1"/>
    <col min="1313" max="1313" width="24" style="1" bestFit="1" customWidth="1"/>
    <col min="1314" max="1314" width="13.7109375" style="1" customWidth="1"/>
    <col min="1315" max="1315" width="10.5703125" style="1" customWidth="1"/>
    <col min="1316" max="1316" width="11.85546875" style="1" customWidth="1"/>
    <col min="1317" max="1317" width="11.140625" style="1" customWidth="1"/>
    <col min="1318" max="1318" width="9" style="1" customWidth="1"/>
    <col min="1319" max="1319" width="25.85546875" style="1" bestFit="1" customWidth="1"/>
    <col min="1320" max="1320" width="10.42578125" style="1" customWidth="1"/>
    <col min="1321" max="1321" width="12.28515625" style="1" customWidth="1"/>
    <col min="1322" max="1322" width="12.140625" style="1" customWidth="1"/>
    <col min="1323" max="1536" width="11.42578125" style="1"/>
    <col min="1537" max="1537" width="11.7109375" style="1" customWidth="1"/>
    <col min="1538" max="1538" width="15.85546875" style="1" customWidth="1"/>
    <col min="1539" max="1539" width="14.28515625" style="1" customWidth="1"/>
    <col min="1540" max="1540" width="14" style="1" customWidth="1"/>
    <col min="1541" max="1541" width="12" style="1" customWidth="1"/>
    <col min="1542" max="1542" width="10.85546875" style="1" customWidth="1"/>
    <col min="1543" max="1543" width="14.85546875" style="1" customWidth="1"/>
    <col min="1544" max="1544" width="14.140625" style="1" customWidth="1"/>
    <col min="1545" max="1545" width="30.28515625" style="1" customWidth="1"/>
    <col min="1546" max="1546" width="35.5703125" style="1" bestFit="1" customWidth="1"/>
    <col min="1547" max="1547" width="14.140625" style="1" customWidth="1"/>
    <col min="1548" max="1548" width="41" style="1" bestFit="1" customWidth="1"/>
    <col min="1549" max="1549" width="41.42578125" style="1" bestFit="1" customWidth="1"/>
    <col min="1550" max="1550" width="13" style="1" customWidth="1"/>
    <col min="1551" max="1552" width="13.140625" style="1" customWidth="1"/>
    <col min="1553" max="1553" width="13.7109375" style="1" customWidth="1"/>
    <col min="1554" max="1554" width="13.5703125" style="1" customWidth="1"/>
    <col min="1555" max="1555" width="14" style="1" customWidth="1"/>
    <col min="1556" max="1556" width="20.7109375" style="1" customWidth="1"/>
    <col min="1557" max="1557" width="11.7109375" style="1" customWidth="1"/>
    <col min="1558" max="1558" width="11.5703125" style="1" bestFit="1" customWidth="1"/>
    <col min="1559" max="1559" width="12.7109375" style="1" customWidth="1"/>
    <col min="1560" max="1560" width="13.140625" style="1" customWidth="1"/>
    <col min="1561" max="1561" width="11.7109375" style="1" customWidth="1"/>
    <col min="1562" max="1565" width="11.5703125" style="1" bestFit="1" customWidth="1"/>
    <col min="1566" max="1566" width="15.7109375" style="1" customWidth="1"/>
    <col min="1567" max="1567" width="7.5703125" style="1" customWidth="1"/>
    <col min="1568" max="1568" width="14.42578125" style="1" bestFit="1" customWidth="1"/>
    <col min="1569" max="1569" width="24" style="1" bestFit="1" customWidth="1"/>
    <col min="1570" max="1570" width="13.7109375" style="1" customWidth="1"/>
    <col min="1571" max="1571" width="10.5703125" style="1" customWidth="1"/>
    <col min="1572" max="1572" width="11.85546875" style="1" customWidth="1"/>
    <col min="1573" max="1573" width="11.140625" style="1" customWidth="1"/>
    <col min="1574" max="1574" width="9" style="1" customWidth="1"/>
    <col min="1575" max="1575" width="25.85546875" style="1" bestFit="1" customWidth="1"/>
    <col min="1576" max="1576" width="10.42578125" style="1" customWidth="1"/>
    <col min="1577" max="1577" width="12.28515625" style="1" customWidth="1"/>
    <col min="1578" max="1578" width="12.140625" style="1" customWidth="1"/>
    <col min="1579" max="1792" width="11.42578125" style="1"/>
    <col min="1793" max="1793" width="11.7109375" style="1" customWidth="1"/>
    <col min="1794" max="1794" width="15.85546875" style="1" customWidth="1"/>
    <col min="1795" max="1795" width="14.28515625" style="1" customWidth="1"/>
    <col min="1796" max="1796" width="14" style="1" customWidth="1"/>
    <col min="1797" max="1797" width="12" style="1" customWidth="1"/>
    <col min="1798" max="1798" width="10.85546875" style="1" customWidth="1"/>
    <col min="1799" max="1799" width="14.85546875" style="1" customWidth="1"/>
    <col min="1800" max="1800" width="14.140625" style="1" customWidth="1"/>
    <col min="1801" max="1801" width="30.28515625" style="1" customWidth="1"/>
    <col min="1802" max="1802" width="35.5703125" style="1" bestFit="1" customWidth="1"/>
    <col min="1803" max="1803" width="14.140625" style="1" customWidth="1"/>
    <col min="1804" max="1804" width="41" style="1" bestFit="1" customWidth="1"/>
    <col min="1805" max="1805" width="41.42578125" style="1" bestFit="1" customWidth="1"/>
    <col min="1806" max="1806" width="13" style="1" customWidth="1"/>
    <col min="1807" max="1808" width="13.140625" style="1" customWidth="1"/>
    <col min="1809" max="1809" width="13.7109375" style="1" customWidth="1"/>
    <col min="1810" max="1810" width="13.5703125" style="1" customWidth="1"/>
    <col min="1811" max="1811" width="14" style="1" customWidth="1"/>
    <col min="1812" max="1812" width="20.7109375" style="1" customWidth="1"/>
    <col min="1813" max="1813" width="11.7109375" style="1" customWidth="1"/>
    <col min="1814" max="1814" width="11.5703125" style="1" bestFit="1" customWidth="1"/>
    <col min="1815" max="1815" width="12.7109375" style="1" customWidth="1"/>
    <col min="1816" max="1816" width="13.140625" style="1" customWidth="1"/>
    <col min="1817" max="1817" width="11.7109375" style="1" customWidth="1"/>
    <col min="1818" max="1821" width="11.5703125" style="1" bestFit="1" customWidth="1"/>
    <col min="1822" max="1822" width="15.7109375" style="1" customWidth="1"/>
    <col min="1823" max="1823" width="7.5703125" style="1" customWidth="1"/>
    <col min="1824" max="1824" width="14.42578125" style="1" bestFit="1" customWidth="1"/>
    <col min="1825" max="1825" width="24" style="1" bestFit="1" customWidth="1"/>
    <col min="1826" max="1826" width="13.7109375" style="1" customWidth="1"/>
    <col min="1827" max="1827" width="10.5703125" style="1" customWidth="1"/>
    <col min="1828" max="1828" width="11.85546875" style="1" customWidth="1"/>
    <col min="1829" max="1829" width="11.140625" style="1" customWidth="1"/>
    <col min="1830" max="1830" width="9" style="1" customWidth="1"/>
    <col min="1831" max="1831" width="25.85546875" style="1" bestFit="1" customWidth="1"/>
    <col min="1832" max="1832" width="10.42578125" style="1" customWidth="1"/>
    <col min="1833" max="1833" width="12.28515625" style="1" customWidth="1"/>
    <col min="1834" max="1834" width="12.140625" style="1" customWidth="1"/>
    <col min="1835" max="2048" width="11.42578125" style="1"/>
    <col min="2049" max="2049" width="11.7109375" style="1" customWidth="1"/>
    <col min="2050" max="2050" width="15.85546875" style="1" customWidth="1"/>
    <col min="2051" max="2051" width="14.28515625" style="1" customWidth="1"/>
    <col min="2052" max="2052" width="14" style="1" customWidth="1"/>
    <col min="2053" max="2053" width="12" style="1" customWidth="1"/>
    <col min="2054" max="2054" width="10.85546875" style="1" customWidth="1"/>
    <col min="2055" max="2055" width="14.85546875" style="1" customWidth="1"/>
    <col min="2056" max="2056" width="14.140625" style="1" customWidth="1"/>
    <col min="2057" max="2057" width="30.28515625" style="1" customWidth="1"/>
    <col min="2058" max="2058" width="35.5703125" style="1" bestFit="1" customWidth="1"/>
    <col min="2059" max="2059" width="14.140625" style="1" customWidth="1"/>
    <col min="2060" max="2060" width="41" style="1" bestFit="1" customWidth="1"/>
    <col min="2061" max="2061" width="41.42578125" style="1" bestFit="1" customWidth="1"/>
    <col min="2062" max="2062" width="13" style="1" customWidth="1"/>
    <col min="2063" max="2064" width="13.140625" style="1" customWidth="1"/>
    <col min="2065" max="2065" width="13.7109375" style="1" customWidth="1"/>
    <col min="2066" max="2066" width="13.5703125" style="1" customWidth="1"/>
    <col min="2067" max="2067" width="14" style="1" customWidth="1"/>
    <col min="2068" max="2068" width="20.7109375" style="1" customWidth="1"/>
    <col min="2069" max="2069" width="11.7109375" style="1" customWidth="1"/>
    <col min="2070" max="2070" width="11.5703125" style="1" bestFit="1" customWidth="1"/>
    <col min="2071" max="2071" width="12.7109375" style="1" customWidth="1"/>
    <col min="2072" max="2072" width="13.140625" style="1" customWidth="1"/>
    <col min="2073" max="2073" width="11.7109375" style="1" customWidth="1"/>
    <col min="2074" max="2077" width="11.5703125" style="1" bestFit="1" customWidth="1"/>
    <col min="2078" max="2078" width="15.7109375" style="1" customWidth="1"/>
    <col min="2079" max="2079" width="7.5703125" style="1" customWidth="1"/>
    <col min="2080" max="2080" width="14.42578125" style="1" bestFit="1" customWidth="1"/>
    <col min="2081" max="2081" width="24" style="1" bestFit="1" customWidth="1"/>
    <col min="2082" max="2082" width="13.7109375" style="1" customWidth="1"/>
    <col min="2083" max="2083" width="10.5703125" style="1" customWidth="1"/>
    <col min="2084" max="2084" width="11.85546875" style="1" customWidth="1"/>
    <col min="2085" max="2085" width="11.140625" style="1" customWidth="1"/>
    <col min="2086" max="2086" width="9" style="1" customWidth="1"/>
    <col min="2087" max="2087" width="25.85546875" style="1" bestFit="1" customWidth="1"/>
    <col min="2088" max="2088" width="10.42578125" style="1" customWidth="1"/>
    <col min="2089" max="2089" width="12.28515625" style="1" customWidth="1"/>
    <col min="2090" max="2090" width="12.140625" style="1" customWidth="1"/>
    <col min="2091" max="2304" width="11.42578125" style="1"/>
    <col min="2305" max="2305" width="11.7109375" style="1" customWidth="1"/>
    <col min="2306" max="2306" width="15.85546875" style="1" customWidth="1"/>
    <col min="2307" max="2307" width="14.28515625" style="1" customWidth="1"/>
    <col min="2308" max="2308" width="14" style="1" customWidth="1"/>
    <col min="2309" max="2309" width="12" style="1" customWidth="1"/>
    <col min="2310" max="2310" width="10.85546875" style="1" customWidth="1"/>
    <col min="2311" max="2311" width="14.85546875" style="1" customWidth="1"/>
    <col min="2312" max="2312" width="14.140625" style="1" customWidth="1"/>
    <col min="2313" max="2313" width="30.28515625" style="1" customWidth="1"/>
    <col min="2314" max="2314" width="35.5703125" style="1" bestFit="1" customWidth="1"/>
    <col min="2315" max="2315" width="14.140625" style="1" customWidth="1"/>
    <col min="2316" max="2316" width="41" style="1" bestFit="1" customWidth="1"/>
    <col min="2317" max="2317" width="41.42578125" style="1" bestFit="1" customWidth="1"/>
    <col min="2318" max="2318" width="13" style="1" customWidth="1"/>
    <col min="2319" max="2320" width="13.140625" style="1" customWidth="1"/>
    <col min="2321" max="2321" width="13.7109375" style="1" customWidth="1"/>
    <col min="2322" max="2322" width="13.5703125" style="1" customWidth="1"/>
    <col min="2323" max="2323" width="14" style="1" customWidth="1"/>
    <col min="2324" max="2324" width="20.7109375" style="1" customWidth="1"/>
    <col min="2325" max="2325" width="11.7109375" style="1" customWidth="1"/>
    <col min="2326" max="2326" width="11.5703125" style="1" bestFit="1" customWidth="1"/>
    <col min="2327" max="2327" width="12.7109375" style="1" customWidth="1"/>
    <col min="2328" max="2328" width="13.140625" style="1" customWidth="1"/>
    <col min="2329" max="2329" width="11.7109375" style="1" customWidth="1"/>
    <col min="2330" max="2333" width="11.5703125" style="1" bestFit="1" customWidth="1"/>
    <col min="2334" max="2334" width="15.7109375" style="1" customWidth="1"/>
    <col min="2335" max="2335" width="7.5703125" style="1" customWidth="1"/>
    <col min="2336" max="2336" width="14.42578125" style="1" bestFit="1" customWidth="1"/>
    <col min="2337" max="2337" width="24" style="1" bestFit="1" customWidth="1"/>
    <col min="2338" max="2338" width="13.7109375" style="1" customWidth="1"/>
    <col min="2339" max="2339" width="10.5703125" style="1" customWidth="1"/>
    <col min="2340" max="2340" width="11.85546875" style="1" customWidth="1"/>
    <col min="2341" max="2341" width="11.140625" style="1" customWidth="1"/>
    <col min="2342" max="2342" width="9" style="1" customWidth="1"/>
    <col min="2343" max="2343" width="25.85546875" style="1" bestFit="1" customWidth="1"/>
    <col min="2344" max="2344" width="10.42578125" style="1" customWidth="1"/>
    <col min="2345" max="2345" width="12.28515625" style="1" customWidth="1"/>
    <col min="2346" max="2346" width="12.140625" style="1" customWidth="1"/>
    <col min="2347" max="2560" width="11.42578125" style="1"/>
    <col min="2561" max="2561" width="11.7109375" style="1" customWidth="1"/>
    <col min="2562" max="2562" width="15.85546875" style="1" customWidth="1"/>
    <col min="2563" max="2563" width="14.28515625" style="1" customWidth="1"/>
    <col min="2564" max="2564" width="14" style="1" customWidth="1"/>
    <col min="2565" max="2565" width="12" style="1" customWidth="1"/>
    <col min="2566" max="2566" width="10.85546875" style="1" customWidth="1"/>
    <col min="2567" max="2567" width="14.85546875" style="1" customWidth="1"/>
    <col min="2568" max="2568" width="14.140625" style="1" customWidth="1"/>
    <col min="2569" max="2569" width="30.28515625" style="1" customWidth="1"/>
    <col min="2570" max="2570" width="35.5703125" style="1" bestFit="1" customWidth="1"/>
    <col min="2571" max="2571" width="14.140625" style="1" customWidth="1"/>
    <col min="2572" max="2572" width="41" style="1" bestFit="1" customWidth="1"/>
    <col min="2573" max="2573" width="41.42578125" style="1" bestFit="1" customWidth="1"/>
    <col min="2574" max="2574" width="13" style="1" customWidth="1"/>
    <col min="2575" max="2576" width="13.140625" style="1" customWidth="1"/>
    <col min="2577" max="2577" width="13.7109375" style="1" customWidth="1"/>
    <col min="2578" max="2578" width="13.5703125" style="1" customWidth="1"/>
    <col min="2579" max="2579" width="14" style="1" customWidth="1"/>
    <col min="2580" max="2580" width="20.7109375" style="1" customWidth="1"/>
    <col min="2581" max="2581" width="11.7109375" style="1" customWidth="1"/>
    <col min="2582" max="2582" width="11.5703125" style="1" bestFit="1" customWidth="1"/>
    <col min="2583" max="2583" width="12.7109375" style="1" customWidth="1"/>
    <col min="2584" max="2584" width="13.140625" style="1" customWidth="1"/>
    <col min="2585" max="2585" width="11.7109375" style="1" customWidth="1"/>
    <col min="2586" max="2589" width="11.5703125" style="1" bestFit="1" customWidth="1"/>
    <col min="2590" max="2590" width="15.7109375" style="1" customWidth="1"/>
    <col min="2591" max="2591" width="7.5703125" style="1" customWidth="1"/>
    <col min="2592" max="2592" width="14.42578125" style="1" bestFit="1" customWidth="1"/>
    <col min="2593" max="2593" width="24" style="1" bestFit="1" customWidth="1"/>
    <col min="2594" max="2594" width="13.7109375" style="1" customWidth="1"/>
    <col min="2595" max="2595" width="10.5703125" style="1" customWidth="1"/>
    <col min="2596" max="2596" width="11.85546875" style="1" customWidth="1"/>
    <col min="2597" max="2597" width="11.140625" style="1" customWidth="1"/>
    <col min="2598" max="2598" width="9" style="1" customWidth="1"/>
    <col min="2599" max="2599" width="25.85546875" style="1" bestFit="1" customWidth="1"/>
    <col min="2600" max="2600" width="10.42578125" style="1" customWidth="1"/>
    <col min="2601" max="2601" width="12.28515625" style="1" customWidth="1"/>
    <col min="2602" max="2602" width="12.140625" style="1" customWidth="1"/>
    <col min="2603" max="2816" width="11.42578125" style="1"/>
    <col min="2817" max="2817" width="11.7109375" style="1" customWidth="1"/>
    <col min="2818" max="2818" width="15.85546875" style="1" customWidth="1"/>
    <col min="2819" max="2819" width="14.28515625" style="1" customWidth="1"/>
    <col min="2820" max="2820" width="14" style="1" customWidth="1"/>
    <col min="2821" max="2821" width="12" style="1" customWidth="1"/>
    <col min="2822" max="2822" width="10.85546875" style="1" customWidth="1"/>
    <col min="2823" max="2823" width="14.85546875" style="1" customWidth="1"/>
    <col min="2824" max="2824" width="14.140625" style="1" customWidth="1"/>
    <col min="2825" max="2825" width="30.28515625" style="1" customWidth="1"/>
    <col min="2826" max="2826" width="35.5703125" style="1" bestFit="1" customWidth="1"/>
    <col min="2827" max="2827" width="14.140625" style="1" customWidth="1"/>
    <col min="2828" max="2828" width="41" style="1" bestFit="1" customWidth="1"/>
    <col min="2829" max="2829" width="41.42578125" style="1" bestFit="1" customWidth="1"/>
    <col min="2830" max="2830" width="13" style="1" customWidth="1"/>
    <col min="2831" max="2832" width="13.140625" style="1" customWidth="1"/>
    <col min="2833" max="2833" width="13.7109375" style="1" customWidth="1"/>
    <col min="2834" max="2834" width="13.5703125" style="1" customWidth="1"/>
    <col min="2835" max="2835" width="14" style="1" customWidth="1"/>
    <col min="2836" max="2836" width="20.7109375" style="1" customWidth="1"/>
    <col min="2837" max="2837" width="11.7109375" style="1" customWidth="1"/>
    <col min="2838" max="2838" width="11.5703125" style="1" bestFit="1" customWidth="1"/>
    <col min="2839" max="2839" width="12.7109375" style="1" customWidth="1"/>
    <col min="2840" max="2840" width="13.140625" style="1" customWidth="1"/>
    <col min="2841" max="2841" width="11.7109375" style="1" customWidth="1"/>
    <col min="2842" max="2845" width="11.5703125" style="1" bestFit="1" customWidth="1"/>
    <col min="2846" max="2846" width="15.7109375" style="1" customWidth="1"/>
    <col min="2847" max="2847" width="7.5703125" style="1" customWidth="1"/>
    <col min="2848" max="2848" width="14.42578125" style="1" bestFit="1" customWidth="1"/>
    <col min="2849" max="2849" width="24" style="1" bestFit="1" customWidth="1"/>
    <col min="2850" max="2850" width="13.7109375" style="1" customWidth="1"/>
    <col min="2851" max="2851" width="10.5703125" style="1" customWidth="1"/>
    <col min="2852" max="2852" width="11.85546875" style="1" customWidth="1"/>
    <col min="2853" max="2853" width="11.140625" style="1" customWidth="1"/>
    <col min="2854" max="2854" width="9" style="1" customWidth="1"/>
    <col min="2855" max="2855" width="25.85546875" style="1" bestFit="1" customWidth="1"/>
    <col min="2856" max="2856" width="10.42578125" style="1" customWidth="1"/>
    <col min="2857" max="2857" width="12.28515625" style="1" customWidth="1"/>
    <col min="2858" max="2858" width="12.140625" style="1" customWidth="1"/>
    <col min="2859" max="3072" width="11.42578125" style="1"/>
    <col min="3073" max="3073" width="11.7109375" style="1" customWidth="1"/>
    <col min="3074" max="3074" width="15.85546875" style="1" customWidth="1"/>
    <col min="3075" max="3075" width="14.28515625" style="1" customWidth="1"/>
    <col min="3076" max="3076" width="14" style="1" customWidth="1"/>
    <col min="3077" max="3077" width="12" style="1" customWidth="1"/>
    <col min="3078" max="3078" width="10.85546875" style="1" customWidth="1"/>
    <col min="3079" max="3079" width="14.85546875" style="1" customWidth="1"/>
    <col min="3080" max="3080" width="14.140625" style="1" customWidth="1"/>
    <col min="3081" max="3081" width="30.28515625" style="1" customWidth="1"/>
    <col min="3082" max="3082" width="35.5703125" style="1" bestFit="1" customWidth="1"/>
    <col min="3083" max="3083" width="14.140625" style="1" customWidth="1"/>
    <col min="3084" max="3084" width="41" style="1" bestFit="1" customWidth="1"/>
    <col min="3085" max="3085" width="41.42578125" style="1" bestFit="1" customWidth="1"/>
    <col min="3086" max="3086" width="13" style="1" customWidth="1"/>
    <col min="3087" max="3088" width="13.140625" style="1" customWidth="1"/>
    <col min="3089" max="3089" width="13.7109375" style="1" customWidth="1"/>
    <col min="3090" max="3090" width="13.5703125" style="1" customWidth="1"/>
    <col min="3091" max="3091" width="14" style="1" customWidth="1"/>
    <col min="3092" max="3092" width="20.7109375" style="1" customWidth="1"/>
    <col min="3093" max="3093" width="11.7109375" style="1" customWidth="1"/>
    <col min="3094" max="3094" width="11.5703125" style="1" bestFit="1" customWidth="1"/>
    <col min="3095" max="3095" width="12.7109375" style="1" customWidth="1"/>
    <col min="3096" max="3096" width="13.140625" style="1" customWidth="1"/>
    <col min="3097" max="3097" width="11.7109375" style="1" customWidth="1"/>
    <col min="3098" max="3101" width="11.5703125" style="1" bestFit="1" customWidth="1"/>
    <col min="3102" max="3102" width="15.7109375" style="1" customWidth="1"/>
    <col min="3103" max="3103" width="7.5703125" style="1" customWidth="1"/>
    <col min="3104" max="3104" width="14.42578125" style="1" bestFit="1" customWidth="1"/>
    <col min="3105" max="3105" width="24" style="1" bestFit="1" customWidth="1"/>
    <col min="3106" max="3106" width="13.7109375" style="1" customWidth="1"/>
    <col min="3107" max="3107" width="10.5703125" style="1" customWidth="1"/>
    <col min="3108" max="3108" width="11.85546875" style="1" customWidth="1"/>
    <col min="3109" max="3109" width="11.140625" style="1" customWidth="1"/>
    <col min="3110" max="3110" width="9" style="1" customWidth="1"/>
    <col min="3111" max="3111" width="25.85546875" style="1" bestFit="1" customWidth="1"/>
    <col min="3112" max="3112" width="10.42578125" style="1" customWidth="1"/>
    <col min="3113" max="3113" width="12.28515625" style="1" customWidth="1"/>
    <col min="3114" max="3114" width="12.140625" style="1" customWidth="1"/>
    <col min="3115" max="3328" width="11.42578125" style="1"/>
    <col min="3329" max="3329" width="11.7109375" style="1" customWidth="1"/>
    <col min="3330" max="3330" width="15.85546875" style="1" customWidth="1"/>
    <col min="3331" max="3331" width="14.28515625" style="1" customWidth="1"/>
    <col min="3332" max="3332" width="14" style="1" customWidth="1"/>
    <col min="3333" max="3333" width="12" style="1" customWidth="1"/>
    <col min="3334" max="3334" width="10.85546875" style="1" customWidth="1"/>
    <col min="3335" max="3335" width="14.85546875" style="1" customWidth="1"/>
    <col min="3336" max="3336" width="14.140625" style="1" customWidth="1"/>
    <col min="3337" max="3337" width="30.28515625" style="1" customWidth="1"/>
    <col min="3338" max="3338" width="35.5703125" style="1" bestFit="1" customWidth="1"/>
    <col min="3339" max="3339" width="14.140625" style="1" customWidth="1"/>
    <col min="3340" max="3340" width="41" style="1" bestFit="1" customWidth="1"/>
    <col min="3341" max="3341" width="41.42578125" style="1" bestFit="1" customWidth="1"/>
    <col min="3342" max="3342" width="13" style="1" customWidth="1"/>
    <col min="3343" max="3344" width="13.140625" style="1" customWidth="1"/>
    <col min="3345" max="3345" width="13.7109375" style="1" customWidth="1"/>
    <col min="3346" max="3346" width="13.5703125" style="1" customWidth="1"/>
    <col min="3347" max="3347" width="14" style="1" customWidth="1"/>
    <col min="3348" max="3348" width="20.7109375" style="1" customWidth="1"/>
    <col min="3349" max="3349" width="11.7109375" style="1" customWidth="1"/>
    <col min="3350" max="3350" width="11.5703125" style="1" bestFit="1" customWidth="1"/>
    <col min="3351" max="3351" width="12.7109375" style="1" customWidth="1"/>
    <col min="3352" max="3352" width="13.140625" style="1" customWidth="1"/>
    <col min="3353" max="3353" width="11.7109375" style="1" customWidth="1"/>
    <col min="3354" max="3357" width="11.5703125" style="1" bestFit="1" customWidth="1"/>
    <col min="3358" max="3358" width="15.7109375" style="1" customWidth="1"/>
    <col min="3359" max="3359" width="7.5703125" style="1" customWidth="1"/>
    <col min="3360" max="3360" width="14.42578125" style="1" bestFit="1" customWidth="1"/>
    <col min="3361" max="3361" width="24" style="1" bestFit="1" customWidth="1"/>
    <col min="3362" max="3362" width="13.7109375" style="1" customWidth="1"/>
    <col min="3363" max="3363" width="10.5703125" style="1" customWidth="1"/>
    <col min="3364" max="3364" width="11.85546875" style="1" customWidth="1"/>
    <col min="3365" max="3365" width="11.140625" style="1" customWidth="1"/>
    <col min="3366" max="3366" width="9" style="1" customWidth="1"/>
    <col min="3367" max="3367" width="25.85546875" style="1" bestFit="1" customWidth="1"/>
    <col min="3368" max="3368" width="10.42578125" style="1" customWidth="1"/>
    <col min="3369" max="3369" width="12.28515625" style="1" customWidth="1"/>
    <col min="3370" max="3370" width="12.140625" style="1" customWidth="1"/>
    <col min="3371" max="3584" width="11.42578125" style="1"/>
    <col min="3585" max="3585" width="11.7109375" style="1" customWidth="1"/>
    <col min="3586" max="3586" width="15.85546875" style="1" customWidth="1"/>
    <col min="3587" max="3587" width="14.28515625" style="1" customWidth="1"/>
    <col min="3588" max="3588" width="14" style="1" customWidth="1"/>
    <col min="3589" max="3589" width="12" style="1" customWidth="1"/>
    <col min="3590" max="3590" width="10.85546875" style="1" customWidth="1"/>
    <col min="3591" max="3591" width="14.85546875" style="1" customWidth="1"/>
    <col min="3592" max="3592" width="14.140625" style="1" customWidth="1"/>
    <col min="3593" max="3593" width="30.28515625" style="1" customWidth="1"/>
    <col min="3594" max="3594" width="35.5703125" style="1" bestFit="1" customWidth="1"/>
    <col min="3595" max="3595" width="14.140625" style="1" customWidth="1"/>
    <col min="3596" max="3596" width="41" style="1" bestFit="1" customWidth="1"/>
    <col min="3597" max="3597" width="41.42578125" style="1" bestFit="1" customWidth="1"/>
    <col min="3598" max="3598" width="13" style="1" customWidth="1"/>
    <col min="3599" max="3600" width="13.140625" style="1" customWidth="1"/>
    <col min="3601" max="3601" width="13.7109375" style="1" customWidth="1"/>
    <col min="3602" max="3602" width="13.5703125" style="1" customWidth="1"/>
    <col min="3603" max="3603" width="14" style="1" customWidth="1"/>
    <col min="3604" max="3604" width="20.7109375" style="1" customWidth="1"/>
    <col min="3605" max="3605" width="11.7109375" style="1" customWidth="1"/>
    <col min="3606" max="3606" width="11.5703125" style="1" bestFit="1" customWidth="1"/>
    <col min="3607" max="3607" width="12.7109375" style="1" customWidth="1"/>
    <col min="3608" max="3608" width="13.140625" style="1" customWidth="1"/>
    <col min="3609" max="3609" width="11.7109375" style="1" customWidth="1"/>
    <col min="3610" max="3613" width="11.5703125" style="1" bestFit="1" customWidth="1"/>
    <col min="3614" max="3614" width="15.7109375" style="1" customWidth="1"/>
    <col min="3615" max="3615" width="7.5703125" style="1" customWidth="1"/>
    <col min="3616" max="3616" width="14.42578125" style="1" bestFit="1" customWidth="1"/>
    <col min="3617" max="3617" width="24" style="1" bestFit="1" customWidth="1"/>
    <col min="3618" max="3618" width="13.7109375" style="1" customWidth="1"/>
    <col min="3619" max="3619" width="10.5703125" style="1" customWidth="1"/>
    <col min="3620" max="3620" width="11.85546875" style="1" customWidth="1"/>
    <col min="3621" max="3621" width="11.140625" style="1" customWidth="1"/>
    <col min="3622" max="3622" width="9" style="1" customWidth="1"/>
    <col min="3623" max="3623" width="25.85546875" style="1" bestFit="1" customWidth="1"/>
    <col min="3624" max="3624" width="10.42578125" style="1" customWidth="1"/>
    <col min="3625" max="3625" width="12.28515625" style="1" customWidth="1"/>
    <col min="3626" max="3626" width="12.140625" style="1" customWidth="1"/>
    <col min="3627" max="3840" width="11.42578125" style="1"/>
    <col min="3841" max="3841" width="11.7109375" style="1" customWidth="1"/>
    <col min="3842" max="3842" width="15.85546875" style="1" customWidth="1"/>
    <col min="3843" max="3843" width="14.28515625" style="1" customWidth="1"/>
    <col min="3844" max="3844" width="14" style="1" customWidth="1"/>
    <col min="3845" max="3845" width="12" style="1" customWidth="1"/>
    <col min="3846" max="3846" width="10.85546875" style="1" customWidth="1"/>
    <col min="3847" max="3847" width="14.85546875" style="1" customWidth="1"/>
    <col min="3848" max="3848" width="14.140625" style="1" customWidth="1"/>
    <col min="3849" max="3849" width="30.28515625" style="1" customWidth="1"/>
    <col min="3850" max="3850" width="35.5703125" style="1" bestFit="1" customWidth="1"/>
    <col min="3851" max="3851" width="14.140625" style="1" customWidth="1"/>
    <col min="3852" max="3852" width="41" style="1" bestFit="1" customWidth="1"/>
    <col min="3853" max="3853" width="41.42578125" style="1" bestFit="1" customWidth="1"/>
    <col min="3854" max="3854" width="13" style="1" customWidth="1"/>
    <col min="3855" max="3856" width="13.140625" style="1" customWidth="1"/>
    <col min="3857" max="3857" width="13.7109375" style="1" customWidth="1"/>
    <col min="3858" max="3858" width="13.5703125" style="1" customWidth="1"/>
    <col min="3859" max="3859" width="14" style="1" customWidth="1"/>
    <col min="3860" max="3860" width="20.7109375" style="1" customWidth="1"/>
    <col min="3861" max="3861" width="11.7109375" style="1" customWidth="1"/>
    <col min="3862" max="3862" width="11.5703125" style="1" bestFit="1" customWidth="1"/>
    <col min="3863" max="3863" width="12.7109375" style="1" customWidth="1"/>
    <col min="3864" max="3864" width="13.140625" style="1" customWidth="1"/>
    <col min="3865" max="3865" width="11.7109375" style="1" customWidth="1"/>
    <col min="3866" max="3869" width="11.5703125" style="1" bestFit="1" customWidth="1"/>
    <col min="3870" max="3870" width="15.7109375" style="1" customWidth="1"/>
    <col min="3871" max="3871" width="7.5703125" style="1" customWidth="1"/>
    <col min="3872" max="3872" width="14.42578125" style="1" bestFit="1" customWidth="1"/>
    <col min="3873" max="3873" width="24" style="1" bestFit="1" customWidth="1"/>
    <col min="3874" max="3874" width="13.7109375" style="1" customWidth="1"/>
    <col min="3875" max="3875" width="10.5703125" style="1" customWidth="1"/>
    <col min="3876" max="3876" width="11.85546875" style="1" customWidth="1"/>
    <col min="3877" max="3877" width="11.140625" style="1" customWidth="1"/>
    <col min="3878" max="3878" width="9" style="1" customWidth="1"/>
    <col min="3879" max="3879" width="25.85546875" style="1" bestFit="1" customWidth="1"/>
    <col min="3880" max="3880" width="10.42578125" style="1" customWidth="1"/>
    <col min="3881" max="3881" width="12.28515625" style="1" customWidth="1"/>
    <col min="3882" max="3882" width="12.140625" style="1" customWidth="1"/>
    <col min="3883" max="4096" width="11.42578125" style="1"/>
    <col min="4097" max="4097" width="11.7109375" style="1" customWidth="1"/>
    <col min="4098" max="4098" width="15.85546875" style="1" customWidth="1"/>
    <col min="4099" max="4099" width="14.28515625" style="1" customWidth="1"/>
    <col min="4100" max="4100" width="14" style="1" customWidth="1"/>
    <col min="4101" max="4101" width="12" style="1" customWidth="1"/>
    <col min="4102" max="4102" width="10.85546875" style="1" customWidth="1"/>
    <col min="4103" max="4103" width="14.85546875" style="1" customWidth="1"/>
    <col min="4104" max="4104" width="14.140625" style="1" customWidth="1"/>
    <col min="4105" max="4105" width="30.28515625" style="1" customWidth="1"/>
    <col min="4106" max="4106" width="35.5703125" style="1" bestFit="1" customWidth="1"/>
    <col min="4107" max="4107" width="14.140625" style="1" customWidth="1"/>
    <col min="4108" max="4108" width="41" style="1" bestFit="1" customWidth="1"/>
    <col min="4109" max="4109" width="41.42578125" style="1" bestFit="1" customWidth="1"/>
    <col min="4110" max="4110" width="13" style="1" customWidth="1"/>
    <col min="4111" max="4112" width="13.140625" style="1" customWidth="1"/>
    <col min="4113" max="4113" width="13.7109375" style="1" customWidth="1"/>
    <col min="4114" max="4114" width="13.5703125" style="1" customWidth="1"/>
    <col min="4115" max="4115" width="14" style="1" customWidth="1"/>
    <col min="4116" max="4116" width="20.7109375" style="1" customWidth="1"/>
    <col min="4117" max="4117" width="11.7109375" style="1" customWidth="1"/>
    <col min="4118" max="4118" width="11.5703125" style="1" bestFit="1" customWidth="1"/>
    <col min="4119" max="4119" width="12.7109375" style="1" customWidth="1"/>
    <col min="4120" max="4120" width="13.140625" style="1" customWidth="1"/>
    <col min="4121" max="4121" width="11.7109375" style="1" customWidth="1"/>
    <col min="4122" max="4125" width="11.5703125" style="1" bestFit="1" customWidth="1"/>
    <col min="4126" max="4126" width="15.7109375" style="1" customWidth="1"/>
    <col min="4127" max="4127" width="7.5703125" style="1" customWidth="1"/>
    <col min="4128" max="4128" width="14.42578125" style="1" bestFit="1" customWidth="1"/>
    <col min="4129" max="4129" width="24" style="1" bestFit="1" customWidth="1"/>
    <col min="4130" max="4130" width="13.7109375" style="1" customWidth="1"/>
    <col min="4131" max="4131" width="10.5703125" style="1" customWidth="1"/>
    <col min="4132" max="4132" width="11.85546875" style="1" customWidth="1"/>
    <col min="4133" max="4133" width="11.140625" style="1" customWidth="1"/>
    <col min="4134" max="4134" width="9" style="1" customWidth="1"/>
    <col min="4135" max="4135" width="25.85546875" style="1" bestFit="1" customWidth="1"/>
    <col min="4136" max="4136" width="10.42578125" style="1" customWidth="1"/>
    <col min="4137" max="4137" width="12.28515625" style="1" customWidth="1"/>
    <col min="4138" max="4138" width="12.140625" style="1" customWidth="1"/>
    <col min="4139" max="4352" width="11.42578125" style="1"/>
    <col min="4353" max="4353" width="11.7109375" style="1" customWidth="1"/>
    <col min="4354" max="4354" width="15.85546875" style="1" customWidth="1"/>
    <col min="4355" max="4355" width="14.28515625" style="1" customWidth="1"/>
    <col min="4356" max="4356" width="14" style="1" customWidth="1"/>
    <col min="4357" max="4357" width="12" style="1" customWidth="1"/>
    <col min="4358" max="4358" width="10.85546875" style="1" customWidth="1"/>
    <col min="4359" max="4359" width="14.85546875" style="1" customWidth="1"/>
    <col min="4360" max="4360" width="14.140625" style="1" customWidth="1"/>
    <col min="4361" max="4361" width="30.28515625" style="1" customWidth="1"/>
    <col min="4362" max="4362" width="35.5703125" style="1" bestFit="1" customWidth="1"/>
    <col min="4363" max="4363" width="14.140625" style="1" customWidth="1"/>
    <col min="4364" max="4364" width="41" style="1" bestFit="1" customWidth="1"/>
    <col min="4365" max="4365" width="41.42578125" style="1" bestFit="1" customWidth="1"/>
    <col min="4366" max="4366" width="13" style="1" customWidth="1"/>
    <col min="4367" max="4368" width="13.140625" style="1" customWidth="1"/>
    <col min="4369" max="4369" width="13.7109375" style="1" customWidth="1"/>
    <col min="4370" max="4370" width="13.5703125" style="1" customWidth="1"/>
    <col min="4371" max="4371" width="14" style="1" customWidth="1"/>
    <col min="4372" max="4372" width="20.7109375" style="1" customWidth="1"/>
    <col min="4373" max="4373" width="11.7109375" style="1" customWidth="1"/>
    <col min="4374" max="4374" width="11.5703125" style="1" bestFit="1" customWidth="1"/>
    <col min="4375" max="4375" width="12.7109375" style="1" customWidth="1"/>
    <col min="4376" max="4376" width="13.140625" style="1" customWidth="1"/>
    <col min="4377" max="4377" width="11.7109375" style="1" customWidth="1"/>
    <col min="4378" max="4381" width="11.5703125" style="1" bestFit="1" customWidth="1"/>
    <col min="4382" max="4382" width="15.7109375" style="1" customWidth="1"/>
    <col min="4383" max="4383" width="7.5703125" style="1" customWidth="1"/>
    <col min="4384" max="4384" width="14.42578125" style="1" bestFit="1" customWidth="1"/>
    <col min="4385" max="4385" width="24" style="1" bestFit="1" customWidth="1"/>
    <col min="4386" max="4386" width="13.7109375" style="1" customWidth="1"/>
    <col min="4387" max="4387" width="10.5703125" style="1" customWidth="1"/>
    <col min="4388" max="4388" width="11.85546875" style="1" customWidth="1"/>
    <col min="4389" max="4389" width="11.140625" style="1" customWidth="1"/>
    <col min="4390" max="4390" width="9" style="1" customWidth="1"/>
    <col min="4391" max="4391" width="25.85546875" style="1" bestFit="1" customWidth="1"/>
    <col min="4392" max="4392" width="10.42578125" style="1" customWidth="1"/>
    <col min="4393" max="4393" width="12.28515625" style="1" customWidth="1"/>
    <col min="4394" max="4394" width="12.140625" style="1" customWidth="1"/>
    <col min="4395" max="4608" width="11.42578125" style="1"/>
    <col min="4609" max="4609" width="11.7109375" style="1" customWidth="1"/>
    <col min="4610" max="4610" width="15.85546875" style="1" customWidth="1"/>
    <col min="4611" max="4611" width="14.28515625" style="1" customWidth="1"/>
    <col min="4612" max="4612" width="14" style="1" customWidth="1"/>
    <col min="4613" max="4613" width="12" style="1" customWidth="1"/>
    <col min="4614" max="4614" width="10.85546875" style="1" customWidth="1"/>
    <col min="4615" max="4615" width="14.85546875" style="1" customWidth="1"/>
    <col min="4616" max="4616" width="14.140625" style="1" customWidth="1"/>
    <col min="4617" max="4617" width="30.28515625" style="1" customWidth="1"/>
    <col min="4618" max="4618" width="35.5703125" style="1" bestFit="1" customWidth="1"/>
    <col min="4619" max="4619" width="14.140625" style="1" customWidth="1"/>
    <col min="4620" max="4620" width="41" style="1" bestFit="1" customWidth="1"/>
    <col min="4621" max="4621" width="41.42578125" style="1" bestFit="1" customWidth="1"/>
    <col min="4622" max="4622" width="13" style="1" customWidth="1"/>
    <col min="4623" max="4624" width="13.140625" style="1" customWidth="1"/>
    <col min="4625" max="4625" width="13.7109375" style="1" customWidth="1"/>
    <col min="4626" max="4626" width="13.5703125" style="1" customWidth="1"/>
    <col min="4627" max="4627" width="14" style="1" customWidth="1"/>
    <col min="4628" max="4628" width="20.7109375" style="1" customWidth="1"/>
    <col min="4629" max="4629" width="11.7109375" style="1" customWidth="1"/>
    <col min="4630" max="4630" width="11.5703125" style="1" bestFit="1" customWidth="1"/>
    <col min="4631" max="4631" width="12.7109375" style="1" customWidth="1"/>
    <col min="4632" max="4632" width="13.140625" style="1" customWidth="1"/>
    <col min="4633" max="4633" width="11.7109375" style="1" customWidth="1"/>
    <col min="4634" max="4637" width="11.5703125" style="1" bestFit="1" customWidth="1"/>
    <col min="4638" max="4638" width="15.7109375" style="1" customWidth="1"/>
    <col min="4639" max="4639" width="7.5703125" style="1" customWidth="1"/>
    <col min="4640" max="4640" width="14.42578125" style="1" bestFit="1" customWidth="1"/>
    <col min="4641" max="4641" width="24" style="1" bestFit="1" customWidth="1"/>
    <col min="4642" max="4642" width="13.7109375" style="1" customWidth="1"/>
    <col min="4643" max="4643" width="10.5703125" style="1" customWidth="1"/>
    <col min="4644" max="4644" width="11.85546875" style="1" customWidth="1"/>
    <col min="4645" max="4645" width="11.140625" style="1" customWidth="1"/>
    <col min="4646" max="4646" width="9" style="1" customWidth="1"/>
    <col min="4647" max="4647" width="25.85546875" style="1" bestFit="1" customWidth="1"/>
    <col min="4648" max="4648" width="10.42578125" style="1" customWidth="1"/>
    <col min="4649" max="4649" width="12.28515625" style="1" customWidth="1"/>
    <col min="4650" max="4650" width="12.140625" style="1" customWidth="1"/>
    <col min="4651" max="4864" width="11.42578125" style="1"/>
    <col min="4865" max="4865" width="11.7109375" style="1" customWidth="1"/>
    <col min="4866" max="4866" width="15.85546875" style="1" customWidth="1"/>
    <col min="4867" max="4867" width="14.28515625" style="1" customWidth="1"/>
    <col min="4868" max="4868" width="14" style="1" customWidth="1"/>
    <col min="4869" max="4869" width="12" style="1" customWidth="1"/>
    <col min="4870" max="4870" width="10.85546875" style="1" customWidth="1"/>
    <col min="4871" max="4871" width="14.85546875" style="1" customWidth="1"/>
    <col min="4872" max="4872" width="14.140625" style="1" customWidth="1"/>
    <col min="4873" max="4873" width="30.28515625" style="1" customWidth="1"/>
    <col min="4874" max="4874" width="35.5703125" style="1" bestFit="1" customWidth="1"/>
    <col min="4875" max="4875" width="14.140625" style="1" customWidth="1"/>
    <col min="4876" max="4876" width="41" style="1" bestFit="1" customWidth="1"/>
    <col min="4877" max="4877" width="41.42578125" style="1" bestFit="1" customWidth="1"/>
    <col min="4878" max="4878" width="13" style="1" customWidth="1"/>
    <col min="4879" max="4880" width="13.140625" style="1" customWidth="1"/>
    <col min="4881" max="4881" width="13.7109375" style="1" customWidth="1"/>
    <col min="4882" max="4882" width="13.5703125" style="1" customWidth="1"/>
    <col min="4883" max="4883" width="14" style="1" customWidth="1"/>
    <col min="4884" max="4884" width="20.7109375" style="1" customWidth="1"/>
    <col min="4885" max="4885" width="11.7109375" style="1" customWidth="1"/>
    <col min="4886" max="4886" width="11.5703125" style="1" bestFit="1" customWidth="1"/>
    <col min="4887" max="4887" width="12.7109375" style="1" customWidth="1"/>
    <col min="4888" max="4888" width="13.140625" style="1" customWidth="1"/>
    <col min="4889" max="4889" width="11.7109375" style="1" customWidth="1"/>
    <col min="4890" max="4893" width="11.5703125" style="1" bestFit="1" customWidth="1"/>
    <col min="4894" max="4894" width="15.7109375" style="1" customWidth="1"/>
    <col min="4895" max="4895" width="7.5703125" style="1" customWidth="1"/>
    <col min="4896" max="4896" width="14.42578125" style="1" bestFit="1" customWidth="1"/>
    <col min="4897" max="4897" width="24" style="1" bestFit="1" customWidth="1"/>
    <col min="4898" max="4898" width="13.7109375" style="1" customWidth="1"/>
    <col min="4899" max="4899" width="10.5703125" style="1" customWidth="1"/>
    <col min="4900" max="4900" width="11.85546875" style="1" customWidth="1"/>
    <col min="4901" max="4901" width="11.140625" style="1" customWidth="1"/>
    <col min="4902" max="4902" width="9" style="1" customWidth="1"/>
    <col min="4903" max="4903" width="25.85546875" style="1" bestFit="1" customWidth="1"/>
    <col min="4904" max="4904" width="10.42578125" style="1" customWidth="1"/>
    <col min="4905" max="4905" width="12.28515625" style="1" customWidth="1"/>
    <col min="4906" max="4906" width="12.140625" style="1" customWidth="1"/>
    <col min="4907" max="5120" width="11.42578125" style="1"/>
    <col min="5121" max="5121" width="11.7109375" style="1" customWidth="1"/>
    <col min="5122" max="5122" width="15.85546875" style="1" customWidth="1"/>
    <col min="5123" max="5123" width="14.28515625" style="1" customWidth="1"/>
    <col min="5124" max="5124" width="14" style="1" customWidth="1"/>
    <col min="5125" max="5125" width="12" style="1" customWidth="1"/>
    <col min="5126" max="5126" width="10.85546875" style="1" customWidth="1"/>
    <col min="5127" max="5127" width="14.85546875" style="1" customWidth="1"/>
    <col min="5128" max="5128" width="14.140625" style="1" customWidth="1"/>
    <col min="5129" max="5129" width="30.28515625" style="1" customWidth="1"/>
    <col min="5130" max="5130" width="35.5703125" style="1" bestFit="1" customWidth="1"/>
    <col min="5131" max="5131" width="14.140625" style="1" customWidth="1"/>
    <col min="5132" max="5132" width="41" style="1" bestFit="1" customWidth="1"/>
    <col min="5133" max="5133" width="41.42578125" style="1" bestFit="1" customWidth="1"/>
    <col min="5134" max="5134" width="13" style="1" customWidth="1"/>
    <col min="5135" max="5136" width="13.140625" style="1" customWidth="1"/>
    <col min="5137" max="5137" width="13.7109375" style="1" customWidth="1"/>
    <col min="5138" max="5138" width="13.5703125" style="1" customWidth="1"/>
    <col min="5139" max="5139" width="14" style="1" customWidth="1"/>
    <col min="5140" max="5140" width="20.7109375" style="1" customWidth="1"/>
    <col min="5141" max="5141" width="11.7109375" style="1" customWidth="1"/>
    <col min="5142" max="5142" width="11.5703125" style="1" bestFit="1" customWidth="1"/>
    <col min="5143" max="5143" width="12.7109375" style="1" customWidth="1"/>
    <col min="5144" max="5144" width="13.140625" style="1" customWidth="1"/>
    <col min="5145" max="5145" width="11.7109375" style="1" customWidth="1"/>
    <col min="5146" max="5149" width="11.5703125" style="1" bestFit="1" customWidth="1"/>
    <col min="5150" max="5150" width="15.7109375" style="1" customWidth="1"/>
    <col min="5151" max="5151" width="7.5703125" style="1" customWidth="1"/>
    <col min="5152" max="5152" width="14.42578125" style="1" bestFit="1" customWidth="1"/>
    <col min="5153" max="5153" width="24" style="1" bestFit="1" customWidth="1"/>
    <col min="5154" max="5154" width="13.7109375" style="1" customWidth="1"/>
    <col min="5155" max="5155" width="10.5703125" style="1" customWidth="1"/>
    <col min="5156" max="5156" width="11.85546875" style="1" customWidth="1"/>
    <col min="5157" max="5157" width="11.140625" style="1" customWidth="1"/>
    <col min="5158" max="5158" width="9" style="1" customWidth="1"/>
    <col min="5159" max="5159" width="25.85546875" style="1" bestFit="1" customWidth="1"/>
    <col min="5160" max="5160" width="10.42578125" style="1" customWidth="1"/>
    <col min="5161" max="5161" width="12.28515625" style="1" customWidth="1"/>
    <col min="5162" max="5162" width="12.140625" style="1" customWidth="1"/>
    <col min="5163" max="5376" width="11.42578125" style="1"/>
    <col min="5377" max="5377" width="11.7109375" style="1" customWidth="1"/>
    <col min="5378" max="5378" width="15.85546875" style="1" customWidth="1"/>
    <col min="5379" max="5379" width="14.28515625" style="1" customWidth="1"/>
    <col min="5380" max="5380" width="14" style="1" customWidth="1"/>
    <col min="5381" max="5381" width="12" style="1" customWidth="1"/>
    <col min="5382" max="5382" width="10.85546875" style="1" customWidth="1"/>
    <col min="5383" max="5383" width="14.85546875" style="1" customWidth="1"/>
    <col min="5384" max="5384" width="14.140625" style="1" customWidth="1"/>
    <col min="5385" max="5385" width="30.28515625" style="1" customWidth="1"/>
    <col min="5386" max="5386" width="35.5703125" style="1" bestFit="1" customWidth="1"/>
    <col min="5387" max="5387" width="14.140625" style="1" customWidth="1"/>
    <col min="5388" max="5388" width="41" style="1" bestFit="1" customWidth="1"/>
    <col min="5389" max="5389" width="41.42578125" style="1" bestFit="1" customWidth="1"/>
    <col min="5390" max="5390" width="13" style="1" customWidth="1"/>
    <col min="5391" max="5392" width="13.140625" style="1" customWidth="1"/>
    <col min="5393" max="5393" width="13.7109375" style="1" customWidth="1"/>
    <col min="5394" max="5394" width="13.5703125" style="1" customWidth="1"/>
    <col min="5395" max="5395" width="14" style="1" customWidth="1"/>
    <col min="5396" max="5396" width="20.7109375" style="1" customWidth="1"/>
    <col min="5397" max="5397" width="11.7109375" style="1" customWidth="1"/>
    <col min="5398" max="5398" width="11.5703125" style="1" bestFit="1" customWidth="1"/>
    <col min="5399" max="5399" width="12.7109375" style="1" customWidth="1"/>
    <col min="5400" max="5400" width="13.140625" style="1" customWidth="1"/>
    <col min="5401" max="5401" width="11.7109375" style="1" customWidth="1"/>
    <col min="5402" max="5405" width="11.5703125" style="1" bestFit="1" customWidth="1"/>
    <col min="5406" max="5406" width="15.7109375" style="1" customWidth="1"/>
    <col min="5407" max="5407" width="7.5703125" style="1" customWidth="1"/>
    <col min="5408" max="5408" width="14.42578125" style="1" bestFit="1" customWidth="1"/>
    <col min="5409" max="5409" width="24" style="1" bestFit="1" customWidth="1"/>
    <col min="5410" max="5410" width="13.7109375" style="1" customWidth="1"/>
    <col min="5411" max="5411" width="10.5703125" style="1" customWidth="1"/>
    <col min="5412" max="5412" width="11.85546875" style="1" customWidth="1"/>
    <col min="5413" max="5413" width="11.140625" style="1" customWidth="1"/>
    <col min="5414" max="5414" width="9" style="1" customWidth="1"/>
    <col min="5415" max="5415" width="25.85546875" style="1" bestFit="1" customWidth="1"/>
    <col min="5416" max="5416" width="10.42578125" style="1" customWidth="1"/>
    <col min="5417" max="5417" width="12.28515625" style="1" customWidth="1"/>
    <col min="5418" max="5418" width="12.140625" style="1" customWidth="1"/>
    <col min="5419" max="5632" width="11.42578125" style="1"/>
    <col min="5633" max="5633" width="11.7109375" style="1" customWidth="1"/>
    <col min="5634" max="5634" width="15.85546875" style="1" customWidth="1"/>
    <col min="5635" max="5635" width="14.28515625" style="1" customWidth="1"/>
    <col min="5636" max="5636" width="14" style="1" customWidth="1"/>
    <col min="5637" max="5637" width="12" style="1" customWidth="1"/>
    <col min="5638" max="5638" width="10.85546875" style="1" customWidth="1"/>
    <col min="5639" max="5639" width="14.85546875" style="1" customWidth="1"/>
    <col min="5640" max="5640" width="14.140625" style="1" customWidth="1"/>
    <col min="5641" max="5641" width="30.28515625" style="1" customWidth="1"/>
    <col min="5642" max="5642" width="35.5703125" style="1" bestFit="1" customWidth="1"/>
    <col min="5643" max="5643" width="14.140625" style="1" customWidth="1"/>
    <col min="5644" max="5644" width="41" style="1" bestFit="1" customWidth="1"/>
    <col min="5645" max="5645" width="41.42578125" style="1" bestFit="1" customWidth="1"/>
    <col min="5646" max="5646" width="13" style="1" customWidth="1"/>
    <col min="5647" max="5648" width="13.140625" style="1" customWidth="1"/>
    <col min="5649" max="5649" width="13.7109375" style="1" customWidth="1"/>
    <col min="5650" max="5650" width="13.5703125" style="1" customWidth="1"/>
    <col min="5651" max="5651" width="14" style="1" customWidth="1"/>
    <col min="5652" max="5652" width="20.7109375" style="1" customWidth="1"/>
    <col min="5653" max="5653" width="11.7109375" style="1" customWidth="1"/>
    <col min="5654" max="5654" width="11.5703125" style="1" bestFit="1" customWidth="1"/>
    <col min="5655" max="5655" width="12.7109375" style="1" customWidth="1"/>
    <col min="5656" max="5656" width="13.140625" style="1" customWidth="1"/>
    <col min="5657" max="5657" width="11.7109375" style="1" customWidth="1"/>
    <col min="5658" max="5661" width="11.5703125" style="1" bestFit="1" customWidth="1"/>
    <col min="5662" max="5662" width="15.7109375" style="1" customWidth="1"/>
    <col min="5663" max="5663" width="7.5703125" style="1" customWidth="1"/>
    <col min="5664" max="5664" width="14.42578125" style="1" bestFit="1" customWidth="1"/>
    <col min="5665" max="5665" width="24" style="1" bestFit="1" customWidth="1"/>
    <col min="5666" max="5666" width="13.7109375" style="1" customWidth="1"/>
    <col min="5667" max="5667" width="10.5703125" style="1" customWidth="1"/>
    <col min="5668" max="5668" width="11.85546875" style="1" customWidth="1"/>
    <col min="5669" max="5669" width="11.140625" style="1" customWidth="1"/>
    <col min="5670" max="5670" width="9" style="1" customWidth="1"/>
    <col min="5671" max="5671" width="25.85546875" style="1" bestFit="1" customWidth="1"/>
    <col min="5672" max="5672" width="10.42578125" style="1" customWidth="1"/>
    <col min="5673" max="5673" width="12.28515625" style="1" customWidth="1"/>
    <col min="5674" max="5674" width="12.140625" style="1" customWidth="1"/>
    <col min="5675" max="5888" width="11.42578125" style="1"/>
    <col min="5889" max="5889" width="11.7109375" style="1" customWidth="1"/>
    <col min="5890" max="5890" width="15.85546875" style="1" customWidth="1"/>
    <col min="5891" max="5891" width="14.28515625" style="1" customWidth="1"/>
    <col min="5892" max="5892" width="14" style="1" customWidth="1"/>
    <col min="5893" max="5893" width="12" style="1" customWidth="1"/>
    <col min="5894" max="5894" width="10.85546875" style="1" customWidth="1"/>
    <col min="5895" max="5895" width="14.85546875" style="1" customWidth="1"/>
    <col min="5896" max="5896" width="14.140625" style="1" customWidth="1"/>
    <col min="5897" max="5897" width="30.28515625" style="1" customWidth="1"/>
    <col min="5898" max="5898" width="35.5703125" style="1" bestFit="1" customWidth="1"/>
    <col min="5899" max="5899" width="14.140625" style="1" customWidth="1"/>
    <col min="5900" max="5900" width="41" style="1" bestFit="1" customWidth="1"/>
    <col min="5901" max="5901" width="41.42578125" style="1" bestFit="1" customWidth="1"/>
    <col min="5902" max="5902" width="13" style="1" customWidth="1"/>
    <col min="5903" max="5904" width="13.140625" style="1" customWidth="1"/>
    <col min="5905" max="5905" width="13.7109375" style="1" customWidth="1"/>
    <col min="5906" max="5906" width="13.5703125" style="1" customWidth="1"/>
    <col min="5907" max="5907" width="14" style="1" customWidth="1"/>
    <col min="5908" max="5908" width="20.7109375" style="1" customWidth="1"/>
    <col min="5909" max="5909" width="11.7109375" style="1" customWidth="1"/>
    <col min="5910" max="5910" width="11.5703125" style="1" bestFit="1" customWidth="1"/>
    <col min="5911" max="5911" width="12.7109375" style="1" customWidth="1"/>
    <col min="5912" max="5912" width="13.140625" style="1" customWidth="1"/>
    <col min="5913" max="5913" width="11.7109375" style="1" customWidth="1"/>
    <col min="5914" max="5917" width="11.5703125" style="1" bestFit="1" customWidth="1"/>
    <col min="5918" max="5918" width="15.7109375" style="1" customWidth="1"/>
    <col min="5919" max="5919" width="7.5703125" style="1" customWidth="1"/>
    <col min="5920" max="5920" width="14.42578125" style="1" bestFit="1" customWidth="1"/>
    <col min="5921" max="5921" width="24" style="1" bestFit="1" customWidth="1"/>
    <col min="5922" max="5922" width="13.7109375" style="1" customWidth="1"/>
    <col min="5923" max="5923" width="10.5703125" style="1" customWidth="1"/>
    <col min="5924" max="5924" width="11.85546875" style="1" customWidth="1"/>
    <col min="5925" max="5925" width="11.140625" style="1" customWidth="1"/>
    <col min="5926" max="5926" width="9" style="1" customWidth="1"/>
    <col min="5927" max="5927" width="25.85546875" style="1" bestFit="1" customWidth="1"/>
    <col min="5928" max="5928" width="10.42578125" style="1" customWidth="1"/>
    <col min="5929" max="5929" width="12.28515625" style="1" customWidth="1"/>
    <col min="5930" max="5930" width="12.140625" style="1" customWidth="1"/>
    <col min="5931" max="6144" width="11.42578125" style="1"/>
    <col min="6145" max="6145" width="11.7109375" style="1" customWidth="1"/>
    <col min="6146" max="6146" width="15.85546875" style="1" customWidth="1"/>
    <col min="6147" max="6147" width="14.28515625" style="1" customWidth="1"/>
    <col min="6148" max="6148" width="14" style="1" customWidth="1"/>
    <col min="6149" max="6149" width="12" style="1" customWidth="1"/>
    <col min="6150" max="6150" width="10.85546875" style="1" customWidth="1"/>
    <col min="6151" max="6151" width="14.85546875" style="1" customWidth="1"/>
    <col min="6152" max="6152" width="14.140625" style="1" customWidth="1"/>
    <col min="6153" max="6153" width="30.28515625" style="1" customWidth="1"/>
    <col min="6154" max="6154" width="35.5703125" style="1" bestFit="1" customWidth="1"/>
    <col min="6155" max="6155" width="14.140625" style="1" customWidth="1"/>
    <col min="6156" max="6156" width="41" style="1" bestFit="1" customWidth="1"/>
    <col min="6157" max="6157" width="41.42578125" style="1" bestFit="1" customWidth="1"/>
    <col min="6158" max="6158" width="13" style="1" customWidth="1"/>
    <col min="6159" max="6160" width="13.140625" style="1" customWidth="1"/>
    <col min="6161" max="6161" width="13.7109375" style="1" customWidth="1"/>
    <col min="6162" max="6162" width="13.5703125" style="1" customWidth="1"/>
    <col min="6163" max="6163" width="14" style="1" customWidth="1"/>
    <col min="6164" max="6164" width="20.7109375" style="1" customWidth="1"/>
    <col min="6165" max="6165" width="11.7109375" style="1" customWidth="1"/>
    <col min="6166" max="6166" width="11.5703125" style="1" bestFit="1" customWidth="1"/>
    <col min="6167" max="6167" width="12.7109375" style="1" customWidth="1"/>
    <col min="6168" max="6168" width="13.140625" style="1" customWidth="1"/>
    <col min="6169" max="6169" width="11.7109375" style="1" customWidth="1"/>
    <col min="6170" max="6173" width="11.5703125" style="1" bestFit="1" customWidth="1"/>
    <col min="6174" max="6174" width="15.7109375" style="1" customWidth="1"/>
    <col min="6175" max="6175" width="7.5703125" style="1" customWidth="1"/>
    <col min="6176" max="6176" width="14.42578125" style="1" bestFit="1" customWidth="1"/>
    <col min="6177" max="6177" width="24" style="1" bestFit="1" customWidth="1"/>
    <col min="6178" max="6178" width="13.7109375" style="1" customWidth="1"/>
    <col min="6179" max="6179" width="10.5703125" style="1" customWidth="1"/>
    <col min="6180" max="6180" width="11.85546875" style="1" customWidth="1"/>
    <col min="6181" max="6181" width="11.140625" style="1" customWidth="1"/>
    <col min="6182" max="6182" width="9" style="1" customWidth="1"/>
    <col min="6183" max="6183" width="25.85546875" style="1" bestFit="1" customWidth="1"/>
    <col min="6184" max="6184" width="10.42578125" style="1" customWidth="1"/>
    <col min="6185" max="6185" width="12.28515625" style="1" customWidth="1"/>
    <col min="6186" max="6186" width="12.140625" style="1" customWidth="1"/>
    <col min="6187" max="6400" width="11.42578125" style="1"/>
    <col min="6401" max="6401" width="11.7109375" style="1" customWidth="1"/>
    <col min="6402" max="6402" width="15.85546875" style="1" customWidth="1"/>
    <col min="6403" max="6403" width="14.28515625" style="1" customWidth="1"/>
    <col min="6404" max="6404" width="14" style="1" customWidth="1"/>
    <col min="6405" max="6405" width="12" style="1" customWidth="1"/>
    <col min="6406" max="6406" width="10.85546875" style="1" customWidth="1"/>
    <col min="6407" max="6407" width="14.85546875" style="1" customWidth="1"/>
    <col min="6408" max="6408" width="14.140625" style="1" customWidth="1"/>
    <col min="6409" max="6409" width="30.28515625" style="1" customWidth="1"/>
    <col min="6410" max="6410" width="35.5703125" style="1" bestFit="1" customWidth="1"/>
    <col min="6411" max="6411" width="14.140625" style="1" customWidth="1"/>
    <col min="6412" max="6412" width="41" style="1" bestFit="1" customWidth="1"/>
    <col min="6413" max="6413" width="41.42578125" style="1" bestFit="1" customWidth="1"/>
    <col min="6414" max="6414" width="13" style="1" customWidth="1"/>
    <col min="6415" max="6416" width="13.140625" style="1" customWidth="1"/>
    <col min="6417" max="6417" width="13.7109375" style="1" customWidth="1"/>
    <col min="6418" max="6418" width="13.5703125" style="1" customWidth="1"/>
    <col min="6419" max="6419" width="14" style="1" customWidth="1"/>
    <col min="6420" max="6420" width="20.7109375" style="1" customWidth="1"/>
    <col min="6421" max="6421" width="11.7109375" style="1" customWidth="1"/>
    <col min="6422" max="6422" width="11.5703125" style="1" bestFit="1" customWidth="1"/>
    <col min="6423" max="6423" width="12.7109375" style="1" customWidth="1"/>
    <col min="6424" max="6424" width="13.140625" style="1" customWidth="1"/>
    <col min="6425" max="6425" width="11.7109375" style="1" customWidth="1"/>
    <col min="6426" max="6429" width="11.5703125" style="1" bestFit="1" customWidth="1"/>
    <col min="6430" max="6430" width="15.7109375" style="1" customWidth="1"/>
    <col min="6431" max="6431" width="7.5703125" style="1" customWidth="1"/>
    <col min="6432" max="6432" width="14.42578125" style="1" bestFit="1" customWidth="1"/>
    <col min="6433" max="6433" width="24" style="1" bestFit="1" customWidth="1"/>
    <col min="6434" max="6434" width="13.7109375" style="1" customWidth="1"/>
    <col min="6435" max="6435" width="10.5703125" style="1" customWidth="1"/>
    <col min="6436" max="6436" width="11.85546875" style="1" customWidth="1"/>
    <col min="6437" max="6437" width="11.140625" style="1" customWidth="1"/>
    <col min="6438" max="6438" width="9" style="1" customWidth="1"/>
    <col min="6439" max="6439" width="25.85546875" style="1" bestFit="1" customWidth="1"/>
    <col min="6440" max="6440" width="10.42578125" style="1" customWidth="1"/>
    <col min="6441" max="6441" width="12.28515625" style="1" customWidth="1"/>
    <col min="6442" max="6442" width="12.140625" style="1" customWidth="1"/>
    <col min="6443" max="6656" width="11.42578125" style="1"/>
    <col min="6657" max="6657" width="11.7109375" style="1" customWidth="1"/>
    <col min="6658" max="6658" width="15.85546875" style="1" customWidth="1"/>
    <col min="6659" max="6659" width="14.28515625" style="1" customWidth="1"/>
    <col min="6660" max="6660" width="14" style="1" customWidth="1"/>
    <col min="6661" max="6661" width="12" style="1" customWidth="1"/>
    <col min="6662" max="6662" width="10.85546875" style="1" customWidth="1"/>
    <col min="6663" max="6663" width="14.85546875" style="1" customWidth="1"/>
    <col min="6664" max="6664" width="14.140625" style="1" customWidth="1"/>
    <col min="6665" max="6665" width="30.28515625" style="1" customWidth="1"/>
    <col min="6666" max="6666" width="35.5703125" style="1" bestFit="1" customWidth="1"/>
    <col min="6667" max="6667" width="14.140625" style="1" customWidth="1"/>
    <col min="6668" max="6668" width="41" style="1" bestFit="1" customWidth="1"/>
    <col min="6669" max="6669" width="41.42578125" style="1" bestFit="1" customWidth="1"/>
    <col min="6670" max="6670" width="13" style="1" customWidth="1"/>
    <col min="6671" max="6672" width="13.140625" style="1" customWidth="1"/>
    <col min="6673" max="6673" width="13.7109375" style="1" customWidth="1"/>
    <col min="6674" max="6674" width="13.5703125" style="1" customWidth="1"/>
    <col min="6675" max="6675" width="14" style="1" customWidth="1"/>
    <col min="6676" max="6676" width="20.7109375" style="1" customWidth="1"/>
    <col min="6677" max="6677" width="11.7109375" style="1" customWidth="1"/>
    <col min="6678" max="6678" width="11.5703125" style="1" bestFit="1" customWidth="1"/>
    <col min="6679" max="6679" width="12.7109375" style="1" customWidth="1"/>
    <col min="6680" max="6680" width="13.140625" style="1" customWidth="1"/>
    <col min="6681" max="6681" width="11.7109375" style="1" customWidth="1"/>
    <col min="6682" max="6685" width="11.5703125" style="1" bestFit="1" customWidth="1"/>
    <col min="6686" max="6686" width="15.7109375" style="1" customWidth="1"/>
    <col min="6687" max="6687" width="7.5703125" style="1" customWidth="1"/>
    <col min="6688" max="6688" width="14.42578125" style="1" bestFit="1" customWidth="1"/>
    <col min="6689" max="6689" width="24" style="1" bestFit="1" customWidth="1"/>
    <col min="6690" max="6690" width="13.7109375" style="1" customWidth="1"/>
    <col min="6691" max="6691" width="10.5703125" style="1" customWidth="1"/>
    <col min="6692" max="6692" width="11.85546875" style="1" customWidth="1"/>
    <col min="6693" max="6693" width="11.140625" style="1" customWidth="1"/>
    <col min="6694" max="6694" width="9" style="1" customWidth="1"/>
    <col min="6695" max="6695" width="25.85546875" style="1" bestFit="1" customWidth="1"/>
    <col min="6696" max="6696" width="10.42578125" style="1" customWidth="1"/>
    <col min="6697" max="6697" width="12.28515625" style="1" customWidth="1"/>
    <col min="6698" max="6698" width="12.140625" style="1" customWidth="1"/>
    <col min="6699" max="6912" width="11.42578125" style="1"/>
    <col min="6913" max="6913" width="11.7109375" style="1" customWidth="1"/>
    <col min="6914" max="6914" width="15.85546875" style="1" customWidth="1"/>
    <col min="6915" max="6915" width="14.28515625" style="1" customWidth="1"/>
    <col min="6916" max="6916" width="14" style="1" customWidth="1"/>
    <col min="6917" max="6917" width="12" style="1" customWidth="1"/>
    <col min="6918" max="6918" width="10.85546875" style="1" customWidth="1"/>
    <col min="6919" max="6919" width="14.85546875" style="1" customWidth="1"/>
    <col min="6920" max="6920" width="14.140625" style="1" customWidth="1"/>
    <col min="6921" max="6921" width="30.28515625" style="1" customWidth="1"/>
    <col min="6922" max="6922" width="35.5703125" style="1" bestFit="1" customWidth="1"/>
    <col min="6923" max="6923" width="14.140625" style="1" customWidth="1"/>
    <col min="6924" max="6924" width="41" style="1" bestFit="1" customWidth="1"/>
    <col min="6925" max="6925" width="41.42578125" style="1" bestFit="1" customWidth="1"/>
    <col min="6926" max="6926" width="13" style="1" customWidth="1"/>
    <col min="6927" max="6928" width="13.140625" style="1" customWidth="1"/>
    <col min="6929" max="6929" width="13.7109375" style="1" customWidth="1"/>
    <col min="6930" max="6930" width="13.5703125" style="1" customWidth="1"/>
    <col min="6931" max="6931" width="14" style="1" customWidth="1"/>
    <col min="6932" max="6932" width="20.7109375" style="1" customWidth="1"/>
    <col min="6933" max="6933" width="11.7109375" style="1" customWidth="1"/>
    <col min="6934" max="6934" width="11.5703125" style="1" bestFit="1" customWidth="1"/>
    <col min="6935" max="6935" width="12.7109375" style="1" customWidth="1"/>
    <col min="6936" max="6936" width="13.140625" style="1" customWidth="1"/>
    <col min="6937" max="6937" width="11.7109375" style="1" customWidth="1"/>
    <col min="6938" max="6941" width="11.5703125" style="1" bestFit="1" customWidth="1"/>
    <col min="6942" max="6942" width="15.7109375" style="1" customWidth="1"/>
    <col min="6943" max="6943" width="7.5703125" style="1" customWidth="1"/>
    <col min="6944" max="6944" width="14.42578125" style="1" bestFit="1" customWidth="1"/>
    <col min="6945" max="6945" width="24" style="1" bestFit="1" customWidth="1"/>
    <col min="6946" max="6946" width="13.7109375" style="1" customWidth="1"/>
    <col min="6947" max="6947" width="10.5703125" style="1" customWidth="1"/>
    <col min="6948" max="6948" width="11.85546875" style="1" customWidth="1"/>
    <col min="6949" max="6949" width="11.140625" style="1" customWidth="1"/>
    <col min="6950" max="6950" width="9" style="1" customWidth="1"/>
    <col min="6951" max="6951" width="25.85546875" style="1" bestFit="1" customWidth="1"/>
    <col min="6952" max="6952" width="10.42578125" style="1" customWidth="1"/>
    <col min="6953" max="6953" width="12.28515625" style="1" customWidth="1"/>
    <col min="6954" max="6954" width="12.140625" style="1" customWidth="1"/>
    <col min="6955" max="7168" width="11.42578125" style="1"/>
    <col min="7169" max="7169" width="11.7109375" style="1" customWidth="1"/>
    <col min="7170" max="7170" width="15.85546875" style="1" customWidth="1"/>
    <col min="7171" max="7171" width="14.28515625" style="1" customWidth="1"/>
    <col min="7172" max="7172" width="14" style="1" customWidth="1"/>
    <col min="7173" max="7173" width="12" style="1" customWidth="1"/>
    <col min="7174" max="7174" width="10.85546875" style="1" customWidth="1"/>
    <col min="7175" max="7175" width="14.85546875" style="1" customWidth="1"/>
    <col min="7176" max="7176" width="14.140625" style="1" customWidth="1"/>
    <col min="7177" max="7177" width="30.28515625" style="1" customWidth="1"/>
    <col min="7178" max="7178" width="35.5703125" style="1" bestFit="1" customWidth="1"/>
    <col min="7179" max="7179" width="14.140625" style="1" customWidth="1"/>
    <col min="7180" max="7180" width="41" style="1" bestFit="1" customWidth="1"/>
    <col min="7181" max="7181" width="41.42578125" style="1" bestFit="1" customWidth="1"/>
    <col min="7182" max="7182" width="13" style="1" customWidth="1"/>
    <col min="7183" max="7184" width="13.140625" style="1" customWidth="1"/>
    <col min="7185" max="7185" width="13.7109375" style="1" customWidth="1"/>
    <col min="7186" max="7186" width="13.5703125" style="1" customWidth="1"/>
    <col min="7187" max="7187" width="14" style="1" customWidth="1"/>
    <col min="7188" max="7188" width="20.7109375" style="1" customWidth="1"/>
    <col min="7189" max="7189" width="11.7109375" style="1" customWidth="1"/>
    <col min="7190" max="7190" width="11.5703125" style="1" bestFit="1" customWidth="1"/>
    <col min="7191" max="7191" width="12.7109375" style="1" customWidth="1"/>
    <col min="7192" max="7192" width="13.140625" style="1" customWidth="1"/>
    <col min="7193" max="7193" width="11.7109375" style="1" customWidth="1"/>
    <col min="7194" max="7197" width="11.5703125" style="1" bestFit="1" customWidth="1"/>
    <col min="7198" max="7198" width="15.7109375" style="1" customWidth="1"/>
    <col min="7199" max="7199" width="7.5703125" style="1" customWidth="1"/>
    <col min="7200" max="7200" width="14.42578125" style="1" bestFit="1" customWidth="1"/>
    <col min="7201" max="7201" width="24" style="1" bestFit="1" customWidth="1"/>
    <col min="7202" max="7202" width="13.7109375" style="1" customWidth="1"/>
    <col min="7203" max="7203" width="10.5703125" style="1" customWidth="1"/>
    <col min="7204" max="7204" width="11.85546875" style="1" customWidth="1"/>
    <col min="7205" max="7205" width="11.140625" style="1" customWidth="1"/>
    <col min="7206" max="7206" width="9" style="1" customWidth="1"/>
    <col min="7207" max="7207" width="25.85546875" style="1" bestFit="1" customWidth="1"/>
    <col min="7208" max="7208" width="10.42578125" style="1" customWidth="1"/>
    <col min="7209" max="7209" width="12.28515625" style="1" customWidth="1"/>
    <col min="7210" max="7210" width="12.140625" style="1" customWidth="1"/>
    <col min="7211" max="7424" width="11.42578125" style="1"/>
    <col min="7425" max="7425" width="11.7109375" style="1" customWidth="1"/>
    <col min="7426" max="7426" width="15.85546875" style="1" customWidth="1"/>
    <col min="7427" max="7427" width="14.28515625" style="1" customWidth="1"/>
    <col min="7428" max="7428" width="14" style="1" customWidth="1"/>
    <col min="7429" max="7429" width="12" style="1" customWidth="1"/>
    <col min="7430" max="7430" width="10.85546875" style="1" customWidth="1"/>
    <col min="7431" max="7431" width="14.85546875" style="1" customWidth="1"/>
    <col min="7432" max="7432" width="14.140625" style="1" customWidth="1"/>
    <col min="7433" max="7433" width="30.28515625" style="1" customWidth="1"/>
    <col min="7434" max="7434" width="35.5703125" style="1" bestFit="1" customWidth="1"/>
    <col min="7435" max="7435" width="14.140625" style="1" customWidth="1"/>
    <col min="7436" max="7436" width="41" style="1" bestFit="1" customWidth="1"/>
    <col min="7437" max="7437" width="41.42578125" style="1" bestFit="1" customWidth="1"/>
    <col min="7438" max="7438" width="13" style="1" customWidth="1"/>
    <col min="7439" max="7440" width="13.140625" style="1" customWidth="1"/>
    <col min="7441" max="7441" width="13.7109375" style="1" customWidth="1"/>
    <col min="7442" max="7442" width="13.5703125" style="1" customWidth="1"/>
    <col min="7443" max="7443" width="14" style="1" customWidth="1"/>
    <col min="7444" max="7444" width="20.7109375" style="1" customWidth="1"/>
    <col min="7445" max="7445" width="11.7109375" style="1" customWidth="1"/>
    <col min="7446" max="7446" width="11.5703125" style="1" bestFit="1" customWidth="1"/>
    <col min="7447" max="7447" width="12.7109375" style="1" customWidth="1"/>
    <col min="7448" max="7448" width="13.140625" style="1" customWidth="1"/>
    <col min="7449" max="7449" width="11.7109375" style="1" customWidth="1"/>
    <col min="7450" max="7453" width="11.5703125" style="1" bestFit="1" customWidth="1"/>
    <col min="7454" max="7454" width="15.7109375" style="1" customWidth="1"/>
    <col min="7455" max="7455" width="7.5703125" style="1" customWidth="1"/>
    <col min="7456" max="7456" width="14.42578125" style="1" bestFit="1" customWidth="1"/>
    <col min="7457" max="7457" width="24" style="1" bestFit="1" customWidth="1"/>
    <col min="7458" max="7458" width="13.7109375" style="1" customWidth="1"/>
    <col min="7459" max="7459" width="10.5703125" style="1" customWidth="1"/>
    <col min="7460" max="7460" width="11.85546875" style="1" customWidth="1"/>
    <col min="7461" max="7461" width="11.140625" style="1" customWidth="1"/>
    <col min="7462" max="7462" width="9" style="1" customWidth="1"/>
    <col min="7463" max="7463" width="25.85546875" style="1" bestFit="1" customWidth="1"/>
    <col min="7464" max="7464" width="10.42578125" style="1" customWidth="1"/>
    <col min="7465" max="7465" width="12.28515625" style="1" customWidth="1"/>
    <col min="7466" max="7466" width="12.140625" style="1" customWidth="1"/>
    <col min="7467" max="7680" width="11.42578125" style="1"/>
    <col min="7681" max="7681" width="11.7109375" style="1" customWidth="1"/>
    <col min="7682" max="7682" width="15.85546875" style="1" customWidth="1"/>
    <col min="7683" max="7683" width="14.28515625" style="1" customWidth="1"/>
    <col min="7684" max="7684" width="14" style="1" customWidth="1"/>
    <col min="7685" max="7685" width="12" style="1" customWidth="1"/>
    <col min="7686" max="7686" width="10.85546875" style="1" customWidth="1"/>
    <col min="7687" max="7687" width="14.85546875" style="1" customWidth="1"/>
    <col min="7688" max="7688" width="14.140625" style="1" customWidth="1"/>
    <col min="7689" max="7689" width="30.28515625" style="1" customWidth="1"/>
    <col min="7690" max="7690" width="35.5703125" style="1" bestFit="1" customWidth="1"/>
    <col min="7691" max="7691" width="14.140625" style="1" customWidth="1"/>
    <col min="7692" max="7692" width="41" style="1" bestFit="1" customWidth="1"/>
    <col min="7693" max="7693" width="41.42578125" style="1" bestFit="1" customWidth="1"/>
    <col min="7694" max="7694" width="13" style="1" customWidth="1"/>
    <col min="7695" max="7696" width="13.140625" style="1" customWidth="1"/>
    <col min="7697" max="7697" width="13.7109375" style="1" customWidth="1"/>
    <col min="7698" max="7698" width="13.5703125" style="1" customWidth="1"/>
    <col min="7699" max="7699" width="14" style="1" customWidth="1"/>
    <col min="7700" max="7700" width="20.7109375" style="1" customWidth="1"/>
    <col min="7701" max="7701" width="11.7109375" style="1" customWidth="1"/>
    <col min="7702" max="7702" width="11.5703125" style="1" bestFit="1" customWidth="1"/>
    <col min="7703" max="7703" width="12.7109375" style="1" customWidth="1"/>
    <col min="7704" max="7704" width="13.140625" style="1" customWidth="1"/>
    <col min="7705" max="7705" width="11.7109375" style="1" customWidth="1"/>
    <col min="7706" max="7709" width="11.5703125" style="1" bestFit="1" customWidth="1"/>
    <col min="7710" max="7710" width="15.7109375" style="1" customWidth="1"/>
    <col min="7711" max="7711" width="7.5703125" style="1" customWidth="1"/>
    <col min="7712" max="7712" width="14.42578125" style="1" bestFit="1" customWidth="1"/>
    <col min="7713" max="7713" width="24" style="1" bestFit="1" customWidth="1"/>
    <col min="7714" max="7714" width="13.7109375" style="1" customWidth="1"/>
    <col min="7715" max="7715" width="10.5703125" style="1" customWidth="1"/>
    <col min="7716" max="7716" width="11.85546875" style="1" customWidth="1"/>
    <col min="7717" max="7717" width="11.140625" style="1" customWidth="1"/>
    <col min="7718" max="7718" width="9" style="1" customWidth="1"/>
    <col min="7719" max="7719" width="25.85546875" style="1" bestFit="1" customWidth="1"/>
    <col min="7720" max="7720" width="10.42578125" style="1" customWidth="1"/>
    <col min="7721" max="7721" width="12.28515625" style="1" customWidth="1"/>
    <col min="7722" max="7722" width="12.140625" style="1" customWidth="1"/>
    <col min="7723" max="7936" width="11.42578125" style="1"/>
    <col min="7937" max="7937" width="11.7109375" style="1" customWidth="1"/>
    <col min="7938" max="7938" width="15.85546875" style="1" customWidth="1"/>
    <col min="7939" max="7939" width="14.28515625" style="1" customWidth="1"/>
    <col min="7940" max="7940" width="14" style="1" customWidth="1"/>
    <col min="7941" max="7941" width="12" style="1" customWidth="1"/>
    <col min="7942" max="7942" width="10.85546875" style="1" customWidth="1"/>
    <col min="7943" max="7943" width="14.85546875" style="1" customWidth="1"/>
    <col min="7944" max="7944" width="14.140625" style="1" customWidth="1"/>
    <col min="7945" max="7945" width="30.28515625" style="1" customWidth="1"/>
    <col min="7946" max="7946" width="35.5703125" style="1" bestFit="1" customWidth="1"/>
    <col min="7947" max="7947" width="14.140625" style="1" customWidth="1"/>
    <col min="7948" max="7948" width="41" style="1" bestFit="1" customWidth="1"/>
    <col min="7949" max="7949" width="41.42578125" style="1" bestFit="1" customWidth="1"/>
    <col min="7950" max="7950" width="13" style="1" customWidth="1"/>
    <col min="7951" max="7952" width="13.140625" style="1" customWidth="1"/>
    <col min="7953" max="7953" width="13.7109375" style="1" customWidth="1"/>
    <col min="7954" max="7954" width="13.5703125" style="1" customWidth="1"/>
    <col min="7955" max="7955" width="14" style="1" customWidth="1"/>
    <col min="7956" max="7956" width="20.7109375" style="1" customWidth="1"/>
    <col min="7957" max="7957" width="11.7109375" style="1" customWidth="1"/>
    <col min="7958" max="7958" width="11.5703125" style="1" bestFit="1" customWidth="1"/>
    <col min="7959" max="7959" width="12.7109375" style="1" customWidth="1"/>
    <col min="7960" max="7960" width="13.140625" style="1" customWidth="1"/>
    <col min="7961" max="7961" width="11.7109375" style="1" customWidth="1"/>
    <col min="7962" max="7965" width="11.5703125" style="1" bestFit="1" customWidth="1"/>
    <col min="7966" max="7966" width="15.7109375" style="1" customWidth="1"/>
    <col min="7967" max="7967" width="7.5703125" style="1" customWidth="1"/>
    <col min="7968" max="7968" width="14.42578125" style="1" bestFit="1" customWidth="1"/>
    <col min="7969" max="7969" width="24" style="1" bestFit="1" customWidth="1"/>
    <col min="7970" max="7970" width="13.7109375" style="1" customWidth="1"/>
    <col min="7971" max="7971" width="10.5703125" style="1" customWidth="1"/>
    <col min="7972" max="7972" width="11.85546875" style="1" customWidth="1"/>
    <col min="7973" max="7973" width="11.140625" style="1" customWidth="1"/>
    <col min="7974" max="7974" width="9" style="1" customWidth="1"/>
    <col min="7975" max="7975" width="25.85546875" style="1" bestFit="1" customWidth="1"/>
    <col min="7976" max="7976" width="10.42578125" style="1" customWidth="1"/>
    <col min="7977" max="7977" width="12.28515625" style="1" customWidth="1"/>
    <col min="7978" max="7978" width="12.140625" style="1" customWidth="1"/>
    <col min="7979" max="8192" width="11.42578125" style="1"/>
    <col min="8193" max="8193" width="11.7109375" style="1" customWidth="1"/>
    <col min="8194" max="8194" width="15.85546875" style="1" customWidth="1"/>
    <col min="8195" max="8195" width="14.28515625" style="1" customWidth="1"/>
    <col min="8196" max="8196" width="14" style="1" customWidth="1"/>
    <col min="8197" max="8197" width="12" style="1" customWidth="1"/>
    <col min="8198" max="8198" width="10.85546875" style="1" customWidth="1"/>
    <col min="8199" max="8199" width="14.85546875" style="1" customWidth="1"/>
    <col min="8200" max="8200" width="14.140625" style="1" customWidth="1"/>
    <col min="8201" max="8201" width="30.28515625" style="1" customWidth="1"/>
    <col min="8202" max="8202" width="35.5703125" style="1" bestFit="1" customWidth="1"/>
    <col min="8203" max="8203" width="14.140625" style="1" customWidth="1"/>
    <col min="8204" max="8204" width="41" style="1" bestFit="1" customWidth="1"/>
    <col min="8205" max="8205" width="41.42578125" style="1" bestFit="1" customWidth="1"/>
    <col min="8206" max="8206" width="13" style="1" customWidth="1"/>
    <col min="8207" max="8208" width="13.140625" style="1" customWidth="1"/>
    <col min="8209" max="8209" width="13.7109375" style="1" customWidth="1"/>
    <col min="8210" max="8210" width="13.5703125" style="1" customWidth="1"/>
    <col min="8211" max="8211" width="14" style="1" customWidth="1"/>
    <col min="8212" max="8212" width="20.7109375" style="1" customWidth="1"/>
    <col min="8213" max="8213" width="11.7109375" style="1" customWidth="1"/>
    <col min="8214" max="8214" width="11.5703125" style="1" bestFit="1" customWidth="1"/>
    <col min="8215" max="8215" width="12.7109375" style="1" customWidth="1"/>
    <col min="8216" max="8216" width="13.140625" style="1" customWidth="1"/>
    <col min="8217" max="8217" width="11.7109375" style="1" customWidth="1"/>
    <col min="8218" max="8221" width="11.5703125" style="1" bestFit="1" customWidth="1"/>
    <col min="8222" max="8222" width="15.7109375" style="1" customWidth="1"/>
    <col min="8223" max="8223" width="7.5703125" style="1" customWidth="1"/>
    <col min="8224" max="8224" width="14.42578125" style="1" bestFit="1" customWidth="1"/>
    <col min="8225" max="8225" width="24" style="1" bestFit="1" customWidth="1"/>
    <col min="8226" max="8226" width="13.7109375" style="1" customWidth="1"/>
    <col min="8227" max="8227" width="10.5703125" style="1" customWidth="1"/>
    <col min="8228" max="8228" width="11.85546875" style="1" customWidth="1"/>
    <col min="8229" max="8229" width="11.140625" style="1" customWidth="1"/>
    <col min="8230" max="8230" width="9" style="1" customWidth="1"/>
    <col min="8231" max="8231" width="25.85546875" style="1" bestFit="1" customWidth="1"/>
    <col min="8232" max="8232" width="10.42578125" style="1" customWidth="1"/>
    <col min="8233" max="8233" width="12.28515625" style="1" customWidth="1"/>
    <col min="8234" max="8234" width="12.140625" style="1" customWidth="1"/>
    <col min="8235" max="8448" width="11.42578125" style="1"/>
    <col min="8449" max="8449" width="11.7109375" style="1" customWidth="1"/>
    <col min="8450" max="8450" width="15.85546875" style="1" customWidth="1"/>
    <col min="8451" max="8451" width="14.28515625" style="1" customWidth="1"/>
    <col min="8452" max="8452" width="14" style="1" customWidth="1"/>
    <col min="8453" max="8453" width="12" style="1" customWidth="1"/>
    <col min="8454" max="8454" width="10.85546875" style="1" customWidth="1"/>
    <col min="8455" max="8455" width="14.85546875" style="1" customWidth="1"/>
    <col min="8456" max="8456" width="14.140625" style="1" customWidth="1"/>
    <col min="8457" max="8457" width="30.28515625" style="1" customWidth="1"/>
    <col min="8458" max="8458" width="35.5703125" style="1" bestFit="1" customWidth="1"/>
    <col min="8459" max="8459" width="14.140625" style="1" customWidth="1"/>
    <col min="8460" max="8460" width="41" style="1" bestFit="1" customWidth="1"/>
    <col min="8461" max="8461" width="41.42578125" style="1" bestFit="1" customWidth="1"/>
    <col min="8462" max="8462" width="13" style="1" customWidth="1"/>
    <col min="8463" max="8464" width="13.140625" style="1" customWidth="1"/>
    <col min="8465" max="8465" width="13.7109375" style="1" customWidth="1"/>
    <col min="8466" max="8466" width="13.5703125" style="1" customWidth="1"/>
    <col min="8467" max="8467" width="14" style="1" customWidth="1"/>
    <col min="8468" max="8468" width="20.7109375" style="1" customWidth="1"/>
    <col min="8469" max="8469" width="11.7109375" style="1" customWidth="1"/>
    <col min="8470" max="8470" width="11.5703125" style="1" bestFit="1" customWidth="1"/>
    <col min="8471" max="8471" width="12.7109375" style="1" customWidth="1"/>
    <col min="8472" max="8472" width="13.140625" style="1" customWidth="1"/>
    <col min="8473" max="8473" width="11.7109375" style="1" customWidth="1"/>
    <col min="8474" max="8477" width="11.5703125" style="1" bestFit="1" customWidth="1"/>
    <col min="8478" max="8478" width="15.7109375" style="1" customWidth="1"/>
    <col min="8479" max="8479" width="7.5703125" style="1" customWidth="1"/>
    <col min="8480" max="8480" width="14.42578125" style="1" bestFit="1" customWidth="1"/>
    <col min="8481" max="8481" width="24" style="1" bestFit="1" customWidth="1"/>
    <col min="8482" max="8482" width="13.7109375" style="1" customWidth="1"/>
    <col min="8483" max="8483" width="10.5703125" style="1" customWidth="1"/>
    <col min="8484" max="8484" width="11.85546875" style="1" customWidth="1"/>
    <col min="8485" max="8485" width="11.140625" style="1" customWidth="1"/>
    <col min="8486" max="8486" width="9" style="1" customWidth="1"/>
    <col min="8487" max="8487" width="25.85546875" style="1" bestFit="1" customWidth="1"/>
    <col min="8488" max="8488" width="10.42578125" style="1" customWidth="1"/>
    <col min="8489" max="8489" width="12.28515625" style="1" customWidth="1"/>
    <col min="8490" max="8490" width="12.140625" style="1" customWidth="1"/>
    <col min="8491" max="8704" width="11.42578125" style="1"/>
    <col min="8705" max="8705" width="11.7109375" style="1" customWidth="1"/>
    <col min="8706" max="8706" width="15.85546875" style="1" customWidth="1"/>
    <col min="8707" max="8707" width="14.28515625" style="1" customWidth="1"/>
    <col min="8708" max="8708" width="14" style="1" customWidth="1"/>
    <col min="8709" max="8709" width="12" style="1" customWidth="1"/>
    <col min="8710" max="8710" width="10.85546875" style="1" customWidth="1"/>
    <col min="8711" max="8711" width="14.85546875" style="1" customWidth="1"/>
    <col min="8712" max="8712" width="14.140625" style="1" customWidth="1"/>
    <col min="8713" max="8713" width="30.28515625" style="1" customWidth="1"/>
    <col min="8714" max="8714" width="35.5703125" style="1" bestFit="1" customWidth="1"/>
    <col min="8715" max="8715" width="14.140625" style="1" customWidth="1"/>
    <col min="8716" max="8716" width="41" style="1" bestFit="1" customWidth="1"/>
    <col min="8717" max="8717" width="41.42578125" style="1" bestFit="1" customWidth="1"/>
    <col min="8718" max="8718" width="13" style="1" customWidth="1"/>
    <col min="8719" max="8720" width="13.140625" style="1" customWidth="1"/>
    <col min="8721" max="8721" width="13.7109375" style="1" customWidth="1"/>
    <col min="8722" max="8722" width="13.5703125" style="1" customWidth="1"/>
    <col min="8723" max="8723" width="14" style="1" customWidth="1"/>
    <col min="8724" max="8724" width="20.7109375" style="1" customWidth="1"/>
    <col min="8725" max="8725" width="11.7109375" style="1" customWidth="1"/>
    <col min="8726" max="8726" width="11.5703125" style="1" bestFit="1" customWidth="1"/>
    <col min="8727" max="8727" width="12.7109375" style="1" customWidth="1"/>
    <col min="8728" max="8728" width="13.140625" style="1" customWidth="1"/>
    <col min="8729" max="8729" width="11.7109375" style="1" customWidth="1"/>
    <col min="8730" max="8733" width="11.5703125" style="1" bestFit="1" customWidth="1"/>
    <col min="8734" max="8734" width="15.7109375" style="1" customWidth="1"/>
    <col min="8735" max="8735" width="7.5703125" style="1" customWidth="1"/>
    <col min="8736" max="8736" width="14.42578125" style="1" bestFit="1" customWidth="1"/>
    <col min="8737" max="8737" width="24" style="1" bestFit="1" customWidth="1"/>
    <col min="8738" max="8738" width="13.7109375" style="1" customWidth="1"/>
    <col min="8739" max="8739" width="10.5703125" style="1" customWidth="1"/>
    <col min="8740" max="8740" width="11.85546875" style="1" customWidth="1"/>
    <col min="8741" max="8741" width="11.140625" style="1" customWidth="1"/>
    <col min="8742" max="8742" width="9" style="1" customWidth="1"/>
    <col min="8743" max="8743" width="25.85546875" style="1" bestFit="1" customWidth="1"/>
    <col min="8744" max="8744" width="10.42578125" style="1" customWidth="1"/>
    <col min="8745" max="8745" width="12.28515625" style="1" customWidth="1"/>
    <col min="8746" max="8746" width="12.140625" style="1" customWidth="1"/>
    <col min="8747" max="8960" width="11.42578125" style="1"/>
    <col min="8961" max="8961" width="11.7109375" style="1" customWidth="1"/>
    <col min="8962" max="8962" width="15.85546875" style="1" customWidth="1"/>
    <col min="8963" max="8963" width="14.28515625" style="1" customWidth="1"/>
    <col min="8964" max="8964" width="14" style="1" customWidth="1"/>
    <col min="8965" max="8965" width="12" style="1" customWidth="1"/>
    <col min="8966" max="8966" width="10.85546875" style="1" customWidth="1"/>
    <col min="8967" max="8967" width="14.85546875" style="1" customWidth="1"/>
    <col min="8968" max="8968" width="14.140625" style="1" customWidth="1"/>
    <col min="8969" max="8969" width="30.28515625" style="1" customWidth="1"/>
    <col min="8970" max="8970" width="35.5703125" style="1" bestFit="1" customWidth="1"/>
    <col min="8971" max="8971" width="14.140625" style="1" customWidth="1"/>
    <col min="8972" max="8972" width="41" style="1" bestFit="1" customWidth="1"/>
    <col min="8973" max="8973" width="41.42578125" style="1" bestFit="1" customWidth="1"/>
    <col min="8974" max="8974" width="13" style="1" customWidth="1"/>
    <col min="8975" max="8976" width="13.140625" style="1" customWidth="1"/>
    <col min="8977" max="8977" width="13.7109375" style="1" customWidth="1"/>
    <col min="8978" max="8978" width="13.5703125" style="1" customWidth="1"/>
    <col min="8979" max="8979" width="14" style="1" customWidth="1"/>
    <col min="8980" max="8980" width="20.7109375" style="1" customWidth="1"/>
    <col min="8981" max="8981" width="11.7109375" style="1" customWidth="1"/>
    <col min="8982" max="8982" width="11.5703125" style="1" bestFit="1" customWidth="1"/>
    <col min="8983" max="8983" width="12.7109375" style="1" customWidth="1"/>
    <col min="8984" max="8984" width="13.140625" style="1" customWidth="1"/>
    <col min="8985" max="8985" width="11.7109375" style="1" customWidth="1"/>
    <col min="8986" max="8989" width="11.5703125" style="1" bestFit="1" customWidth="1"/>
    <col min="8990" max="8990" width="15.7109375" style="1" customWidth="1"/>
    <col min="8991" max="8991" width="7.5703125" style="1" customWidth="1"/>
    <col min="8992" max="8992" width="14.42578125" style="1" bestFit="1" customWidth="1"/>
    <col min="8993" max="8993" width="24" style="1" bestFit="1" customWidth="1"/>
    <col min="8994" max="8994" width="13.7109375" style="1" customWidth="1"/>
    <col min="8995" max="8995" width="10.5703125" style="1" customWidth="1"/>
    <col min="8996" max="8996" width="11.85546875" style="1" customWidth="1"/>
    <col min="8997" max="8997" width="11.140625" style="1" customWidth="1"/>
    <col min="8998" max="8998" width="9" style="1" customWidth="1"/>
    <col min="8999" max="8999" width="25.85546875" style="1" bestFit="1" customWidth="1"/>
    <col min="9000" max="9000" width="10.42578125" style="1" customWidth="1"/>
    <col min="9001" max="9001" width="12.28515625" style="1" customWidth="1"/>
    <col min="9002" max="9002" width="12.140625" style="1" customWidth="1"/>
    <col min="9003" max="9216" width="11.42578125" style="1"/>
    <col min="9217" max="9217" width="11.7109375" style="1" customWidth="1"/>
    <col min="9218" max="9218" width="15.85546875" style="1" customWidth="1"/>
    <col min="9219" max="9219" width="14.28515625" style="1" customWidth="1"/>
    <col min="9220" max="9220" width="14" style="1" customWidth="1"/>
    <col min="9221" max="9221" width="12" style="1" customWidth="1"/>
    <col min="9222" max="9222" width="10.85546875" style="1" customWidth="1"/>
    <col min="9223" max="9223" width="14.85546875" style="1" customWidth="1"/>
    <col min="9224" max="9224" width="14.140625" style="1" customWidth="1"/>
    <col min="9225" max="9225" width="30.28515625" style="1" customWidth="1"/>
    <col min="9226" max="9226" width="35.5703125" style="1" bestFit="1" customWidth="1"/>
    <col min="9227" max="9227" width="14.140625" style="1" customWidth="1"/>
    <col min="9228" max="9228" width="41" style="1" bestFit="1" customWidth="1"/>
    <col min="9229" max="9229" width="41.42578125" style="1" bestFit="1" customWidth="1"/>
    <col min="9230" max="9230" width="13" style="1" customWidth="1"/>
    <col min="9231" max="9232" width="13.140625" style="1" customWidth="1"/>
    <col min="9233" max="9233" width="13.7109375" style="1" customWidth="1"/>
    <col min="9234" max="9234" width="13.5703125" style="1" customWidth="1"/>
    <col min="9235" max="9235" width="14" style="1" customWidth="1"/>
    <col min="9236" max="9236" width="20.7109375" style="1" customWidth="1"/>
    <col min="9237" max="9237" width="11.7109375" style="1" customWidth="1"/>
    <col min="9238" max="9238" width="11.5703125" style="1" bestFit="1" customWidth="1"/>
    <col min="9239" max="9239" width="12.7109375" style="1" customWidth="1"/>
    <col min="9240" max="9240" width="13.140625" style="1" customWidth="1"/>
    <col min="9241" max="9241" width="11.7109375" style="1" customWidth="1"/>
    <col min="9242" max="9245" width="11.5703125" style="1" bestFit="1" customWidth="1"/>
    <col min="9246" max="9246" width="15.7109375" style="1" customWidth="1"/>
    <col min="9247" max="9247" width="7.5703125" style="1" customWidth="1"/>
    <col min="9248" max="9248" width="14.42578125" style="1" bestFit="1" customWidth="1"/>
    <col min="9249" max="9249" width="24" style="1" bestFit="1" customWidth="1"/>
    <col min="9250" max="9250" width="13.7109375" style="1" customWidth="1"/>
    <col min="9251" max="9251" width="10.5703125" style="1" customWidth="1"/>
    <col min="9252" max="9252" width="11.85546875" style="1" customWidth="1"/>
    <col min="9253" max="9253" width="11.140625" style="1" customWidth="1"/>
    <col min="9254" max="9254" width="9" style="1" customWidth="1"/>
    <col min="9255" max="9255" width="25.85546875" style="1" bestFit="1" customWidth="1"/>
    <col min="9256" max="9256" width="10.42578125" style="1" customWidth="1"/>
    <col min="9257" max="9257" width="12.28515625" style="1" customWidth="1"/>
    <col min="9258" max="9258" width="12.140625" style="1" customWidth="1"/>
    <col min="9259" max="9472" width="11.42578125" style="1"/>
    <col min="9473" max="9473" width="11.7109375" style="1" customWidth="1"/>
    <col min="9474" max="9474" width="15.85546875" style="1" customWidth="1"/>
    <col min="9475" max="9475" width="14.28515625" style="1" customWidth="1"/>
    <col min="9476" max="9476" width="14" style="1" customWidth="1"/>
    <col min="9477" max="9477" width="12" style="1" customWidth="1"/>
    <col min="9478" max="9478" width="10.85546875" style="1" customWidth="1"/>
    <col min="9479" max="9479" width="14.85546875" style="1" customWidth="1"/>
    <col min="9480" max="9480" width="14.140625" style="1" customWidth="1"/>
    <col min="9481" max="9481" width="30.28515625" style="1" customWidth="1"/>
    <col min="9482" max="9482" width="35.5703125" style="1" bestFit="1" customWidth="1"/>
    <col min="9483" max="9483" width="14.140625" style="1" customWidth="1"/>
    <col min="9484" max="9484" width="41" style="1" bestFit="1" customWidth="1"/>
    <col min="9485" max="9485" width="41.42578125" style="1" bestFit="1" customWidth="1"/>
    <col min="9486" max="9486" width="13" style="1" customWidth="1"/>
    <col min="9487" max="9488" width="13.140625" style="1" customWidth="1"/>
    <col min="9489" max="9489" width="13.7109375" style="1" customWidth="1"/>
    <col min="9490" max="9490" width="13.5703125" style="1" customWidth="1"/>
    <col min="9491" max="9491" width="14" style="1" customWidth="1"/>
    <col min="9492" max="9492" width="20.7109375" style="1" customWidth="1"/>
    <col min="9493" max="9493" width="11.7109375" style="1" customWidth="1"/>
    <col min="9494" max="9494" width="11.5703125" style="1" bestFit="1" customWidth="1"/>
    <col min="9495" max="9495" width="12.7109375" style="1" customWidth="1"/>
    <col min="9496" max="9496" width="13.140625" style="1" customWidth="1"/>
    <col min="9497" max="9497" width="11.7109375" style="1" customWidth="1"/>
    <col min="9498" max="9501" width="11.5703125" style="1" bestFit="1" customWidth="1"/>
    <col min="9502" max="9502" width="15.7109375" style="1" customWidth="1"/>
    <col min="9503" max="9503" width="7.5703125" style="1" customWidth="1"/>
    <col min="9504" max="9504" width="14.42578125" style="1" bestFit="1" customWidth="1"/>
    <col min="9505" max="9505" width="24" style="1" bestFit="1" customWidth="1"/>
    <col min="9506" max="9506" width="13.7109375" style="1" customWidth="1"/>
    <col min="9507" max="9507" width="10.5703125" style="1" customWidth="1"/>
    <col min="9508" max="9508" width="11.85546875" style="1" customWidth="1"/>
    <col min="9509" max="9509" width="11.140625" style="1" customWidth="1"/>
    <col min="9510" max="9510" width="9" style="1" customWidth="1"/>
    <col min="9511" max="9511" width="25.85546875" style="1" bestFit="1" customWidth="1"/>
    <col min="9512" max="9512" width="10.42578125" style="1" customWidth="1"/>
    <col min="9513" max="9513" width="12.28515625" style="1" customWidth="1"/>
    <col min="9514" max="9514" width="12.140625" style="1" customWidth="1"/>
    <col min="9515" max="9728" width="11.42578125" style="1"/>
    <col min="9729" max="9729" width="11.7109375" style="1" customWidth="1"/>
    <col min="9730" max="9730" width="15.85546875" style="1" customWidth="1"/>
    <col min="9731" max="9731" width="14.28515625" style="1" customWidth="1"/>
    <col min="9732" max="9732" width="14" style="1" customWidth="1"/>
    <col min="9733" max="9733" width="12" style="1" customWidth="1"/>
    <col min="9734" max="9734" width="10.85546875" style="1" customWidth="1"/>
    <col min="9735" max="9735" width="14.85546875" style="1" customWidth="1"/>
    <col min="9736" max="9736" width="14.140625" style="1" customWidth="1"/>
    <col min="9737" max="9737" width="30.28515625" style="1" customWidth="1"/>
    <col min="9738" max="9738" width="35.5703125" style="1" bestFit="1" customWidth="1"/>
    <col min="9739" max="9739" width="14.140625" style="1" customWidth="1"/>
    <col min="9740" max="9740" width="41" style="1" bestFit="1" customWidth="1"/>
    <col min="9741" max="9741" width="41.42578125" style="1" bestFit="1" customWidth="1"/>
    <col min="9742" max="9742" width="13" style="1" customWidth="1"/>
    <col min="9743" max="9744" width="13.140625" style="1" customWidth="1"/>
    <col min="9745" max="9745" width="13.7109375" style="1" customWidth="1"/>
    <col min="9746" max="9746" width="13.5703125" style="1" customWidth="1"/>
    <col min="9747" max="9747" width="14" style="1" customWidth="1"/>
    <col min="9748" max="9748" width="20.7109375" style="1" customWidth="1"/>
    <col min="9749" max="9749" width="11.7109375" style="1" customWidth="1"/>
    <col min="9750" max="9750" width="11.5703125" style="1" bestFit="1" customWidth="1"/>
    <col min="9751" max="9751" width="12.7109375" style="1" customWidth="1"/>
    <col min="9752" max="9752" width="13.140625" style="1" customWidth="1"/>
    <col min="9753" max="9753" width="11.7109375" style="1" customWidth="1"/>
    <col min="9754" max="9757" width="11.5703125" style="1" bestFit="1" customWidth="1"/>
    <col min="9758" max="9758" width="15.7109375" style="1" customWidth="1"/>
    <col min="9759" max="9759" width="7.5703125" style="1" customWidth="1"/>
    <col min="9760" max="9760" width="14.42578125" style="1" bestFit="1" customWidth="1"/>
    <col min="9761" max="9761" width="24" style="1" bestFit="1" customWidth="1"/>
    <col min="9762" max="9762" width="13.7109375" style="1" customWidth="1"/>
    <col min="9763" max="9763" width="10.5703125" style="1" customWidth="1"/>
    <col min="9764" max="9764" width="11.85546875" style="1" customWidth="1"/>
    <col min="9765" max="9765" width="11.140625" style="1" customWidth="1"/>
    <col min="9766" max="9766" width="9" style="1" customWidth="1"/>
    <col min="9767" max="9767" width="25.85546875" style="1" bestFit="1" customWidth="1"/>
    <col min="9768" max="9768" width="10.42578125" style="1" customWidth="1"/>
    <col min="9769" max="9769" width="12.28515625" style="1" customWidth="1"/>
    <col min="9770" max="9770" width="12.140625" style="1" customWidth="1"/>
    <col min="9771" max="9984" width="11.42578125" style="1"/>
    <col min="9985" max="9985" width="11.7109375" style="1" customWidth="1"/>
    <col min="9986" max="9986" width="15.85546875" style="1" customWidth="1"/>
    <col min="9987" max="9987" width="14.28515625" style="1" customWidth="1"/>
    <col min="9988" max="9988" width="14" style="1" customWidth="1"/>
    <col min="9989" max="9989" width="12" style="1" customWidth="1"/>
    <col min="9990" max="9990" width="10.85546875" style="1" customWidth="1"/>
    <col min="9991" max="9991" width="14.85546875" style="1" customWidth="1"/>
    <col min="9992" max="9992" width="14.140625" style="1" customWidth="1"/>
    <col min="9993" max="9993" width="30.28515625" style="1" customWidth="1"/>
    <col min="9994" max="9994" width="35.5703125" style="1" bestFit="1" customWidth="1"/>
    <col min="9995" max="9995" width="14.140625" style="1" customWidth="1"/>
    <col min="9996" max="9996" width="41" style="1" bestFit="1" customWidth="1"/>
    <col min="9997" max="9997" width="41.42578125" style="1" bestFit="1" customWidth="1"/>
    <col min="9998" max="9998" width="13" style="1" customWidth="1"/>
    <col min="9999" max="10000" width="13.140625" style="1" customWidth="1"/>
    <col min="10001" max="10001" width="13.7109375" style="1" customWidth="1"/>
    <col min="10002" max="10002" width="13.5703125" style="1" customWidth="1"/>
    <col min="10003" max="10003" width="14" style="1" customWidth="1"/>
    <col min="10004" max="10004" width="20.7109375" style="1" customWidth="1"/>
    <col min="10005" max="10005" width="11.7109375" style="1" customWidth="1"/>
    <col min="10006" max="10006" width="11.5703125" style="1" bestFit="1" customWidth="1"/>
    <col min="10007" max="10007" width="12.7109375" style="1" customWidth="1"/>
    <col min="10008" max="10008" width="13.140625" style="1" customWidth="1"/>
    <col min="10009" max="10009" width="11.7109375" style="1" customWidth="1"/>
    <col min="10010" max="10013" width="11.5703125" style="1" bestFit="1" customWidth="1"/>
    <col min="10014" max="10014" width="15.7109375" style="1" customWidth="1"/>
    <col min="10015" max="10015" width="7.5703125" style="1" customWidth="1"/>
    <col min="10016" max="10016" width="14.42578125" style="1" bestFit="1" customWidth="1"/>
    <col min="10017" max="10017" width="24" style="1" bestFit="1" customWidth="1"/>
    <col min="10018" max="10018" width="13.7109375" style="1" customWidth="1"/>
    <col min="10019" max="10019" width="10.5703125" style="1" customWidth="1"/>
    <col min="10020" max="10020" width="11.85546875" style="1" customWidth="1"/>
    <col min="10021" max="10021" width="11.140625" style="1" customWidth="1"/>
    <col min="10022" max="10022" width="9" style="1" customWidth="1"/>
    <col min="10023" max="10023" width="25.85546875" style="1" bestFit="1" customWidth="1"/>
    <col min="10024" max="10024" width="10.42578125" style="1" customWidth="1"/>
    <col min="10025" max="10025" width="12.28515625" style="1" customWidth="1"/>
    <col min="10026" max="10026" width="12.140625" style="1" customWidth="1"/>
    <col min="10027" max="10240" width="11.42578125" style="1"/>
    <col min="10241" max="10241" width="11.7109375" style="1" customWidth="1"/>
    <col min="10242" max="10242" width="15.85546875" style="1" customWidth="1"/>
    <col min="10243" max="10243" width="14.28515625" style="1" customWidth="1"/>
    <col min="10244" max="10244" width="14" style="1" customWidth="1"/>
    <col min="10245" max="10245" width="12" style="1" customWidth="1"/>
    <col min="10246" max="10246" width="10.85546875" style="1" customWidth="1"/>
    <col min="10247" max="10247" width="14.85546875" style="1" customWidth="1"/>
    <col min="10248" max="10248" width="14.140625" style="1" customWidth="1"/>
    <col min="10249" max="10249" width="30.28515625" style="1" customWidth="1"/>
    <col min="10250" max="10250" width="35.5703125" style="1" bestFit="1" customWidth="1"/>
    <col min="10251" max="10251" width="14.140625" style="1" customWidth="1"/>
    <col min="10252" max="10252" width="41" style="1" bestFit="1" customWidth="1"/>
    <col min="10253" max="10253" width="41.42578125" style="1" bestFit="1" customWidth="1"/>
    <col min="10254" max="10254" width="13" style="1" customWidth="1"/>
    <col min="10255" max="10256" width="13.140625" style="1" customWidth="1"/>
    <col min="10257" max="10257" width="13.7109375" style="1" customWidth="1"/>
    <col min="10258" max="10258" width="13.5703125" style="1" customWidth="1"/>
    <col min="10259" max="10259" width="14" style="1" customWidth="1"/>
    <col min="10260" max="10260" width="20.7109375" style="1" customWidth="1"/>
    <col min="10261" max="10261" width="11.7109375" style="1" customWidth="1"/>
    <col min="10262" max="10262" width="11.5703125" style="1" bestFit="1" customWidth="1"/>
    <col min="10263" max="10263" width="12.7109375" style="1" customWidth="1"/>
    <col min="10264" max="10264" width="13.140625" style="1" customWidth="1"/>
    <col min="10265" max="10265" width="11.7109375" style="1" customWidth="1"/>
    <col min="10266" max="10269" width="11.5703125" style="1" bestFit="1" customWidth="1"/>
    <col min="10270" max="10270" width="15.7109375" style="1" customWidth="1"/>
    <col min="10271" max="10271" width="7.5703125" style="1" customWidth="1"/>
    <col min="10272" max="10272" width="14.42578125" style="1" bestFit="1" customWidth="1"/>
    <col min="10273" max="10273" width="24" style="1" bestFit="1" customWidth="1"/>
    <col min="10274" max="10274" width="13.7109375" style="1" customWidth="1"/>
    <col min="10275" max="10275" width="10.5703125" style="1" customWidth="1"/>
    <col min="10276" max="10276" width="11.85546875" style="1" customWidth="1"/>
    <col min="10277" max="10277" width="11.140625" style="1" customWidth="1"/>
    <col min="10278" max="10278" width="9" style="1" customWidth="1"/>
    <col min="10279" max="10279" width="25.85546875" style="1" bestFit="1" customWidth="1"/>
    <col min="10280" max="10280" width="10.42578125" style="1" customWidth="1"/>
    <col min="10281" max="10281" width="12.28515625" style="1" customWidth="1"/>
    <col min="10282" max="10282" width="12.140625" style="1" customWidth="1"/>
    <col min="10283" max="10496" width="11.42578125" style="1"/>
    <col min="10497" max="10497" width="11.7109375" style="1" customWidth="1"/>
    <col min="10498" max="10498" width="15.85546875" style="1" customWidth="1"/>
    <col min="10499" max="10499" width="14.28515625" style="1" customWidth="1"/>
    <col min="10500" max="10500" width="14" style="1" customWidth="1"/>
    <col min="10501" max="10501" width="12" style="1" customWidth="1"/>
    <col min="10502" max="10502" width="10.85546875" style="1" customWidth="1"/>
    <col min="10503" max="10503" width="14.85546875" style="1" customWidth="1"/>
    <col min="10504" max="10504" width="14.140625" style="1" customWidth="1"/>
    <col min="10505" max="10505" width="30.28515625" style="1" customWidth="1"/>
    <col min="10506" max="10506" width="35.5703125" style="1" bestFit="1" customWidth="1"/>
    <col min="10507" max="10507" width="14.140625" style="1" customWidth="1"/>
    <col min="10508" max="10508" width="41" style="1" bestFit="1" customWidth="1"/>
    <col min="10509" max="10509" width="41.42578125" style="1" bestFit="1" customWidth="1"/>
    <col min="10510" max="10510" width="13" style="1" customWidth="1"/>
    <col min="10511" max="10512" width="13.140625" style="1" customWidth="1"/>
    <col min="10513" max="10513" width="13.7109375" style="1" customWidth="1"/>
    <col min="10514" max="10514" width="13.5703125" style="1" customWidth="1"/>
    <col min="10515" max="10515" width="14" style="1" customWidth="1"/>
    <col min="10516" max="10516" width="20.7109375" style="1" customWidth="1"/>
    <col min="10517" max="10517" width="11.7109375" style="1" customWidth="1"/>
    <col min="10518" max="10518" width="11.5703125" style="1" bestFit="1" customWidth="1"/>
    <col min="10519" max="10519" width="12.7109375" style="1" customWidth="1"/>
    <col min="10520" max="10520" width="13.140625" style="1" customWidth="1"/>
    <col min="10521" max="10521" width="11.7109375" style="1" customWidth="1"/>
    <col min="10522" max="10525" width="11.5703125" style="1" bestFit="1" customWidth="1"/>
    <col min="10526" max="10526" width="15.7109375" style="1" customWidth="1"/>
    <col min="10527" max="10527" width="7.5703125" style="1" customWidth="1"/>
    <col min="10528" max="10528" width="14.42578125" style="1" bestFit="1" customWidth="1"/>
    <col min="10529" max="10529" width="24" style="1" bestFit="1" customWidth="1"/>
    <col min="10530" max="10530" width="13.7109375" style="1" customWidth="1"/>
    <col min="10531" max="10531" width="10.5703125" style="1" customWidth="1"/>
    <col min="10532" max="10532" width="11.85546875" style="1" customWidth="1"/>
    <col min="10533" max="10533" width="11.140625" style="1" customWidth="1"/>
    <col min="10534" max="10534" width="9" style="1" customWidth="1"/>
    <col min="10535" max="10535" width="25.85546875" style="1" bestFit="1" customWidth="1"/>
    <col min="10536" max="10536" width="10.42578125" style="1" customWidth="1"/>
    <col min="10537" max="10537" width="12.28515625" style="1" customWidth="1"/>
    <col min="10538" max="10538" width="12.140625" style="1" customWidth="1"/>
    <col min="10539" max="10752" width="11.42578125" style="1"/>
    <col min="10753" max="10753" width="11.7109375" style="1" customWidth="1"/>
    <col min="10754" max="10754" width="15.85546875" style="1" customWidth="1"/>
    <col min="10755" max="10755" width="14.28515625" style="1" customWidth="1"/>
    <col min="10756" max="10756" width="14" style="1" customWidth="1"/>
    <col min="10757" max="10757" width="12" style="1" customWidth="1"/>
    <col min="10758" max="10758" width="10.85546875" style="1" customWidth="1"/>
    <col min="10759" max="10759" width="14.85546875" style="1" customWidth="1"/>
    <col min="10760" max="10760" width="14.140625" style="1" customWidth="1"/>
    <col min="10761" max="10761" width="30.28515625" style="1" customWidth="1"/>
    <col min="10762" max="10762" width="35.5703125" style="1" bestFit="1" customWidth="1"/>
    <col min="10763" max="10763" width="14.140625" style="1" customWidth="1"/>
    <col min="10764" max="10764" width="41" style="1" bestFit="1" customWidth="1"/>
    <col min="10765" max="10765" width="41.42578125" style="1" bestFit="1" customWidth="1"/>
    <col min="10766" max="10766" width="13" style="1" customWidth="1"/>
    <col min="10767" max="10768" width="13.140625" style="1" customWidth="1"/>
    <col min="10769" max="10769" width="13.7109375" style="1" customWidth="1"/>
    <col min="10770" max="10770" width="13.5703125" style="1" customWidth="1"/>
    <col min="10771" max="10771" width="14" style="1" customWidth="1"/>
    <col min="10772" max="10772" width="20.7109375" style="1" customWidth="1"/>
    <col min="10773" max="10773" width="11.7109375" style="1" customWidth="1"/>
    <col min="10774" max="10774" width="11.5703125" style="1" bestFit="1" customWidth="1"/>
    <col min="10775" max="10775" width="12.7109375" style="1" customWidth="1"/>
    <col min="10776" max="10776" width="13.140625" style="1" customWidth="1"/>
    <col min="10777" max="10777" width="11.7109375" style="1" customWidth="1"/>
    <col min="10778" max="10781" width="11.5703125" style="1" bestFit="1" customWidth="1"/>
    <col min="10782" max="10782" width="15.7109375" style="1" customWidth="1"/>
    <col min="10783" max="10783" width="7.5703125" style="1" customWidth="1"/>
    <col min="10784" max="10784" width="14.42578125" style="1" bestFit="1" customWidth="1"/>
    <col min="10785" max="10785" width="24" style="1" bestFit="1" customWidth="1"/>
    <col min="10786" max="10786" width="13.7109375" style="1" customWidth="1"/>
    <col min="10787" max="10787" width="10.5703125" style="1" customWidth="1"/>
    <col min="10788" max="10788" width="11.85546875" style="1" customWidth="1"/>
    <col min="10789" max="10789" width="11.140625" style="1" customWidth="1"/>
    <col min="10790" max="10790" width="9" style="1" customWidth="1"/>
    <col min="10791" max="10791" width="25.85546875" style="1" bestFit="1" customWidth="1"/>
    <col min="10792" max="10792" width="10.42578125" style="1" customWidth="1"/>
    <col min="10793" max="10793" width="12.28515625" style="1" customWidth="1"/>
    <col min="10794" max="10794" width="12.140625" style="1" customWidth="1"/>
    <col min="10795" max="11008" width="11.42578125" style="1"/>
    <col min="11009" max="11009" width="11.7109375" style="1" customWidth="1"/>
    <col min="11010" max="11010" width="15.85546875" style="1" customWidth="1"/>
    <col min="11011" max="11011" width="14.28515625" style="1" customWidth="1"/>
    <col min="11012" max="11012" width="14" style="1" customWidth="1"/>
    <col min="11013" max="11013" width="12" style="1" customWidth="1"/>
    <col min="11014" max="11014" width="10.85546875" style="1" customWidth="1"/>
    <col min="11015" max="11015" width="14.85546875" style="1" customWidth="1"/>
    <col min="11016" max="11016" width="14.140625" style="1" customWidth="1"/>
    <col min="11017" max="11017" width="30.28515625" style="1" customWidth="1"/>
    <col min="11018" max="11018" width="35.5703125" style="1" bestFit="1" customWidth="1"/>
    <col min="11019" max="11019" width="14.140625" style="1" customWidth="1"/>
    <col min="11020" max="11020" width="41" style="1" bestFit="1" customWidth="1"/>
    <col min="11021" max="11021" width="41.42578125" style="1" bestFit="1" customWidth="1"/>
    <col min="11022" max="11022" width="13" style="1" customWidth="1"/>
    <col min="11023" max="11024" width="13.140625" style="1" customWidth="1"/>
    <col min="11025" max="11025" width="13.7109375" style="1" customWidth="1"/>
    <col min="11026" max="11026" width="13.5703125" style="1" customWidth="1"/>
    <col min="11027" max="11027" width="14" style="1" customWidth="1"/>
    <col min="11028" max="11028" width="20.7109375" style="1" customWidth="1"/>
    <col min="11029" max="11029" width="11.7109375" style="1" customWidth="1"/>
    <col min="11030" max="11030" width="11.5703125" style="1" bestFit="1" customWidth="1"/>
    <col min="11031" max="11031" width="12.7109375" style="1" customWidth="1"/>
    <col min="11032" max="11032" width="13.140625" style="1" customWidth="1"/>
    <col min="11033" max="11033" width="11.7109375" style="1" customWidth="1"/>
    <col min="11034" max="11037" width="11.5703125" style="1" bestFit="1" customWidth="1"/>
    <col min="11038" max="11038" width="15.7109375" style="1" customWidth="1"/>
    <col min="11039" max="11039" width="7.5703125" style="1" customWidth="1"/>
    <col min="11040" max="11040" width="14.42578125" style="1" bestFit="1" customWidth="1"/>
    <col min="11041" max="11041" width="24" style="1" bestFit="1" customWidth="1"/>
    <col min="11042" max="11042" width="13.7109375" style="1" customWidth="1"/>
    <col min="11043" max="11043" width="10.5703125" style="1" customWidth="1"/>
    <col min="11044" max="11044" width="11.85546875" style="1" customWidth="1"/>
    <col min="11045" max="11045" width="11.140625" style="1" customWidth="1"/>
    <col min="11046" max="11046" width="9" style="1" customWidth="1"/>
    <col min="11047" max="11047" width="25.85546875" style="1" bestFit="1" customWidth="1"/>
    <col min="11048" max="11048" width="10.42578125" style="1" customWidth="1"/>
    <col min="11049" max="11049" width="12.28515625" style="1" customWidth="1"/>
    <col min="11050" max="11050" width="12.140625" style="1" customWidth="1"/>
    <col min="11051" max="11264" width="11.42578125" style="1"/>
    <col min="11265" max="11265" width="11.7109375" style="1" customWidth="1"/>
    <col min="11266" max="11266" width="15.85546875" style="1" customWidth="1"/>
    <col min="11267" max="11267" width="14.28515625" style="1" customWidth="1"/>
    <col min="11268" max="11268" width="14" style="1" customWidth="1"/>
    <col min="11269" max="11269" width="12" style="1" customWidth="1"/>
    <col min="11270" max="11270" width="10.85546875" style="1" customWidth="1"/>
    <col min="11271" max="11271" width="14.85546875" style="1" customWidth="1"/>
    <col min="11272" max="11272" width="14.140625" style="1" customWidth="1"/>
    <col min="11273" max="11273" width="30.28515625" style="1" customWidth="1"/>
    <col min="11274" max="11274" width="35.5703125" style="1" bestFit="1" customWidth="1"/>
    <col min="11275" max="11275" width="14.140625" style="1" customWidth="1"/>
    <col min="11276" max="11276" width="41" style="1" bestFit="1" customWidth="1"/>
    <col min="11277" max="11277" width="41.42578125" style="1" bestFit="1" customWidth="1"/>
    <col min="11278" max="11278" width="13" style="1" customWidth="1"/>
    <col min="11279" max="11280" width="13.140625" style="1" customWidth="1"/>
    <col min="11281" max="11281" width="13.7109375" style="1" customWidth="1"/>
    <col min="11282" max="11282" width="13.5703125" style="1" customWidth="1"/>
    <col min="11283" max="11283" width="14" style="1" customWidth="1"/>
    <col min="11284" max="11284" width="20.7109375" style="1" customWidth="1"/>
    <col min="11285" max="11285" width="11.7109375" style="1" customWidth="1"/>
    <col min="11286" max="11286" width="11.5703125" style="1" bestFit="1" customWidth="1"/>
    <col min="11287" max="11287" width="12.7109375" style="1" customWidth="1"/>
    <col min="11288" max="11288" width="13.140625" style="1" customWidth="1"/>
    <col min="11289" max="11289" width="11.7109375" style="1" customWidth="1"/>
    <col min="11290" max="11293" width="11.5703125" style="1" bestFit="1" customWidth="1"/>
    <col min="11294" max="11294" width="15.7109375" style="1" customWidth="1"/>
    <col min="11295" max="11295" width="7.5703125" style="1" customWidth="1"/>
    <col min="11296" max="11296" width="14.42578125" style="1" bestFit="1" customWidth="1"/>
    <col min="11297" max="11297" width="24" style="1" bestFit="1" customWidth="1"/>
    <col min="11298" max="11298" width="13.7109375" style="1" customWidth="1"/>
    <col min="11299" max="11299" width="10.5703125" style="1" customWidth="1"/>
    <col min="11300" max="11300" width="11.85546875" style="1" customWidth="1"/>
    <col min="11301" max="11301" width="11.140625" style="1" customWidth="1"/>
    <col min="11302" max="11302" width="9" style="1" customWidth="1"/>
    <col min="11303" max="11303" width="25.85546875" style="1" bestFit="1" customWidth="1"/>
    <col min="11304" max="11304" width="10.42578125" style="1" customWidth="1"/>
    <col min="11305" max="11305" width="12.28515625" style="1" customWidth="1"/>
    <col min="11306" max="11306" width="12.140625" style="1" customWidth="1"/>
    <col min="11307" max="11520" width="11.42578125" style="1"/>
    <col min="11521" max="11521" width="11.7109375" style="1" customWidth="1"/>
    <col min="11522" max="11522" width="15.85546875" style="1" customWidth="1"/>
    <col min="11523" max="11523" width="14.28515625" style="1" customWidth="1"/>
    <col min="11524" max="11524" width="14" style="1" customWidth="1"/>
    <col min="11525" max="11525" width="12" style="1" customWidth="1"/>
    <col min="11526" max="11526" width="10.85546875" style="1" customWidth="1"/>
    <col min="11527" max="11527" width="14.85546875" style="1" customWidth="1"/>
    <col min="11528" max="11528" width="14.140625" style="1" customWidth="1"/>
    <col min="11529" max="11529" width="30.28515625" style="1" customWidth="1"/>
    <col min="11530" max="11530" width="35.5703125" style="1" bestFit="1" customWidth="1"/>
    <col min="11531" max="11531" width="14.140625" style="1" customWidth="1"/>
    <col min="11532" max="11532" width="41" style="1" bestFit="1" customWidth="1"/>
    <col min="11533" max="11533" width="41.42578125" style="1" bestFit="1" customWidth="1"/>
    <col min="11534" max="11534" width="13" style="1" customWidth="1"/>
    <col min="11535" max="11536" width="13.140625" style="1" customWidth="1"/>
    <col min="11537" max="11537" width="13.7109375" style="1" customWidth="1"/>
    <col min="11538" max="11538" width="13.5703125" style="1" customWidth="1"/>
    <col min="11539" max="11539" width="14" style="1" customWidth="1"/>
    <col min="11540" max="11540" width="20.7109375" style="1" customWidth="1"/>
    <col min="11541" max="11541" width="11.7109375" style="1" customWidth="1"/>
    <col min="11542" max="11542" width="11.5703125" style="1" bestFit="1" customWidth="1"/>
    <col min="11543" max="11543" width="12.7109375" style="1" customWidth="1"/>
    <col min="11544" max="11544" width="13.140625" style="1" customWidth="1"/>
    <col min="11545" max="11545" width="11.7109375" style="1" customWidth="1"/>
    <col min="11546" max="11549" width="11.5703125" style="1" bestFit="1" customWidth="1"/>
    <col min="11550" max="11550" width="15.7109375" style="1" customWidth="1"/>
    <col min="11551" max="11551" width="7.5703125" style="1" customWidth="1"/>
    <col min="11552" max="11552" width="14.42578125" style="1" bestFit="1" customWidth="1"/>
    <col min="11553" max="11553" width="24" style="1" bestFit="1" customWidth="1"/>
    <col min="11554" max="11554" width="13.7109375" style="1" customWidth="1"/>
    <col min="11555" max="11555" width="10.5703125" style="1" customWidth="1"/>
    <col min="11556" max="11556" width="11.85546875" style="1" customWidth="1"/>
    <col min="11557" max="11557" width="11.140625" style="1" customWidth="1"/>
    <col min="11558" max="11558" width="9" style="1" customWidth="1"/>
    <col min="11559" max="11559" width="25.85546875" style="1" bestFit="1" customWidth="1"/>
    <col min="11560" max="11560" width="10.42578125" style="1" customWidth="1"/>
    <col min="11561" max="11561" width="12.28515625" style="1" customWidth="1"/>
    <col min="11562" max="11562" width="12.140625" style="1" customWidth="1"/>
    <col min="11563" max="11776" width="11.42578125" style="1"/>
    <col min="11777" max="11777" width="11.7109375" style="1" customWidth="1"/>
    <col min="11778" max="11778" width="15.85546875" style="1" customWidth="1"/>
    <col min="11779" max="11779" width="14.28515625" style="1" customWidth="1"/>
    <col min="11780" max="11780" width="14" style="1" customWidth="1"/>
    <col min="11781" max="11781" width="12" style="1" customWidth="1"/>
    <col min="11782" max="11782" width="10.85546875" style="1" customWidth="1"/>
    <col min="11783" max="11783" width="14.85546875" style="1" customWidth="1"/>
    <col min="11784" max="11784" width="14.140625" style="1" customWidth="1"/>
    <col min="11785" max="11785" width="30.28515625" style="1" customWidth="1"/>
    <col min="11786" max="11786" width="35.5703125" style="1" bestFit="1" customWidth="1"/>
    <col min="11787" max="11787" width="14.140625" style="1" customWidth="1"/>
    <col min="11788" max="11788" width="41" style="1" bestFit="1" customWidth="1"/>
    <col min="11789" max="11789" width="41.42578125" style="1" bestFit="1" customWidth="1"/>
    <col min="11790" max="11790" width="13" style="1" customWidth="1"/>
    <col min="11791" max="11792" width="13.140625" style="1" customWidth="1"/>
    <col min="11793" max="11793" width="13.7109375" style="1" customWidth="1"/>
    <col min="11794" max="11794" width="13.5703125" style="1" customWidth="1"/>
    <col min="11795" max="11795" width="14" style="1" customWidth="1"/>
    <col min="11796" max="11796" width="20.7109375" style="1" customWidth="1"/>
    <col min="11797" max="11797" width="11.7109375" style="1" customWidth="1"/>
    <col min="11798" max="11798" width="11.5703125" style="1" bestFit="1" customWidth="1"/>
    <col min="11799" max="11799" width="12.7109375" style="1" customWidth="1"/>
    <col min="11800" max="11800" width="13.140625" style="1" customWidth="1"/>
    <col min="11801" max="11801" width="11.7109375" style="1" customWidth="1"/>
    <col min="11802" max="11805" width="11.5703125" style="1" bestFit="1" customWidth="1"/>
    <col min="11806" max="11806" width="15.7109375" style="1" customWidth="1"/>
    <col min="11807" max="11807" width="7.5703125" style="1" customWidth="1"/>
    <col min="11808" max="11808" width="14.42578125" style="1" bestFit="1" customWidth="1"/>
    <col min="11809" max="11809" width="24" style="1" bestFit="1" customWidth="1"/>
    <col min="11810" max="11810" width="13.7109375" style="1" customWidth="1"/>
    <col min="11811" max="11811" width="10.5703125" style="1" customWidth="1"/>
    <col min="11812" max="11812" width="11.85546875" style="1" customWidth="1"/>
    <col min="11813" max="11813" width="11.140625" style="1" customWidth="1"/>
    <col min="11814" max="11814" width="9" style="1" customWidth="1"/>
    <col min="11815" max="11815" width="25.85546875" style="1" bestFit="1" customWidth="1"/>
    <col min="11816" max="11816" width="10.42578125" style="1" customWidth="1"/>
    <col min="11817" max="11817" width="12.28515625" style="1" customWidth="1"/>
    <col min="11818" max="11818" width="12.140625" style="1" customWidth="1"/>
    <col min="11819" max="12032" width="11.42578125" style="1"/>
    <col min="12033" max="12033" width="11.7109375" style="1" customWidth="1"/>
    <col min="12034" max="12034" width="15.85546875" style="1" customWidth="1"/>
    <col min="12035" max="12035" width="14.28515625" style="1" customWidth="1"/>
    <col min="12036" max="12036" width="14" style="1" customWidth="1"/>
    <col min="12037" max="12037" width="12" style="1" customWidth="1"/>
    <col min="12038" max="12038" width="10.85546875" style="1" customWidth="1"/>
    <col min="12039" max="12039" width="14.85546875" style="1" customWidth="1"/>
    <col min="12040" max="12040" width="14.140625" style="1" customWidth="1"/>
    <col min="12041" max="12041" width="30.28515625" style="1" customWidth="1"/>
    <col min="12042" max="12042" width="35.5703125" style="1" bestFit="1" customWidth="1"/>
    <col min="12043" max="12043" width="14.140625" style="1" customWidth="1"/>
    <col min="12044" max="12044" width="41" style="1" bestFit="1" customWidth="1"/>
    <col min="12045" max="12045" width="41.42578125" style="1" bestFit="1" customWidth="1"/>
    <col min="12046" max="12046" width="13" style="1" customWidth="1"/>
    <col min="12047" max="12048" width="13.140625" style="1" customWidth="1"/>
    <col min="12049" max="12049" width="13.7109375" style="1" customWidth="1"/>
    <col min="12050" max="12050" width="13.5703125" style="1" customWidth="1"/>
    <col min="12051" max="12051" width="14" style="1" customWidth="1"/>
    <col min="12052" max="12052" width="20.7109375" style="1" customWidth="1"/>
    <col min="12053" max="12053" width="11.7109375" style="1" customWidth="1"/>
    <col min="12054" max="12054" width="11.5703125" style="1" bestFit="1" customWidth="1"/>
    <col min="12055" max="12055" width="12.7109375" style="1" customWidth="1"/>
    <col min="12056" max="12056" width="13.140625" style="1" customWidth="1"/>
    <col min="12057" max="12057" width="11.7109375" style="1" customWidth="1"/>
    <col min="12058" max="12061" width="11.5703125" style="1" bestFit="1" customWidth="1"/>
    <col min="12062" max="12062" width="15.7109375" style="1" customWidth="1"/>
    <col min="12063" max="12063" width="7.5703125" style="1" customWidth="1"/>
    <col min="12064" max="12064" width="14.42578125" style="1" bestFit="1" customWidth="1"/>
    <col min="12065" max="12065" width="24" style="1" bestFit="1" customWidth="1"/>
    <col min="12066" max="12066" width="13.7109375" style="1" customWidth="1"/>
    <col min="12067" max="12067" width="10.5703125" style="1" customWidth="1"/>
    <col min="12068" max="12068" width="11.85546875" style="1" customWidth="1"/>
    <col min="12069" max="12069" width="11.140625" style="1" customWidth="1"/>
    <col min="12070" max="12070" width="9" style="1" customWidth="1"/>
    <col min="12071" max="12071" width="25.85546875" style="1" bestFit="1" customWidth="1"/>
    <col min="12072" max="12072" width="10.42578125" style="1" customWidth="1"/>
    <col min="12073" max="12073" width="12.28515625" style="1" customWidth="1"/>
    <col min="12074" max="12074" width="12.140625" style="1" customWidth="1"/>
    <col min="12075" max="12288" width="11.42578125" style="1"/>
    <col min="12289" max="12289" width="11.7109375" style="1" customWidth="1"/>
    <col min="12290" max="12290" width="15.85546875" style="1" customWidth="1"/>
    <col min="12291" max="12291" width="14.28515625" style="1" customWidth="1"/>
    <col min="12292" max="12292" width="14" style="1" customWidth="1"/>
    <col min="12293" max="12293" width="12" style="1" customWidth="1"/>
    <col min="12294" max="12294" width="10.85546875" style="1" customWidth="1"/>
    <col min="12295" max="12295" width="14.85546875" style="1" customWidth="1"/>
    <col min="12296" max="12296" width="14.140625" style="1" customWidth="1"/>
    <col min="12297" max="12297" width="30.28515625" style="1" customWidth="1"/>
    <col min="12298" max="12298" width="35.5703125" style="1" bestFit="1" customWidth="1"/>
    <col min="12299" max="12299" width="14.140625" style="1" customWidth="1"/>
    <col min="12300" max="12300" width="41" style="1" bestFit="1" customWidth="1"/>
    <col min="12301" max="12301" width="41.42578125" style="1" bestFit="1" customWidth="1"/>
    <col min="12302" max="12302" width="13" style="1" customWidth="1"/>
    <col min="12303" max="12304" width="13.140625" style="1" customWidth="1"/>
    <col min="12305" max="12305" width="13.7109375" style="1" customWidth="1"/>
    <col min="12306" max="12306" width="13.5703125" style="1" customWidth="1"/>
    <col min="12307" max="12307" width="14" style="1" customWidth="1"/>
    <col min="12308" max="12308" width="20.7109375" style="1" customWidth="1"/>
    <col min="12309" max="12309" width="11.7109375" style="1" customWidth="1"/>
    <col min="12310" max="12310" width="11.5703125" style="1" bestFit="1" customWidth="1"/>
    <col min="12311" max="12311" width="12.7109375" style="1" customWidth="1"/>
    <col min="12312" max="12312" width="13.140625" style="1" customWidth="1"/>
    <col min="12313" max="12313" width="11.7109375" style="1" customWidth="1"/>
    <col min="12314" max="12317" width="11.5703125" style="1" bestFit="1" customWidth="1"/>
    <col min="12318" max="12318" width="15.7109375" style="1" customWidth="1"/>
    <col min="12319" max="12319" width="7.5703125" style="1" customWidth="1"/>
    <col min="12320" max="12320" width="14.42578125" style="1" bestFit="1" customWidth="1"/>
    <col min="12321" max="12321" width="24" style="1" bestFit="1" customWidth="1"/>
    <col min="12322" max="12322" width="13.7109375" style="1" customWidth="1"/>
    <col min="12323" max="12323" width="10.5703125" style="1" customWidth="1"/>
    <col min="12324" max="12324" width="11.85546875" style="1" customWidth="1"/>
    <col min="12325" max="12325" width="11.140625" style="1" customWidth="1"/>
    <col min="12326" max="12326" width="9" style="1" customWidth="1"/>
    <col min="12327" max="12327" width="25.85546875" style="1" bestFit="1" customWidth="1"/>
    <col min="12328" max="12328" width="10.42578125" style="1" customWidth="1"/>
    <col min="12329" max="12329" width="12.28515625" style="1" customWidth="1"/>
    <col min="12330" max="12330" width="12.140625" style="1" customWidth="1"/>
    <col min="12331" max="12544" width="11.42578125" style="1"/>
    <col min="12545" max="12545" width="11.7109375" style="1" customWidth="1"/>
    <col min="12546" max="12546" width="15.85546875" style="1" customWidth="1"/>
    <col min="12547" max="12547" width="14.28515625" style="1" customWidth="1"/>
    <col min="12548" max="12548" width="14" style="1" customWidth="1"/>
    <col min="12549" max="12549" width="12" style="1" customWidth="1"/>
    <col min="12550" max="12550" width="10.85546875" style="1" customWidth="1"/>
    <col min="12551" max="12551" width="14.85546875" style="1" customWidth="1"/>
    <col min="12552" max="12552" width="14.140625" style="1" customWidth="1"/>
    <col min="12553" max="12553" width="30.28515625" style="1" customWidth="1"/>
    <col min="12554" max="12554" width="35.5703125" style="1" bestFit="1" customWidth="1"/>
    <col min="12555" max="12555" width="14.140625" style="1" customWidth="1"/>
    <col min="12556" max="12556" width="41" style="1" bestFit="1" customWidth="1"/>
    <col min="12557" max="12557" width="41.42578125" style="1" bestFit="1" customWidth="1"/>
    <col min="12558" max="12558" width="13" style="1" customWidth="1"/>
    <col min="12559" max="12560" width="13.140625" style="1" customWidth="1"/>
    <col min="12561" max="12561" width="13.7109375" style="1" customWidth="1"/>
    <col min="12562" max="12562" width="13.5703125" style="1" customWidth="1"/>
    <col min="12563" max="12563" width="14" style="1" customWidth="1"/>
    <col min="12564" max="12564" width="20.7109375" style="1" customWidth="1"/>
    <col min="12565" max="12565" width="11.7109375" style="1" customWidth="1"/>
    <col min="12566" max="12566" width="11.5703125" style="1" bestFit="1" customWidth="1"/>
    <col min="12567" max="12567" width="12.7109375" style="1" customWidth="1"/>
    <col min="12568" max="12568" width="13.140625" style="1" customWidth="1"/>
    <col min="12569" max="12569" width="11.7109375" style="1" customWidth="1"/>
    <col min="12570" max="12573" width="11.5703125" style="1" bestFit="1" customWidth="1"/>
    <col min="12574" max="12574" width="15.7109375" style="1" customWidth="1"/>
    <col min="12575" max="12575" width="7.5703125" style="1" customWidth="1"/>
    <col min="12576" max="12576" width="14.42578125" style="1" bestFit="1" customWidth="1"/>
    <col min="12577" max="12577" width="24" style="1" bestFit="1" customWidth="1"/>
    <col min="12578" max="12578" width="13.7109375" style="1" customWidth="1"/>
    <col min="12579" max="12579" width="10.5703125" style="1" customWidth="1"/>
    <col min="12580" max="12580" width="11.85546875" style="1" customWidth="1"/>
    <col min="12581" max="12581" width="11.140625" style="1" customWidth="1"/>
    <col min="12582" max="12582" width="9" style="1" customWidth="1"/>
    <col min="12583" max="12583" width="25.85546875" style="1" bestFit="1" customWidth="1"/>
    <col min="12584" max="12584" width="10.42578125" style="1" customWidth="1"/>
    <col min="12585" max="12585" width="12.28515625" style="1" customWidth="1"/>
    <col min="12586" max="12586" width="12.140625" style="1" customWidth="1"/>
    <col min="12587" max="12800" width="11.42578125" style="1"/>
    <col min="12801" max="12801" width="11.7109375" style="1" customWidth="1"/>
    <col min="12802" max="12802" width="15.85546875" style="1" customWidth="1"/>
    <col min="12803" max="12803" width="14.28515625" style="1" customWidth="1"/>
    <col min="12804" max="12804" width="14" style="1" customWidth="1"/>
    <col min="12805" max="12805" width="12" style="1" customWidth="1"/>
    <col min="12806" max="12806" width="10.85546875" style="1" customWidth="1"/>
    <col min="12807" max="12807" width="14.85546875" style="1" customWidth="1"/>
    <col min="12808" max="12808" width="14.140625" style="1" customWidth="1"/>
    <col min="12809" max="12809" width="30.28515625" style="1" customWidth="1"/>
    <col min="12810" max="12810" width="35.5703125" style="1" bestFit="1" customWidth="1"/>
    <col min="12811" max="12811" width="14.140625" style="1" customWidth="1"/>
    <col min="12812" max="12812" width="41" style="1" bestFit="1" customWidth="1"/>
    <col min="12813" max="12813" width="41.42578125" style="1" bestFit="1" customWidth="1"/>
    <col min="12814" max="12814" width="13" style="1" customWidth="1"/>
    <col min="12815" max="12816" width="13.140625" style="1" customWidth="1"/>
    <col min="12817" max="12817" width="13.7109375" style="1" customWidth="1"/>
    <col min="12818" max="12818" width="13.5703125" style="1" customWidth="1"/>
    <col min="12819" max="12819" width="14" style="1" customWidth="1"/>
    <col min="12820" max="12820" width="20.7109375" style="1" customWidth="1"/>
    <col min="12821" max="12821" width="11.7109375" style="1" customWidth="1"/>
    <col min="12822" max="12822" width="11.5703125" style="1" bestFit="1" customWidth="1"/>
    <col min="12823" max="12823" width="12.7109375" style="1" customWidth="1"/>
    <col min="12824" max="12824" width="13.140625" style="1" customWidth="1"/>
    <col min="12825" max="12825" width="11.7109375" style="1" customWidth="1"/>
    <col min="12826" max="12829" width="11.5703125" style="1" bestFit="1" customWidth="1"/>
    <col min="12830" max="12830" width="15.7109375" style="1" customWidth="1"/>
    <col min="12831" max="12831" width="7.5703125" style="1" customWidth="1"/>
    <col min="12832" max="12832" width="14.42578125" style="1" bestFit="1" customWidth="1"/>
    <col min="12833" max="12833" width="24" style="1" bestFit="1" customWidth="1"/>
    <col min="12834" max="12834" width="13.7109375" style="1" customWidth="1"/>
    <col min="12835" max="12835" width="10.5703125" style="1" customWidth="1"/>
    <col min="12836" max="12836" width="11.85546875" style="1" customWidth="1"/>
    <col min="12837" max="12837" width="11.140625" style="1" customWidth="1"/>
    <col min="12838" max="12838" width="9" style="1" customWidth="1"/>
    <col min="12839" max="12839" width="25.85546875" style="1" bestFit="1" customWidth="1"/>
    <col min="12840" max="12840" width="10.42578125" style="1" customWidth="1"/>
    <col min="12841" max="12841" width="12.28515625" style="1" customWidth="1"/>
    <col min="12842" max="12842" width="12.140625" style="1" customWidth="1"/>
    <col min="12843" max="13056" width="11.42578125" style="1"/>
    <col min="13057" max="13057" width="11.7109375" style="1" customWidth="1"/>
    <col min="13058" max="13058" width="15.85546875" style="1" customWidth="1"/>
    <col min="13059" max="13059" width="14.28515625" style="1" customWidth="1"/>
    <col min="13060" max="13060" width="14" style="1" customWidth="1"/>
    <col min="13061" max="13061" width="12" style="1" customWidth="1"/>
    <col min="13062" max="13062" width="10.85546875" style="1" customWidth="1"/>
    <col min="13063" max="13063" width="14.85546875" style="1" customWidth="1"/>
    <col min="13064" max="13064" width="14.140625" style="1" customWidth="1"/>
    <col min="13065" max="13065" width="30.28515625" style="1" customWidth="1"/>
    <col min="13066" max="13066" width="35.5703125" style="1" bestFit="1" customWidth="1"/>
    <col min="13067" max="13067" width="14.140625" style="1" customWidth="1"/>
    <col min="13068" max="13068" width="41" style="1" bestFit="1" customWidth="1"/>
    <col min="13069" max="13069" width="41.42578125" style="1" bestFit="1" customWidth="1"/>
    <col min="13070" max="13070" width="13" style="1" customWidth="1"/>
    <col min="13071" max="13072" width="13.140625" style="1" customWidth="1"/>
    <col min="13073" max="13073" width="13.7109375" style="1" customWidth="1"/>
    <col min="13074" max="13074" width="13.5703125" style="1" customWidth="1"/>
    <col min="13075" max="13075" width="14" style="1" customWidth="1"/>
    <col min="13076" max="13076" width="20.7109375" style="1" customWidth="1"/>
    <col min="13077" max="13077" width="11.7109375" style="1" customWidth="1"/>
    <col min="13078" max="13078" width="11.5703125" style="1" bestFit="1" customWidth="1"/>
    <col min="13079" max="13079" width="12.7109375" style="1" customWidth="1"/>
    <col min="13080" max="13080" width="13.140625" style="1" customWidth="1"/>
    <col min="13081" max="13081" width="11.7109375" style="1" customWidth="1"/>
    <col min="13082" max="13085" width="11.5703125" style="1" bestFit="1" customWidth="1"/>
    <col min="13086" max="13086" width="15.7109375" style="1" customWidth="1"/>
    <col min="13087" max="13087" width="7.5703125" style="1" customWidth="1"/>
    <col min="13088" max="13088" width="14.42578125" style="1" bestFit="1" customWidth="1"/>
    <col min="13089" max="13089" width="24" style="1" bestFit="1" customWidth="1"/>
    <col min="13090" max="13090" width="13.7109375" style="1" customWidth="1"/>
    <col min="13091" max="13091" width="10.5703125" style="1" customWidth="1"/>
    <col min="13092" max="13092" width="11.85546875" style="1" customWidth="1"/>
    <col min="13093" max="13093" width="11.140625" style="1" customWidth="1"/>
    <col min="13094" max="13094" width="9" style="1" customWidth="1"/>
    <col min="13095" max="13095" width="25.85546875" style="1" bestFit="1" customWidth="1"/>
    <col min="13096" max="13096" width="10.42578125" style="1" customWidth="1"/>
    <col min="13097" max="13097" width="12.28515625" style="1" customWidth="1"/>
    <col min="13098" max="13098" width="12.140625" style="1" customWidth="1"/>
    <col min="13099" max="13312" width="11.42578125" style="1"/>
    <col min="13313" max="13313" width="11.7109375" style="1" customWidth="1"/>
    <col min="13314" max="13314" width="15.85546875" style="1" customWidth="1"/>
    <col min="13315" max="13315" width="14.28515625" style="1" customWidth="1"/>
    <col min="13316" max="13316" width="14" style="1" customWidth="1"/>
    <col min="13317" max="13317" width="12" style="1" customWidth="1"/>
    <col min="13318" max="13318" width="10.85546875" style="1" customWidth="1"/>
    <col min="13319" max="13319" width="14.85546875" style="1" customWidth="1"/>
    <col min="13320" max="13320" width="14.140625" style="1" customWidth="1"/>
    <col min="13321" max="13321" width="30.28515625" style="1" customWidth="1"/>
    <col min="13322" max="13322" width="35.5703125" style="1" bestFit="1" customWidth="1"/>
    <col min="13323" max="13323" width="14.140625" style="1" customWidth="1"/>
    <col min="13324" max="13324" width="41" style="1" bestFit="1" customWidth="1"/>
    <col min="13325" max="13325" width="41.42578125" style="1" bestFit="1" customWidth="1"/>
    <col min="13326" max="13326" width="13" style="1" customWidth="1"/>
    <col min="13327" max="13328" width="13.140625" style="1" customWidth="1"/>
    <col min="13329" max="13329" width="13.7109375" style="1" customWidth="1"/>
    <col min="13330" max="13330" width="13.5703125" style="1" customWidth="1"/>
    <col min="13331" max="13331" width="14" style="1" customWidth="1"/>
    <col min="13332" max="13332" width="20.7109375" style="1" customWidth="1"/>
    <col min="13333" max="13333" width="11.7109375" style="1" customWidth="1"/>
    <col min="13334" max="13334" width="11.5703125" style="1" bestFit="1" customWidth="1"/>
    <col min="13335" max="13335" width="12.7109375" style="1" customWidth="1"/>
    <col min="13336" max="13336" width="13.140625" style="1" customWidth="1"/>
    <col min="13337" max="13337" width="11.7109375" style="1" customWidth="1"/>
    <col min="13338" max="13341" width="11.5703125" style="1" bestFit="1" customWidth="1"/>
    <col min="13342" max="13342" width="15.7109375" style="1" customWidth="1"/>
    <col min="13343" max="13343" width="7.5703125" style="1" customWidth="1"/>
    <col min="13344" max="13344" width="14.42578125" style="1" bestFit="1" customWidth="1"/>
    <col min="13345" max="13345" width="24" style="1" bestFit="1" customWidth="1"/>
    <col min="13346" max="13346" width="13.7109375" style="1" customWidth="1"/>
    <col min="13347" max="13347" width="10.5703125" style="1" customWidth="1"/>
    <col min="13348" max="13348" width="11.85546875" style="1" customWidth="1"/>
    <col min="13349" max="13349" width="11.140625" style="1" customWidth="1"/>
    <col min="13350" max="13350" width="9" style="1" customWidth="1"/>
    <col min="13351" max="13351" width="25.85546875" style="1" bestFit="1" customWidth="1"/>
    <col min="13352" max="13352" width="10.42578125" style="1" customWidth="1"/>
    <col min="13353" max="13353" width="12.28515625" style="1" customWidth="1"/>
    <col min="13354" max="13354" width="12.140625" style="1" customWidth="1"/>
    <col min="13355" max="13568" width="11.42578125" style="1"/>
    <col min="13569" max="13569" width="11.7109375" style="1" customWidth="1"/>
    <col min="13570" max="13570" width="15.85546875" style="1" customWidth="1"/>
    <col min="13571" max="13571" width="14.28515625" style="1" customWidth="1"/>
    <col min="13572" max="13572" width="14" style="1" customWidth="1"/>
    <col min="13573" max="13573" width="12" style="1" customWidth="1"/>
    <col min="13574" max="13574" width="10.85546875" style="1" customWidth="1"/>
    <col min="13575" max="13575" width="14.85546875" style="1" customWidth="1"/>
    <col min="13576" max="13576" width="14.140625" style="1" customWidth="1"/>
    <col min="13577" max="13577" width="30.28515625" style="1" customWidth="1"/>
    <col min="13578" max="13578" width="35.5703125" style="1" bestFit="1" customWidth="1"/>
    <col min="13579" max="13579" width="14.140625" style="1" customWidth="1"/>
    <col min="13580" max="13580" width="41" style="1" bestFit="1" customWidth="1"/>
    <col min="13581" max="13581" width="41.42578125" style="1" bestFit="1" customWidth="1"/>
    <col min="13582" max="13582" width="13" style="1" customWidth="1"/>
    <col min="13583" max="13584" width="13.140625" style="1" customWidth="1"/>
    <col min="13585" max="13585" width="13.7109375" style="1" customWidth="1"/>
    <col min="13586" max="13586" width="13.5703125" style="1" customWidth="1"/>
    <col min="13587" max="13587" width="14" style="1" customWidth="1"/>
    <col min="13588" max="13588" width="20.7109375" style="1" customWidth="1"/>
    <col min="13589" max="13589" width="11.7109375" style="1" customWidth="1"/>
    <col min="13590" max="13590" width="11.5703125" style="1" bestFit="1" customWidth="1"/>
    <col min="13591" max="13591" width="12.7109375" style="1" customWidth="1"/>
    <col min="13592" max="13592" width="13.140625" style="1" customWidth="1"/>
    <col min="13593" max="13593" width="11.7109375" style="1" customWidth="1"/>
    <col min="13594" max="13597" width="11.5703125" style="1" bestFit="1" customWidth="1"/>
    <col min="13598" max="13598" width="15.7109375" style="1" customWidth="1"/>
    <col min="13599" max="13599" width="7.5703125" style="1" customWidth="1"/>
    <col min="13600" max="13600" width="14.42578125" style="1" bestFit="1" customWidth="1"/>
    <col min="13601" max="13601" width="24" style="1" bestFit="1" customWidth="1"/>
    <col min="13602" max="13602" width="13.7109375" style="1" customWidth="1"/>
    <col min="13603" max="13603" width="10.5703125" style="1" customWidth="1"/>
    <col min="13604" max="13604" width="11.85546875" style="1" customWidth="1"/>
    <col min="13605" max="13605" width="11.140625" style="1" customWidth="1"/>
    <col min="13606" max="13606" width="9" style="1" customWidth="1"/>
    <col min="13607" max="13607" width="25.85546875" style="1" bestFit="1" customWidth="1"/>
    <col min="13608" max="13608" width="10.42578125" style="1" customWidth="1"/>
    <col min="13609" max="13609" width="12.28515625" style="1" customWidth="1"/>
    <col min="13610" max="13610" width="12.140625" style="1" customWidth="1"/>
    <col min="13611" max="13824" width="11.42578125" style="1"/>
    <col min="13825" max="13825" width="11.7109375" style="1" customWidth="1"/>
    <col min="13826" max="13826" width="15.85546875" style="1" customWidth="1"/>
    <col min="13827" max="13827" width="14.28515625" style="1" customWidth="1"/>
    <col min="13828" max="13828" width="14" style="1" customWidth="1"/>
    <col min="13829" max="13829" width="12" style="1" customWidth="1"/>
    <col min="13830" max="13830" width="10.85546875" style="1" customWidth="1"/>
    <col min="13831" max="13831" width="14.85546875" style="1" customWidth="1"/>
    <col min="13832" max="13832" width="14.140625" style="1" customWidth="1"/>
    <col min="13833" max="13833" width="30.28515625" style="1" customWidth="1"/>
    <col min="13834" max="13834" width="35.5703125" style="1" bestFit="1" customWidth="1"/>
    <col min="13835" max="13835" width="14.140625" style="1" customWidth="1"/>
    <col min="13836" max="13836" width="41" style="1" bestFit="1" customWidth="1"/>
    <col min="13837" max="13837" width="41.42578125" style="1" bestFit="1" customWidth="1"/>
    <col min="13838" max="13838" width="13" style="1" customWidth="1"/>
    <col min="13839" max="13840" width="13.140625" style="1" customWidth="1"/>
    <col min="13841" max="13841" width="13.7109375" style="1" customWidth="1"/>
    <col min="13842" max="13842" width="13.5703125" style="1" customWidth="1"/>
    <col min="13843" max="13843" width="14" style="1" customWidth="1"/>
    <col min="13844" max="13844" width="20.7109375" style="1" customWidth="1"/>
    <col min="13845" max="13845" width="11.7109375" style="1" customWidth="1"/>
    <col min="13846" max="13846" width="11.5703125" style="1" bestFit="1" customWidth="1"/>
    <col min="13847" max="13847" width="12.7109375" style="1" customWidth="1"/>
    <col min="13848" max="13848" width="13.140625" style="1" customWidth="1"/>
    <col min="13849" max="13849" width="11.7109375" style="1" customWidth="1"/>
    <col min="13850" max="13853" width="11.5703125" style="1" bestFit="1" customWidth="1"/>
    <col min="13854" max="13854" width="15.7109375" style="1" customWidth="1"/>
    <col min="13855" max="13855" width="7.5703125" style="1" customWidth="1"/>
    <col min="13856" max="13856" width="14.42578125" style="1" bestFit="1" customWidth="1"/>
    <col min="13857" max="13857" width="24" style="1" bestFit="1" customWidth="1"/>
    <col min="13858" max="13858" width="13.7109375" style="1" customWidth="1"/>
    <col min="13859" max="13859" width="10.5703125" style="1" customWidth="1"/>
    <col min="13860" max="13860" width="11.85546875" style="1" customWidth="1"/>
    <col min="13861" max="13861" width="11.140625" style="1" customWidth="1"/>
    <col min="13862" max="13862" width="9" style="1" customWidth="1"/>
    <col min="13863" max="13863" width="25.85546875" style="1" bestFit="1" customWidth="1"/>
    <col min="13864" max="13864" width="10.42578125" style="1" customWidth="1"/>
    <col min="13865" max="13865" width="12.28515625" style="1" customWidth="1"/>
    <col min="13866" max="13866" width="12.140625" style="1" customWidth="1"/>
    <col min="13867" max="14080" width="11.42578125" style="1"/>
    <col min="14081" max="14081" width="11.7109375" style="1" customWidth="1"/>
    <col min="14082" max="14082" width="15.85546875" style="1" customWidth="1"/>
    <col min="14083" max="14083" width="14.28515625" style="1" customWidth="1"/>
    <col min="14084" max="14084" width="14" style="1" customWidth="1"/>
    <col min="14085" max="14085" width="12" style="1" customWidth="1"/>
    <col min="14086" max="14086" width="10.85546875" style="1" customWidth="1"/>
    <col min="14087" max="14087" width="14.85546875" style="1" customWidth="1"/>
    <col min="14088" max="14088" width="14.140625" style="1" customWidth="1"/>
    <col min="14089" max="14089" width="30.28515625" style="1" customWidth="1"/>
    <col min="14090" max="14090" width="35.5703125" style="1" bestFit="1" customWidth="1"/>
    <col min="14091" max="14091" width="14.140625" style="1" customWidth="1"/>
    <col min="14092" max="14092" width="41" style="1" bestFit="1" customWidth="1"/>
    <col min="14093" max="14093" width="41.42578125" style="1" bestFit="1" customWidth="1"/>
    <col min="14094" max="14094" width="13" style="1" customWidth="1"/>
    <col min="14095" max="14096" width="13.140625" style="1" customWidth="1"/>
    <col min="14097" max="14097" width="13.7109375" style="1" customWidth="1"/>
    <col min="14098" max="14098" width="13.5703125" style="1" customWidth="1"/>
    <col min="14099" max="14099" width="14" style="1" customWidth="1"/>
    <col min="14100" max="14100" width="20.7109375" style="1" customWidth="1"/>
    <col min="14101" max="14101" width="11.7109375" style="1" customWidth="1"/>
    <col min="14102" max="14102" width="11.5703125" style="1" bestFit="1" customWidth="1"/>
    <col min="14103" max="14103" width="12.7109375" style="1" customWidth="1"/>
    <col min="14104" max="14104" width="13.140625" style="1" customWidth="1"/>
    <col min="14105" max="14105" width="11.7109375" style="1" customWidth="1"/>
    <col min="14106" max="14109" width="11.5703125" style="1" bestFit="1" customWidth="1"/>
    <col min="14110" max="14110" width="15.7109375" style="1" customWidth="1"/>
    <col min="14111" max="14111" width="7.5703125" style="1" customWidth="1"/>
    <col min="14112" max="14112" width="14.42578125" style="1" bestFit="1" customWidth="1"/>
    <col min="14113" max="14113" width="24" style="1" bestFit="1" customWidth="1"/>
    <col min="14114" max="14114" width="13.7109375" style="1" customWidth="1"/>
    <col min="14115" max="14115" width="10.5703125" style="1" customWidth="1"/>
    <col min="14116" max="14116" width="11.85546875" style="1" customWidth="1"/>
    <col min="14117" max="14117" width="11.140625" style="1" customWidth="1"/>
    <col min="14118" max="14118" width="9" style="1" customWidth="1"/>
    <col min="14119" max="14119" width="25.85546875" style="1" bestFit="1" customWidth="1"/>
    <col min="14120" max="14120" width="10.42578125" style="1" customWidth="1"/>
    <col min="14121" max="14121" width="12.28515625" style="1" customWidth="1"/>
    <col min="14122" max="14122" width="12.140625" style="1" customWidth="1"/>
    <col min="14123" max="14336" width="11.42578125" style="1"/>
    <col min="14337" max="14337" width="11.7109375" style="1" customWidth="1"/>
    <col min="14338" max="14338" width="15.85546875" style="1" customWidth="1"/>
    <col min="14339" max="14339" width="14.28515625" style="1" customWidth="1"/>
    <col min="14340" max="14340" width="14" style="1" customWidth="1"/>
    <col min="14341" max="14341" width="12" style="1" customWidth="1"/>
    <col min="14342" max="14342" width="10.85546875" style="1" customWidth="1"/>
    <col min="14343" max="14343" width="14.85546875" style="1" customWidth="1"/>
    <col min="14344" max="14344" width="14.140625" style="1" customWidth="1"/>
    <col min="14345" max="14345" width="30.28515625" style="1" customWidth="1"/>
    <col min="14346" max="14346" width="35.5703125" style="1" bestFit="1" customWidth="1"/>
    <col min="14347" max="14347" width="14.140625" style="1" customWidth="1"/>
    <col min="14348" max="14348" width="41" style="1" bestFit="1" customWidth="1"/>
    <col min="14349" max="14349" width="41.42578125" style="1" bestFit="1" customWidth="1"/>
    <col min="14350" max="14350" width="13" style="1" customWidth="1"/>
    <col min="14351" max="14352" width="13.140625" style="1" customWidth="1"/>
    <col min="14353" max="14353" width="13.7109375" style="1" customWidth="1"/>
    <col min="14354" max="14354" width="13.5703125" style="1" customWidth="1"/>
    <col min="14355" max="14355" width="14" style="1" customWidth="1"/>
    <col min="14356" max="14356" width="20.7109375" style="1" customWidth="1"/>
    <col min="14357" max="14357" width="11.7109375" style="1" customWidth="1"/>
    <col min="14358" max="14358" width="11.5703125" style="1" bestFit="1" customWidth="1"/>
    <col min="14359" max="14359" width="12.7109375" style="1" customWidth="1"/>
    <col min="14360" max="14360" width="13.140625" style="1" customWidth="1"/>
    <col min="14361" max="14361" width="11.7109375" style="1" customWidth="1"/>
    <col min="14362" max="14365" width="11.5703125" style="1" bestFit="1" customWidth="1"/>
    <col min="14366" max="14366" width="15.7109375" style="1" customWidth="1"/>
    <col min="14367" max="14367" width="7.5703125" style="1" customWidth="1"/>
    <col min="14368" max="14368" width="14.42578125" style="1" bestFit="1" customWidth="1"/>
    <col min="14369" max="14369" width="24" style="1" bestFit="1" customWidth="1"/>
    <col min="14370" max="14370" width="13.7109375" style="1" customWidth="1"/>
    <col min="14371" max="14371" width="10.5703125" style="1" customWidth="1"/>
    <col min="14372" max="14372" width="11.85546875" style="1" customWidth="1"/>
    <col min="14373" max="14373" width="11.140625" style="1" customWidth="1"/>
    <col min="14374" max="14374" width="9" style="1" customWidth="1"/>
    <col min="14375" max="14375" width="25.85546875" style="1" bestFit="1" customWidth="1"/>
    <col min="14376" max="14376" width="10.42578125" style="1" customWidth="1"/>
    <col min="14377" max="14377" width="12.28515625" style="1" customWidth="1"/>
    <col min="14378" max="14378" width="12.140625" style="1" customWidth="1"/>
    <col min="14379" max="14592" width="11.42578125" style="1"/>
    <col min="14593" max="14593" width="11.7109375" style="1" customWidth="1"/>
    <col min="14594" max="14594" width="15.85546875" style="1" customWidth="1"/>
    <col min="14595" max="14595" width="14.28515625" style="1" customWidth="1"/>
    <col min="14596" max="14596" width="14" style="1" customWidth="1"/>
    <col min="14597" max="14597" width="12" style="1" customWidth="1"/>
    <col min="14598" max="14598" width="10.85546875" style="1" customWidth="1"/>
    <col min="14599" max="14599" width="14.85546875" style="1" customWidth="1"/>
    <col min="14600" max="14600" width="14.140625" style="1" customWidth="1"/>
    <col min="14601" max="14601" width="30.28515625" style="1" customWidth="1"/>
    <col min="14602" max="14602" width="35.5703125" style="1" bestFit="1" customWidth="1"/>
    <col min="14603" max="14603" width="14.140625" style="1" customWidth="1"/>
    <col min="14604" max="14604" width="41" style="1" bestFit="1" customWidth="1"/>
    <col min="14605" max="14605" width="41.42578125" style="1" bestFit="1" customWidth="1"/>
    <col min="14606" max="14606" width="13" style="1" customWidth="1"/>
    <col min="14607" max="14608" width="13.140625" style="1" customWidth="1"/>
    <col min="14609" max="14609" width="13.7109375" style="1" customWidth="1"/>
    <col min="14610" max="14610" width="13.5703125" style="1" customWidth="1"/>
    <col min="14611" max="14611" width="14" style="1" customWidth="1"/>
    <col min="14612" max="14612" width="20.7109375" style="1" customWidth="1"/>
    <col min="14613" max="14613" width="11.7109375" style="1" customWidth="1"/>
    <col min="14614" max="14614" width="11.5703125" style="1" bestFit="1" customWidth="1"/>
    <col min="14615" max="14615" width="12.7109375" style="1" customWidth="1"/>
    <col min="14616" max="14616" width="13.140625" style="1" customWidth="1"/>
    <col min="14617" max="14617" width="11.7109375" style="1" customWidth="1"/>
    <col min="14618" max="14621" width="11.5703125" style="1" bestFit="1" customWidth="1"/>
    <col min="14622" max="14622" width="15.7109375" style="1" customWidth="1"/>
    <col min="14623" max="14623" width="7.5703125" style="1" customWidth="1"/>
    <col min="14624" max="14624" width="14.42578125" style="1" bestFit="1" customWidth="1"/>
    <col min="14625" max="14625" width="24" style="1" bestFit="1" customWidth="1"/>
    <col min="14626" max="14626" width="13.7109375" style="1" customWidth="1"/>
    <col min="14627" max="14627" width="10.5703125" style="1" customWidth="1"/>
    <col min="14628" max="14628" width="11.85546875" style="1" customWidth="1"/>
    <col min="14629" max="14629" width="11.140625" style="1" customWidth="1"/>
    <col min="14630" max="14630" width="9" style="1" customWidth="1"/>
    <col min="14631" max="14631" width="25.85546875" style="1" bestFit="1" customWidth="1"/>
    <col min="14632" max="14632" width="10.42578125" style="1" customWidth="1"/>
    <col min="14633" max="14633" width="12.28515625" style="1" customWidth="1"/>
    <col min="14634" max="14634" width="12.140625" style="1" customWidth="1"/>
    <col min="14635" max="14848" width="11.42578125" style="1"/>
    <col min="14849" max="14849" width="11.7109375" style="1" customWidth="1"/>
    <col min="14850" max="14850" width="15.85546875" style="1" customWidth="1"/>
    <col min="14851" max="14851" width="14.28515625" style="1" customWidth="1"/>
    <col min="14852" max="14852" width="14" style="1" customWidth="1"/>
    <col min="14853" max="14853" width="12" style="1" customWidth="1"/>
    <col min="14854" max="14854" width="10.85546875" style="1" customWidth="1"/>
    <col min="14855" max="14855" width="14.85546875" style="1" customWidth="1"/>
    <col min="14856" max="14856" width="14.140625" style="1" customWidth="1"/>
    <col min="14857" max="14857" width="30.28515625" style="1" customWidth="1"/>
    <col min="14858" max="14858" width="35.5703125" style="1" bestFit="1" customWidth="1"/>
    <col min="14859" max="14859" width="14.140625" style="1" customWidth="1"/>
    <col min="14860" max="14860" width="41" style="1" bestFit="1" customWidth="1"/>
    <col min="14861" max="14861" width="41.42578125" style="1" bestFit="1" customWidth="1"/>
    <col min="14862" max="14862" width="13" style="1" customWidth="1"/>
    <col min="14863" max="14864" width="13.140625" style="1" customWidth="1"/>
    <col min="14865" max="14865" width="13.7109375" style="1" customWidth="1"/>
    <col min="14866" max="14866" width="13.5703125" style="1" customWidth="1"/>
    <col min="14867" max="14867" width="14" style="1" customWidth="1"/>
    <col min="14868" max="14868" width="20.7109375" style="1" customWidth="1"/>
    <col min="14869" max="14869" width="11.7109375" style="1" customWidth="1"/>
    <col min="14870" max="14870" width="11.5703125" style="1" bestFit="1" customWidth="1"/>
    <col min="14871" max="14871" width="12.7109375" style="1" customWidth="1"/>
    <col min="14872" max="14872" width="13.140625" style="1" customWidth="1"/>
    <col min="14873" max="14873" width="11.7109375" style="1" customWidth="1"/>
    <col min="14874" max="14877" width="11.5703125" style="1" bestFit="1" customWidth="1"/>
    <col min="14878" max="14878" width="15.7109375" style="1" customWidth="1"/>
    <col min="14879" max="14879" width="7.5703125" style="1" customWidth="1"/>
    <col min="14880" max="14880" width="14.42578125" style="1" bestFit="1" customWidth="1"/>
    <col min="14881" max="14881" width="24" style="1" bestFit="1" customWidth="1"/>
    <col min="14882" max="14882" width="13.7109375" style="1" customWidth="1"/>
    <col min="14883" max="14883" width="10.5703125" style="1" customWidth="1"/>
    <col min="14884" max="14884" width="11.85546875" style="1" customWidth="1"/>
    <col min="14885" max="14885" width="11.140625" style="1" customWidth="1"/>
    <col min="14886" max="14886" width="9" style="1" customWidth="1"/>
    <col min="14887" max="14887" width="25.85546875" style="1" bestFit="1" customWidth="1"/>
    <col min="14888" max="14888" width="10.42578125" style="1" customWidth="1"/>
    <col min="14889" max="14889" width="12.28515625" style="1" customWidth="1"/>
    <col min="14890" max="14890" width="12.140625" style="1" customWidth="1"/>
    <col min="14891" max="15104" width="11.42578125" style="1"/>
    <col min="15105" max="15105" width="11.7109375" style="1" customWidth="1"/>
    <col min="15106" max="15106" width="15.85546875" style="1" customWidth="1"/>
    <col min="15107" max="15107" width="14.28515625" style="1" customWidth="1"/>
    <col min="15108" max="15108" width="14" style="1" customWidth="1"/>
    <col min="15109" max="15109" width="12" style="1" customWidth="1"/>
    <col min="15110" max="15110" width="10.85546875" style="1" customWidth="1"/>
    <col min="15111" max="15111" width="14.85546875" style="1" customWidth="1"/>
    <col min="15112" max="15112" width="14.140625" style="1" customWidth="1"/>
    <col min="15113" max="15113" width="30.28515625" style="1" customWidth="1"/>
    <col min="15114" max="15114" width="35.5703125" style="1" bestFit="1" customWidth="1"/>
    <col min="15115" max="15115" width="14.140625" style="1" customWidth="1"/>
    <col min="15116" max="15116" width="41" style="1" bestFit="1" customWidth="1"/>
    <col min="15117" max="15117" width="41.42578125" style="1" bestFit="1" customWidth="1"/>
    <col min="15118" max="15118" width="13" style="1" customWidth="1"/>
    <col min="15119" max="15120" width="13.140625" style="1" customWidth="1"/>
    <col min="15121" max="15121" width="13.7109375" style="1" customWidth="1"/>
    <col min="15122" max="15122" width="13.5703125" style="1" customWidth="1"/>
    <col min="15123" max="15123" width="14" style="1" customWidth="1"/>
    <col min="15124" max="15124" width="20.7109375" style="1" customWidth="1"/>
    <col min="15125" max="15125" width="11.7109375" style="1" customWidth="1"/>
    <col min="15126" max="15126" width="11.5703125" style="1" bestFit="1" customWidth="1"/>
    <col min="15127" max="15127" width="12.7109375" style="1" customWidth="1"/>
    <col min="15128" max="15128" width="13.140625" style="1" customWidth="1"/>
    <col min="15129" max="15129" width="11.7109375" style="1" customWidth="1"/>
    <col min="15130" max="15133" width="11.5703125" style="1" bestFit="1" customWidth="1"/>
    <col min="15134" max="15134" width="15.7109375" style="1" customWidth="1"/>
    <col min="15135" max="15135" width="7.5703125" style="1" customWidth="1"/>
    <col min="15136" max="15136" width="14.42578125" style="1" bestFit="1" customWidth="1"/>
    <col min="15137" max="15137" width="24" style="1" bestFit="1" customWidth="1"/>
    <col min="15138" max="15138" width="13.7109375" style="1" customWidth="1"/>
    <col min="15139" max="15139" width="10.5703125" style="1" customWidth="1"/>
    <col min="15140" max="15140" width="11.85546875" style="1" customWidth="1"/>
    <col min="15141" max="15141" width="11.140625" style="1" customWidth="1"/>
    <col min="15142" max="15142" width="9" style="1" customWidth="1"/>
    <col min="15143" max="15143" width="25.85546875" style="1" bestFit="1" customWidth="1"/>
    <col min="15144" max="15144" width="10.42578125" style="1" customWidth="1"/>
    <col min="15145" max="15145" width="12.28515625" style="1" customWidth="1"/>
    <col min="15146" max="15146" width="12.140625" style="1" customWidth="1"/>
    <col min="15147" max="15360" width="11.42578125" style="1"/>
    <col min="15361" max="15361" width="11.7109375" style="1" customWidth="1"/>
    <col min="15362" max="15362" width="15.85546875" style="1" customWidth="1"/>
    <col min="15363" max="15363" width="14.28515625" style="1" customWidth="1"/>
    <col min="15364" max="15364" width="14" style="1" customWidth="1"/>
    <col min="15365" max="15365" width="12" style="1" customWidth="1"/>
    <col min="15366" max="15366" width="10.85546875" style="1" customWidth="1"/>
    <col min="15367" max="15367" width="14.85546875" style="1" customWidth="1"/>
    <col min="15368" max="15368" width="14.140625" style="1" customWidth="1"/>
    <col min="15369" max="15369" width="30.28515625" style="1" customWidth="1"/>
    <col min="15370" max="15370" width="35.5703125" style="1" bestFit="1" customWidth="1"/>
    <col min="15371" max="15371" width="14.140625" style="1" customWidth="1"/>
    <col min="15372" max="15372" width="41" style="1" bestFit="1" customWidth="1"/>
    <col min="15373" max="15373" width="41.42578125" style="1" bestFit="1" customWidth="1"/>
    <col min="15374" max="15374" width="13" style="1" customWidth="1"/>
    <col min="15375" max="15376" width="13.140625" style="1" customWidth="1"/>
    <col min="15377" max="15377" width="13.7109375" style="1" customWidth="1"/>
    <col min="15378" max="15378" width="13.5703125" style="1" customWidth="1"/>
    <col min="15379" max="15379" width="14" style="1" customWidth="1"/>
    <col min="15380" max="15380" width="20.7109375" style="1" customWidth="1"/>
    <col min="15381" max="15381" width="11.7109375" style="1" customWidth="1"/>
    <col min="15382" max="15382" width="11.5703125" style="1" bestFit="1" customWidth="1"/>
    <col min="15383" max="15383" width="12.7109375" style="1" customWidth="1"/>
    <col min="15384" max="15384" width="13.140625" style="1" customWidth="1"/>
    <col min="15385" max="15385" width="11.7109375" style="1" customWidth="1"/>
    <col min="15386" max="15389" width="11.5703125" style="1" bestFit="1" customWidth="1"/>
    <col min="15390" max="15390" width="15.7109375" style="1" customWidth="1"/>
    <col min="15391" max="15391" width="7.5703125" style="1" customWidth="1"/>
    <col min="15392" max="15392" width="14.42578125" style="1" bestFit="1" customWidth="1"/>
    <col min="15393" max="15393" width="24" style="1" bestFit="1" customWidth="1"/>
    <col min="15394" max="15394" width="13.7109375" style="1" customWidth="1"/>
    <col min="15395" max="15395" width="10.5703125" style="1" customWidth="1"/>
    <col min="15396" max="15396" width="11.85546875" style="1" customWidth="1"/>
    <col min="15397" max="15397" width="11.140625" style="1" customWidth="1"/>
    <col min="15398" max="15398" width="9" style="1" customWidth="1"/>
    <col min="15399" max="15399" width="25.85546875" style="1" bestFit="1" customWidth="1"/>
    <col min="15400" max="15400" width="10.42578125" style="1" customWidth="1"/>
    <col min="15401" max="15401" width="12.28515625" style="1" customWidth="1"/>
    <col min="15402" max="15402" width="12.140625" style="1" customWidth="1"/>
    <col min="15403" max="15616" width="11.42578125" style="1"/>
    <col min="15617" max="15617" width="11.7109375" style="1" customWidth="1"/>
    <col min="15618" max="15618" width="15.85546875" style="1" customWidth="1"/>
    <col min="15619" max="15619" width="14.28515625" style="1" customWidth="1"/>
    <col min="15620" max="15620" width="14" style="1" customWidth="1"/>
    <col min="15621" max="15621" width="12" style="1" customWidth="1"/>
    <col min="15622" max="15622" width="10.85546875" style="1" customWidth="1"/>
    <col min="15623" max="15623" width="14.85546875" style="1" customWidth="1"/>
    <col min="15624" max="15624" width="14.140625" style="1" customWidth="1"/>
    <col min="15625" max="15625" width="30.28515625" style="1" customWidth="1"/>
    <col min="15626" max="15626" width="35.5703125" style="1" bestFit="1" customWidth="1"/>
    <col min="15627" max="15627" width="14.140625" style="1" customWidth="1"/>
    <col min="15628" max="15628" width="41" style="1" bestFit="1" customWidth="1"/>
    <col min="15629" max="15629" width="41.42578125" style="1" bestFit="1" customWidth="1"/>
    <col min="15630" max="15630" width="13" style="1" customWidth="1"/>
    <col min="15631" max="15632" width="13.140625" style="1" customWidth="1"/>
    <col min="15633" max="15633" width="13.7109375" style="1" customWidth="1"/>
    <col min="15634" max="15634" width="13.5703125" style="1" customWidth="1"/>
    <col min="15635" max="15635" width="14" style="1" customWidth="1"/>
    <col min="15636" max="15636" width="20.7109375" style="1" customWidth="1"/>
    <col min="15637" max="15637" width="11.7109375" style="1" customWidth="1"/>
    <col min="15638" max="15638" width="11.5703125" style="1" bestFit="1" customWidth="1"/>
    <col min="15639" max="15639" width="12.7109375" style="1" customWidth="1"/>
    <col min="15640" max="15640" width="13.140625" style="1" customWidth="1"/>
    <col min="15641" max="15641" width="11.7109375" style="1" customWidth="1"/>
    <col min="15642" max="15645" width="11.5703125" style="1" bestFit="1" customWidth="1"/>
    <col min="15646" max="15646" width="15.7109375" style="1" customWidth="1"/>
    <col min="15647" max="15647" width="7.5703125" style="1" customWidth="1"/>
    <col min="15648" max="15648" width="14.42578125" style="1" bestFit="1" customWidth="1"/>
    <col min="15649" max="15649" width="24" style="1" bestFit="1" customWidth="1"/>
    <col min="15650" max="15650" width="13.7109375" style="1" customWidth="1"/>
    <col min="15651" max="15651" width="10.5703125" style="1" customWidth="1"/>
    <col min="15652" max="15652" width="11.85546875" style="1" customWidth="1"/>
    <col min="15653" max="15653" width="11.140625" style="1" customWidth="1"/>
    <col min="15654" max="15654" width="9" style="1" customWidth="1"/>
    <col min="15655" max="15655" width="25.85546875" style="1" bestFit="1" customWidth="1"/>
    <col min="15656" max="15656" width="10.42578125" style="1" customWidth="1"/>
    <col min="15657" max="15657" width="12.28515625" style="1" customWidth="1"/>
    <col min="15658" max="15658" width="12.140625" style="1" customWidth="1"/>
    <col min="15659" max="15872" width="11.42578125" style="1"/>
    <col min="15873" max="15873" width="11.7109375" style="1" customWidth="1"/>
    <col min="15874" max="15874" width="15.85546875" style="1" customWidth="1"/>
    <col min="15875" max="15875" width="14.28515625" style="1" customWidth="1"/>
    <col min="15876" max="15876" width="14" style="1" customWidth="1"/>
    <col min="15877" max="15877" width="12" style="1" customWidth="1"/>
    <col min="15878" max="15878" width="10.85546875" style="1" customWidth="1"/>
    <col min="15879" max="15879" width="14.85546875" style="1" customWidth="1"/>
    <col min="15880" max="15880" width="14.140625" style="1" customWidth="1"/>
    <col min="15881" max="15881" width="30.28515625" style="1" customWidth="1"/>
    <col min="15882" max="15882" width="35.5703125" style="1" bestFit="1" customWidth="1"/>
    <col min="15883" max="15883" width="14.140625" style="1" customWidth="1"/>
    <col min="15884" max="15884" width="41" style="1" bestFit="1" customWidth="1"/>
    <col min="15885" max="15885" width="41.42578125" style="1" bestFit="1" customWidth="1"/>
    <col min="15886" max="15886" width="13" style="1" customWidth="1"/>
    <col min="15887" max="15888" width="13.140625" style="1" customWidth="1"/>
    <col min="15889" max="15889" width="13.7109375" style="1" customWidth="1"/>
    <col min="15890" max="15890" width="13.5703125" style="1" customWidth="1"/>
    <col min="15891" max="15891" width="14" style="1" customWidth="1"/>
    <col min="15892" max="15892" width="20.7109375" style="1" customWidth="1"/>
    <col min="15893" max="15893" width="11.7109375" style="1" customWidth="1"/>
    <col min="15894" max="15894" width="11.5703125" style="1" bestFit="1" customWidth="1"/>
    <col min="15895" max="15895" width="12.7109375" style="1" customWidth="1"/>
    <col min="15896" max="15896" width="13.140625" style="1" customWidth="1"/>
    <col min="15897" max="15897" width="11.7109375" style="1" customWidth="1"/>
    <col min="15898" max="15901" width="11.5703125" style="1" bestFit="1" customWidth="1"/>
    <col min="15902" max="15902" width="15.7109375" style="1" customWidth="1"/>
    <col min="15903" max="15903" width="7.5703125" style="1" customWidth="1"/>
    <col min="15904" max="15904" width="14.42578125" style="1" bestFit="1" customWidth="1"/>
    <col min="15905" max="15905" width="24" style="1" bestFit="1" customWidth="1"/>
    <col min="15906" max="15906" width="13.7109375" style="1" customWidth="1"/>
    <col min="15907" max="15907" width="10.5703125" style="1" customWidth="1"/>
    <col min="15908" max="15908" width="11.85546875" style="1" customWidth="1"/>
    <col min="15909" max="15909" width="11.140625" style="1" customWidth="1"/>
    <col min="15910" max="15910" width="9" style="1" customWidth="1"/>
    <col min="15911" max="15911" width="25.85546875" style="1" bestFit="1" customWidth="1"/>
    <col min="15912" max="15912" width="10.42578125" style="1" customWidth="1"/>
    <col min="15913" max="15913" width="12.28515625" style="1" customWidth="1"/>
    <col min="15914" max="15914" width="12.140625" style="1" customWidth="1"/>
    <col min="15915" max="16128" width="11.42578125" style="1"/>
    <col min="16129" max="16129" width="11.7109375" style="1" customWidth="1"/>
    <col min="16130" max="16130" width="15.85546875" style="1" customWidth="1"/>
    <col min="16131" max="16131" width="14.28515625" style="1" customWidth="1"/>
    <col min="16132" max="16132" width="14" style="1" customWidth="1"/>
    <col min="16133" max="16133" width="12" style="1" customWidth="1"/>
    <col min="16134" max="16134" width="10.85546875" style="1" customWidth="1"/>
    <col min="16135" max="16135" width="14.85546875" style="1" customWidth="1"/>
    <col min="16136" max="16136" width="14.140625" style="1" customWidth="1"/>
    <col min="16137" max="16137" width="30.28515625" style="1" customWidth="1"/>
    <col min="16138" max="16138" width="35.5703125" style="1" bestFit="1" customWidth="1"/>
    <col min="16139" max="16139" width="14.140625" style="1" customWidth="1"/>
    <col min="16140" max="16140" width="41" style="1" bestFit="1" customWidth="1"/>
    <col min="16141" max="16141" width="41.42578125" style="1" bestFit="1" customWidth="1"/>
    <col min="16142" max="16142" width="13" style="1" customWidth="1"/>
    <col min="16143" max="16144" width="13.140625" style="1" customWidth="1"/>
    <col min="16145" max="16145" width="13.7109375" style="1" customWidth="1"/>
    <col min="16146" max="16146" width="13.5703125" style="1" customWidth="1"/>
    <col min="16147" max="16147" width="14" style="1" customWidth="1"/>
    <col min="16148" max="16148" width="20.7109375" style="1" customWidth="1"/>
    <col min="16149" max="16149" width="11.7109375" style="1" customWidth="1"/>
    <col min="16150" max="16150" width="11.5703125" style="1" bestFit="1" customWidth="1"/>
    <col min="16151" max="16151" width="12.7109375" style="1" customWidth="1"/>
    <col min="16152" max="16152" width="13.140625" style="1" customWidth="1"/>
    <col min="16153" max="16153" width="11.7109375" style="1" customWidth="1"/>
    <col min="16154" max="16157" width="11.5703125" style="1" bestFit="1" customWidth="1"/>
    <col min="16158" max="16158" width="15.7109375" style="1" customWidth="1"/>
    <col min="16159" max="16159" width="7.5703125" style="1" customWidth="1"/>
    <col min="16160" max="16160" width="14.42578125" style="1" bestFit="1" customWidth="1"/>
    <col min="16161" max="16161" width="24" style="1" bestFit="1" customWidth="1"/>
    <col min="16162" max="16162" width="13.7109375" style="1" customWidth="1"/>
    <col min="16163" max="16163" width="10.5703125" style="1" customWidth="1"/>
    <col min="16164" max="16164" width="11.85546875" style="1" customWidth="1"/>
    <col min="16165" max="16165" width="11.140625" style="1" customWidth="1"/>
    <col min="16166" max="16166" width="9" style="1" customWidth="1"/>
    <col min="16167" max="16167" width="25.85546875" style="1" bestFit="1" customWidth="1"/>
    <col min="16168" max="16168" width="10.42578125" style="1" customWidth="1"/>
    <col min="16169" max="16169" width="12.28515625" style="1" customWidth="1"/>
    <col min="16170" max="16170" width="12.140625" style="1" customWidth="1"/>
    <col min="16171"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1812</v>
      </c>
      <c r="D5" s="24"/>
      <c r="E5" s="24"/>
      <c r="F5" s="24"/>
      <c r="G5" s="24"/>
      <c r="H5" s="24"/>
      <c r="I5" s="292"/>
      <c r="J5" s="292"/>
      <c r="K5" s="24"/>
      <c r="L5" s="292"/>
      <c r="M5" s="292"/>
      <c r="N5" s="292"/>
      <c r="O5" s="292"/>
      <c r="P5" s="293"/>
      <c r="Q5" s="285"/>
      <c r="R5" s="285"/>
      <c r="S5" s="285"/>
      <c r="T5" s="285"/>
      <c r="U5" s="285"/>
      <c r="V5" s="285"/>
      <c r="W5" s="285"/>
      <c r="X5" s="285"/>
      <c r="Y5" s="285"/>
      <c r="Z5" s="285"/>
      <c r="AA5" s="285"/>
      <c r="AB5" s="285"/>
      <c r="AC5" s="285"/>
      <c r="AD5" s="285"/>
    </row>
    <row r="7" spans="1:42" s="294" customFormat="1" ht="14.25" x14ac:dyDescent="0.2">
      <c r="A7" s="633" t="s">
        <v>6</v>
      </c>
      <c r="B7" s="633" t="s">
        <v>7</v>
      </c>
      <c r="C7" s="633" t="s">
        <v>8</v>
      </c>
      <c r="D7" s="633" t="s">
        <v>1673</v>
      </c>
      <c r="E7" s="633" t="s">
        <v>11</v>
      </c>
      <c r="F7" s="633" t="s">
        <v>12</v>
      </c>
      <c r="G7" s="633" t="s">
        <v>13</v>
      </c>
      <c r="H7" s="633" t="s">
        <v>62</v>
      </c>
      <c r="I7" s="669" t="s">
        <v>63</v>
      </c>
      <c r="J7" s="669" t="s">
        <v>64</v>
      </c>
      <c r="K7" s="633" t="s">
        <v>65</v>
      </c>
      <c r="L7" s="669" t="s">
        <v>66</v>
      </c>
      <c r="M7" s="669" t="s">
        <v>67</v>
      </c>
      <c r="N7" s="633" t="s">
        <v>68</v>
      </c>
      <c r="O7" s="669" t="s">
        <v>69</v>
      </c>
      <c r="P7" s="669" t="s">
        <v>70</v>
      </c>
      <c r="Q7" s="633" t="s">
        <v>71</v>
      </c>
      <c r="R7" s="633" t="s">
        <v>72</v>
      </c>
      <c r="S7" s="633" t="s">
        <v>73</v>
      </c>
      <c r="T7" s="638" t="s">
        <v>74</v>
      </c>
      <c r="U7" s="639"/>
      <c r="V7" s="639"/>
      <c r="W7" s="639"/>
      <c r="X7" s="639"/>
      <c r="Y7" s="639"/>
      <c r="Z7" s="639"/>
      <c r="AA7" s="639"/>
      <c r="AB7" s="639"/>
      <c r="AC7" s="639"/>
      <c r="AD7" s="665" t="s">
        <v>22</v>
      </c>
      <c r="AE7" s="642" t="s">
        <v>75</v>
      </c>
      <c r="AF7" s="643"/>
      <c r="AG7" s="643"/>
      <c r="AH7" s="643"/>
      <c r="AI7" s="643"/>
      <c r="AJ7" s="643"/>
      <c r="AK7" s="643"/>
      <c r="AL7" s="643"/>
      <c r="AM7" s="643"/>
      <c r="AN7" s="643"/>
      <c r="AO7" s="643"/>
      <c r="AP7" s="644"/>
    </row>
    <row r="8" spans="1:42" ht="36" x14ac:dyDescent="0.25">
      <c r="A8" s="634"/>
      <c r="B8" s="634"/>
      <c r="C8" s="634"/>
      <c r="D8" s="634"/>
      <c r="E8" s="634"/>
      <c r="F8" s="634"/>
      <c r="G8" s="634"/>
      <c r="H8" s="634"/>
      <c r="I8" s="679"/>
      <c r="J8" s="679"/>
      <c r="K8" s="634"/>
      <c r="L8" s="679"/>
      <c r="M8" s="679"/>
      <c r="N8" s="634"/>
      <c r="O8" s="679"/>
      <c r="P8" s="679"/>
      <c r="Q8" s="634"/>
      <c r="R8" s="634"/>
      <c r="S8" s="637"/>
      <c r="T8" s="295" t="s">
        <v>76</v>
      </c>
      <c r="U8" s="295" t="s">
        <v>77</v>
      </c>
      <c r="V8" s="295" t="s">
        <v>78</v>
      </c>
      <c r="W8" s="296" t="s">
        <v>79</v>
      </c>
      <c r="X8" s="296" t="s">
        <v>80</v>
      </c>
      <c r="Y8" s="296" t="s">
        <v>81</v>
      </c>
      <c r="Z8" s="31" t="s">
        <v>82</v>
      </c>
      <c r="AA8" s="297" t="s">
        <v>83</v>
      </c>
      <c r="AB8" s="296" t="s">
        <v>84</v>
      </c>
      <c r="AC8" s="31" t="s">
        <v>85</v>
      </c>
      <c r="AD8" s="666"/>
      <c r="AE8" s="298" t="s">
        <v>86</v>
      </c>
      <c r="AF8" s="298" t="s">
        <v>87</v>
      </c>
      <c r="AG8" s="298" t="s">
        <v>88</v>
      </c>
      <c r="AH8" s="298" t="s">
        <v>89</v>
      </c>
      <c r="AI8" s="298" t="s">
        <v>90</v>
      </c>
      <c r="AJ8" s="298" t="s">
        <v>91</v>
      </c>
      <c r="AK8" s="298" t="s">
        <v>92</v>
      </c>
      <c r="AL8" s="298" t="s">
        <v>93</v>
      </c>
      <c r="AM8" s="298" t="s">
        <v>94</v>
      </c>
      <c r="AN8" s="298" t="s">
        <v>95</v>
      </c>
      <c r="AO8" s="298" t="s">
        <v>96</v>
      </c>
      <c r="AP8" s="298" t="s">
        <v>97</v>
      </c>
    </row>
    <row r="9" spans="1:42" ht="108" x14ac:dyDescent="0.25">
      <c r="A9" s="299" t="s">
        <v>156</v>
      </c>
      <c r="B9" s="299" t="s">
        <v>982</v>
      </c>
      <c r="C9" s="299" t="s">
        <v>1801</v>
      </c>
      <c r="D9" s="299">
        <v>222120000</v>
      </c>
      <c r="E9" s="300" t="s">
        <v>1675</v>
      </c>
      <c r="F9" s="299" t="s">
        <v>1676</v>
      </c>
      <c r="G9" s="299" t="s">
        <v>1677</v>
      </c>
      <c r="H9" s="301">
        <v>228500000</v>
      </c>
      <c r="I9" s="301"/>
      <c r="J9" s="302">
        <v>158500000</v>
      </c>
      <c r="K9" s="301">
        <v>0</v>
      </c>
      <c r="L9" s="301"/>
      <c r="M9" s="301"/>
      <c r="N9" s="301"/>
      <c r="O9" s="301"/>
      <c r="P9" s="301">
        <f>J9+M9</f>
        <v>158500000</v>
      </c>
      <c r="Q9" s="301">
        <v>158483115</v>
      </c>
      <c r="R9" s="301"/>
      <c r="S9" s="301">
        <f>+Q9+P9</f>
        <v>316983115</v>
      </c>
      <c r="T9" s="37" t="s">
        <v>1813</v>
      </c>
      <c r="U9" s="37" t="s">
        <v>225</v>
      </c>
      <c r="V9" s="37">
        <v>9</v>
      </c>
      <c r="W9" s="299">
        <v>1</v>
      </c>
      <c r="X9" s="299"/>
      <c r="Y9" s="299">
        <v>1</v>
      </c>
      <c r="Z9" s="299">
        <v>7</v>
      </c>
      <c r="AA9" s="299">
        <v>300</v>
      </c>
      <c r="AB9" s="299">
        <v>210</v>
      </c>
      <c r="AC9" s="299"/>
      <c r="AD9" s="18" t="s">
        <v>1814</v>
      </c>
      <c r="AE9" s="18">
        <v>0</v>
      </c>
      <c r="AF9" s="18">
        <v>0</v>
      </c>
      <c r="AG9" s="18">
        <v>0</v>
      </c>
      <c r="AH9" s="303"/>
      <c r="AI9" s="18"/>
      <c r="AJ9" s="18"/>
      <c r="AK9" s="18">
        <v>17611111</v>
      </c>
      <c r="AL9" s="18">
        <v>17611111</v>
      </c>
      <c r="AM9" s="18">
        <v>17611111</v>
      </c>
      <c r="AN9" s="18">
        <v>17611111</v>
      </c>
      <c r="AO9" s="18">
        <v>17611112</v>
      </c>
      <c r="AP9" s="18">
        <v>0</v>
      </c>
    </row>
    <row r="10" spans="1:42" ht="24" x14ac:dyDescent="0.25">
      <c r="A10" s="299">
        <v>0</v>
      </c>
      <c r="B10" s="299">
        <v>0</v>
      </c>
      <c r="C10" s="299">
        <v>0</v>
      </c>
      <c r="D10" s="299">
        <v>0</v>
      </c>
      <c r="E10" s="300">
        <v>0</v>
      </c>
      <c r="F10" s="299">
        <v>0</v>
      </c>
      <c r="G10" s="299">
        <v>0</v>
      </c>
      <c r="H10" s="301">
        <v>0</v>
      </c>
      <c r="I10" s="43"/>
      <c r="J10" s="43"/>
      <c r="K10" s="301">
        <v>0</v>
      </c>
      <c r="L10" s="43"/>
      <c r="M10" s="43"/>
      <c r="N10" s="301">
        <f t="shared" ref="N10:P66" si="0">H10+K10</f>
        <v>0</v>
      </c>
      <c r="O10" s="301">
        <f t="shared" si="0"/>
        <v>0</v>
      </c>
      <c r="P10" s="301">
        <f t="shared" si="0"/>
        <v>0</v>
      </c>
      <c r="Q10" s="301"/>
      <c r="R10" s="301"/>
      <c r="S10" s="301">
        <f t="shared" ref="S10:S44" si="1">+Q10+P10</f>
        <v>0</v>
      </c>
      <c r="T10" s="37" t="s">
        <v>1815</v>
      </c>
      <c r="U10" s="37">
        <v>0</v>
      </c>
      <c r="V10" s="37">
        <v>0</v>
      </c>
      <c r="W10" s="18"/>
      <c r="X10" s="18"/>
      <c r="Y10" s="18"/>
      <c r="Z10" s="18">
        <v>12</v>
      </c>
      <c r="AA10" s="299">
        <v>0</v>
      </c>
      <c r="AB10" s="18"/>
      <c r="AC10" s="18"/>
      <c r="AD10" s="18"/>
      <c r="AE10" s="18">
        <v>0</v>
      </c>
      <c r="AF10" s="18">
        <v>0</v>
      </c>
      <c r="AG10" s="18">
        <v>0</v>
      </c>
      <c r="AH10" s="18">
        <v>0</v>
      </c>
      <c r="AI10" s="18">
        <v>0</v>
      </c>
      <c r="AJ10" s="18">
        <v>0</v>
      </c>
      <c r="AK10" s="18">
        <v>0</v>
      </c>
      <c r="AL10" s="18">
        <v>0</v>
      </c>
      <c r="AM10" s="18">
        <v>0</v>
      </c>
      <c r="AN10" s="18">
        <v>0</v>
      </c>
      <c r="AO10" s="18">
        <v>0</v>
      </c>
      <c r="AP10" s="18">
        <v>0</v>
      </c>
    </row>
    <row r="11" spans="1:42" ht="84" x14ac:dyDescent="0.25">
      <c r="A11" s="299" t="s">
        <v>156</v>
      </c>
      <c r="B11" s="299" t="s">
        <v>982</v>
      </c>
      <c r="C11" s="299" t="s">
        <v>1682</v>
      </c>
      <c r="D11" s="299">
        <v>222210000</v>
      </c>
      <c r="E11" s="300" t="s">
        <v>1684</v>
      </c>
      <c r="F11" s="299" t="s">
        <v>1685</v>
      </c>
      <c r="G11" s="299" t="s">
        <v>1686</v>
      </c>
      <c r="H11" s="301">
        <v>700000000</v>
      </c>
      <c r="I11" s="301">
        <v>700000000</v>
      </c>
      <c r="J11" s="302">
        <v>700000000</v>
      </c>
      <c r="K11" s="301">
        <v>0</v>
      </c>
      <c r="L11" s="43"/>
      <c r="M11" s="43"/>
      <c r="N11" s="301">
        <f t="shared" si="0"/>
        <v>700000000</v>
      </c>
      <c r="O11" s="301">
        <f t="shared" si="0"/>
        <v>700000000</v>
      </c>
      <c r="P11" s="301">
        <f t="shared" si="0"/>
        <v>700000000</v>
      </c>
      <c r="Q11" s="301">
        <v>700000000</v>
      </c>
      <c r="R11" s="301"/>
      <c r="S11" s="301">
        <f t="shared" si="1"/>
        <v>1400000000</v>
      </c>
      <c r="T11" s="37" t="s">
        <v>1816</v>
      </c>
      <c r="U11" s="37" t="s">
        <v>690</v>
      </c>
      <c r="V11" s="37">
        <v>80</v>
      </c>
      <c r="W11" s="18"/>
      <c r="X11" s="18"/>
      <c r="Y11" s="18"/>
      <c r="Z11" s="18">
        <v>80</v>
      </c>
      <c r="AA11" s="299">
        <v>270</v>
      </c>
      <c r="AB11" s="18"/>
      <c r="AC11" s="18"/>
      <c r="AD11" s="18"/>
      <c r="AE11" s="18">
        <v>0</v>
      </c>
      <c r="AF11" s="18">
        <v>0</v>
      </c>
      <c r="AG11" s="18">
        <v>0</v>
      </c>
      <c r="AH11" s="18">
        <v>0</v>
      </c>
      <c r="AI11" s="18">
        <v>105000000</v>
      </c>
      <c r="AJ11" s="18">
        <v>0</v>
      </c>
      <c r="AK11" s="18">
        <v>280000000</v>
      </c>
      <c r="AL11" s="18">
        <v>0</v>
      </c>
      <c r="AM11" s="18">
        <v>0</v>
      </c>
      <c r="AN11" s="18">
        <v>0</v>
      </c>
      <c r="AO11" s="18">
        <v>210000000</v>
      </c>
      <c r="AP11" s="18">
        <v>105000000</v>
      </c>
    </row>
    <row r="12" spans="1:42" s="304" customFormat="1" ht="132" x14ac:dyDescent="0.25">
      <c r="A12" s="299" t="s">
        <v>156</v>
      </c>
      <c r="B12" s="299" t="s">
        <v>982</v>
      </c>
      <c r="C12" s="299" t="s">
        <v>1682</v>
      </c>
      <c r="D12" s="299">
        <v>222220000</v>
      </c>
      <c r="E12" s="300" t="s">
        <v>1690</v>
      </c>
      <c r="F12" s="299" t="s">
        <v>1691</v>
      </c>
      <c r="G12" s="299" t="s">
        <v>1692</v>
      </c>
      <c r="H12" s="301">
        <v>700000000</v>
      </c>
      <c r="I12" s="43">
        <v>700000000</v>
      </c>
      <c r="J12" s="43">
        <v>700000000</v>
      </c>
      <c r="K12" s="301">
        <v>391964907</v>
      </c>
      <c r="L12" s="43">
        <v>185000000</v>
      </c>
      <c r="M12" s="43"/>
      <c r="N12" s="301">
        <f t="shared" si="0"/>
        <v>1091964907</v>
      </c>
      <c r="O12" s="301">
        <f>I12+L12</f>
        <v>885000000</v>
      </c>
      <c r="P12" s="301">
        <f t="shared" si="0"/>
        <v>700000000</v>
      </c>
      <c r="Q12" s="301">
        <v>694028594</v>
      </c>
      <c r="R12" s="301">
        <v>350000000</v>
      </c>
      <c r="S12" s="301">
        <f t="shared" si="1"/>
        <v>1394028594</v>
      </c>
      <c r="T12" s="37" t="s">
        <v>1817</v>
      </c>
      <c r="U12" s="37" t="s">
        <v>690</v>
      </c>
      <c r="V12" s="37">
        <v>14</v>
      </c>
      <c r="W12" s="18">
        <v>10</v>
      </c>
      <c r="X12" s="18"/>
      <c r="Y12" s="18">
        <v>10</v>
      </c>
      <c r="Z12" s="18">
        <v>14</v>
      </c>
      <c r="AA12" s="299">
        <v>330</v>
      </c>
      <c r="AB12" s="18">
        <f>30+28+60</f>
        <v>118</v>
      </c>
      <c r="AC12" s="18">
        <v>330</v>
      </c>
      <c r="AD12" s="18" t="s">
        <v>1818</v>
      </c>
      <c r="AE12" s="18">
        <v>0</v>
      </c>
      <c r="AF12" s="18">
        <v>0</v>
      </c>
      <c r="AG12" s="18">
        <v>0</v>
      </c>
      <c r="AH12" s="18">
        <v>218392981</v>
      </c>
      <c r="AI12" s="18">
        <v>0</v>
      </c>
      <c r="AJ12" s="18">
        <v>0</v>
      </c>
      <c r="AK12" s="18">
        <v>436785963</v>
      </c>
      <c r="AL12" s="18">
        <v>0</v>
      </c>
      <c r="AM12" s="18">
        <v>0</v>
      </c>
      <c r="AN12" s="18">
        <v>0</v>
      </c>
      <c r="AO12" s="18">
        <v>436785963</v>
      </c>
      <c r="AP12" s="18">
        <v>0</v>
      </c>
    </row>
    <row r="13" spans="1:42" ht="24" x14ac:dyDescent="0.25">
      <c r="A13" s="299">
        <v>0</v>
      </c>
      <c r="B13" s="299">
        <v>0</v>
      </c>
      <c r="C13" s="299">
        <v>0</v>
      </c>
      <c r="D13" s="299">
        <v>0</v>
      </c>
      <c r="E13" s="300">
        <v>0</v>
      </c>
      <c r="F13" s="299">
        <v>0</v>
      </c>
      <c r="G13" s="299">
        <v>0</v>
      </c>
      <c r="H13" s="301">
        <v>0</v>
      </c>
      <c r="I13" s="43"/>
      <c r="J13" s="43"/>
      <c r="K13" s="301">
        <v>0</v>
      </c>
      <c r="L13" s="43"/>
      <c r="M13" s="43"/>
      <c r="N13" s="301">
        <f t="shared" si="0"/>
        <v>0</v>
      </c>
      <c r="O13" s="301">
        <v>700</v>
      </c>
      <c r="P13" s="301">
        <f t="shared" si="0"/>
        <v>0</v>
      </c>
      <c r="Q13" s="301"/>
      <c r="R13" s="301"/>
      <c r="S13" s="301">
        <f t="shared" si="1"/>
        <v>0</v>
      </c>
      <c r="T13" s="37" t="s">
        <v>1819</v>
      </c>
      <c r="U13" s="37" t="s">
        <v>690</v>
      </c>
      <c r="V13" s="37">
        <v>90</v>
      </c>
      <c r="W13" s="18">
        <v>90</v>
      </c>
      <c r="X13" s="18"/>
      <c r="Y13" s="18"/>
      <c r="Z13" s="18">
        <v>90</v>
      </c>
      <c r="AA13" s="299">
        <v>330</v>
      </c>
      <c r="AB13" s="18"/>
      <c r="AC13" s="18">
        <v>180</v>
      </c>
      <c r="AD13" s="18"/>
      <c r="AE13" s="18">
        <v>0</v>
      </c>
      <c r="AF13" s="18">
        <v>0</v>
      </c>
      <c r="AG13" s="18">
        <v>0</v>
      </c>
      <c r="AH13" s="18">
        <v>0</v>
      </c>
      <c r="AI13" s="18">
        <v>0</v>
      </c>
      <c r="AJ13" s="18">
        <v>0</v>
      </c>
      <c r="AK13" s="18">
        <v>0</v>
      </c>
      <c r="AL13" s="18">
        <v>0</v>
      </c>
      <c r="AM13" s="18">
        <v>0</v>
      </c>
      <c r="AN13" s="18">
        <v>0</v>
      </c>
      <c r="AO13" s="18">
        <v>0</v>
      </c>
      <c r="AP13" s="18">
        <v>0</v>
      </c>
    </row>
    <row r="14" spans="1:42" s="304" customFormat="1" ht="144" x14ac:dyDescent="0.25">
      <c r="A14" s="299" t="s">
        <v>156</v>
      </c>
      <c r="B14" s="299" t="s">
        <v>982</v>
      </c>
      <c r="C14" s="299" t="s">
        <v>983</v>
      </c>
      <c r="D14" s="299">
        <v>222310000</v>
      </c>
      <c r="E14" s="300" t="s">
        <v>1697</v>
      </c>
      <c r="F14" s="299" t="s">
        <v>1698</v>
      </c>
      <c r="G14" s="299" t="s">
        <v>1699</v>
      </c>
      <c r="H14" s="301">
        <v>1800825000</v>
      </c>
      <c r="I14" s="43">
        <v>1800825000</v>
      </c>
      <c r="J14" s="43">
        <v>1788187965</v>
      </c>
      <c r="K14" s="301">
        <f>+L14</f>
        <v>1302477007</v>
      </c>
      <c r="L14" s="43">
        <v>1302477007</v>
      </c>
      <c r="M14" s="162"/>
      <c r="N14" s="301">
        <f t="shared" si="0"/>
        <v>3103302007</v>
      </c>
      <c r="O14" s="301">
        <f t="shared" si="0"/>
        <v>3103302007</v>
      </c>
      <c r="P14" s="301">
        <f t="shared" si="0"/>
        <v>1788187965</v>
      </c>
      <c r="Q14" s="301">
        <v>1583232145</v>
      </c>
      <c r="R14" s="301">
        <f>+L14</f>
        <v>1302477007</v>
      </c>
      <c r="S14" s="301">
        <f>+Q14+R14</f>
        <v>2885709152</v>
      </c>
      <c r="T14" s="37" t="s">
        <v>1820</v>
      </c>
      <c r="U14" s="37" t="s">
        <v>690</v>
      </c>
      <c r="V14" s="37">
        <v>1500</v>
      </c>
      <c r="W14" s="18"/>
      <c r="X14" s="18"/>
      <c r="Y14" s="18">
        <v>0</v>
      </c>
      <c r="Z14" s="18">
        <v>1138</v>
      </c>
      <c r="AA14" s="299">
        <v>270</v>
      </c>
      <c r="AB14" s="18">
        <v>12</v>
      </c>
      <c r="AC14" s="18">
        <v>270</v>
      </c>
      <c r="AD14" s="18" t="s">
        <v>1821</v>
      </c>
      <c r="AE14" s="18">
        <v>0</v>
      </c>
      <c r="AF14" s="18">
        <v>160000000</v>
      </c>
      <c r="AG14" s="18">
        <v>0</v>
      </c>
      <c r="AH14" s="18">
        <v>637666660</v>
      </c>
      <c r="AI14" s="18">
        <v>0</v>
      </c>
      <c r="AJ14" s="18">
        <v>319066660</v>
      </c>
      <c r="AK14" s="18">
        <v>0</v>
      </c>
      <c r="AL14" s="18">
        <v>0</v>
      </c>
      <c r="AM14" s="18">
        <v>558366641</v>
      </c>
      <c r="AN14" s="18">
        <v>0</v>
      </c>
      <c r="AO14" s="18">
        <v>558366641</v>
      </c>
      <c r="AP14" s="18">
        <v>957200000</v>
      </c>
    </row>
    <row r="15" spans="1:42" ht="75" x14ac:dyDescent="0.25">
      <c r="A15" s="299">
        <v>0</v>
      </c>
      <c r="B15" s="299">
        <v>0</v>
      </c>
      <c r="C15" s="299">
        <v>0</v>
      </c>
      <c r="D15" s="299">
        <v>0</v>
      </c>
      <c r="E15" s="300">
        <v>0</v>
      </c>
      <c r="F15" s="299">
        <v>0</v>
      </c>
      <c r="G15" s="299">
        <v>0</v>
      </c>
      <c r="H15" s="301">
        <v>0</v>
      </c>
      <c r="I15" s="43"/>
      <c r="J15" s="43"/>
      <c r="K15" s="301">
        <v>0</v>
      </c>
      <c r="L15" s="43"/>
      <c r="M15" s="43"/>
      <c r="N15" s="301">
        <f t="shared" si="0"/>
        <v>0</v>
      </c>
      <c r="O15" s="301">
        <f t="shared" si="0"/>
        <v>0</v>
      </c>
      <c r="P15" s="301">
        <f t="shared" si="0"/>
        <v>0</v>
      </c>
      <c r="Q15" s="301"/>
      <c r="R15" s="301"/>
      <c r="S15" s="301">
        <f t="shared" si="1"/>
        <v>0</v>
      </c>
      <c r="T15" s="37" t="s">
        <v>1822</v>
      </c>
      <c r="U15" s="37" t="s">
        <v>690</v>
      </c>
      <c r="V15" s="37">
        <v>50</v>
      </c>
      <c r="W15" s="18"/>
      <c r="X15" s="18"/>
      <c r="Y15" s="18">
        <v>1</v>
      </c>
      <c r="Z15" s="18">
        <v>20</v>
      </c>
      <c r="AA15" s="299">
        <v>270</v>
      </c>
      <c r="AB15" s="18">
        <v>65</v>
      </c>
      <c r="AC15" s="18">
        <v>270</v>
      </c>
      <c r="AD15" s="18" t="s">
        <v>1823</v>
      </c>
      <c r="AE15" s="18">
        <v>0</v>
      </c>
      <c r="AF15" s="18">
        <v>0</v>
      </c>
      <c r="AG15" s="18">
        <v>0</v>
      </c>
      <c r="AH15" s="18">
        <v>0</v>
      </c>
      <c r="AI15" s="18">
        <v>0</v>
      </c>
      <c r="AJ15" s="18">
        <v>0</v>
      </c>
      <c r="AK15" s="18" t="s">
        <v>102</v>
      </c>
      <c r="AL15" s="18" t="s">
        <v>102</v>
      </c>
      <c r="AM15" s="18" t="s">
        <v>102</v>
      </c>
      <c r="AN15" s="18" t="s">
        <v>102</v>
      </c>
      <c r="AO15" s="18" t="s">
        <v>102</v>
      </c>
      <c r="AP15" s="18">
        <v>0</v>
      </c>
    </row>
    <row r="16" spans="1:42" ht="60" x14ac:dyDescent="0.25">
      <c r="A16" s="299">
        <v>0</v>
      </c>
      <c r="B16" s="299">
        <v>0</v>
      </c>
      <c r="C16" s="299">
        <v>0</v>
      </c>
      <c r="D16" s="299">
        <v>0</v>
      </c>
      <c r="E16" s="300">
        <v>0</v>
      </c>
      <c r="F16" s="299">
        <v>0</v>
      </c>
      <c r="G16" s="299">
        <v>0</v>
      </c>
      <c r="H16" s="301">
        <v>0</v>
      </c>
      <c r="I16" s="43"/>
      <c r="J16" s="43"/>
      <c r="K16" s="301">
        <v>0</v>
      </c>
      <c r="L16" s="43"/>
      <c r="M16" s="43"/>
      <c r="N16" s="301">
        <f t="shared" si="0"/>
        <v>0</v>
      </c>
      <c r="O16" s="301">
        <f t="shared" si="0"/>
        <v>0</v>
      </c>
      <c r="P16" s="301">
        <f t="shared" si="0"/>
        <v>0</v>
      </c>
      <c r="Q16" s="301"/>
      <c r="R16" s="301"/>
      <c r="S16" s="301">
        <f t="shared" si="1"/>
        <v>0</v>
      </c>
      <c r="T16" s="37" t="s">
        <v>1824</v>
      </c>
      <c r="U16" s="37" t="s">
        <v>690</v>
      </c>
      <c r="V16" s="37">
        <v>15</v>
      </c>
      <c r="W16" s="18"/>
      <c r="X16" s="18"/>
      <c r="Y16" s="18">
        <v>3</v>
      </c>
      <c r="Z16" s="18">
        <v>10</v>
      </c>
      <c r="AA16" s="299">
        <v>270</v>
      </c>
      <c r="AB16" s="18">
        <v>10</v>
      </c>
      <c r="AC16" s="18">
        <v>270</v>
      </c>
      <c r="AD16" s="18" t="s">
        <v>1825</v>
      </c>
      <c r="AE16" s="18">
        <v>0</v>
      </c>
      <c r="AF16" s="18">
        <v>0</v>
      </c>
      <c r="AG16" s="18">
        <v>0</v>
      </c>
      <c r="AH16" s="18">
        <v>0</v>
      </c>
      <c r="AI16" s="18">
        <v>0</v>
      </c>
      <c r="AJ16" s="18">
        <v>0</v>
      </c>
      <c r="AK16" s="18">
        <v>0</v>
      </c>
      <c r="AL16" s="18" t="s">
        <v>102</v>
      </c>
      <c r="AM16" s="18" t="s">
        <v>102</v>
      </c>
      <c r="AN16" s="18" t="s">
        <v>102</v>
      </c>
      <c r="AO16" s="18" t="s">
        <v>102</v>
      </c>
      <c r="AP16" s="18">
        <v>0</v>
      </c>
    </row>
    <row r="17" spans="1:42" ht="45" x14ac:dyDescent="0.25">
      <c r="A17" s="299">
        <v>0</v>
      </c>
      <c r="B17" s="299">
        <v>0</v>
      </c>
      <c r="C17" s="299">
        <v>0</v>
      </c>
      <c r="D17" s="299">
        <v>0</v>
      </c>
      <c r="E17" s="300">
        <v>0</v>
      </c>
      <c r="F17" s="299">
        <v>0</v>
      </c>
      <c r="G17" s="299">
        <v>0</v>
      </c>
      <c r="H17" s="301">
        <v>0</v>
      </c>
      <c r="I17" s="43"/>
      <c r="J17" s="43"/>
      <c r="K17" s="301">
        <v>0</v>
      </c>
      <c r="L17" s="43"/>
      <c r="M17" s="43"/>
      <c r="N17" s="301">
        <f t="shared" si="0"/>
        <v>0</v>
      </c>
      <c r="O17" s="301">
        <f t="shared" si="0"/>
        <v>0</v>
      </c>
      <c r="P17" s="301">
        <f t="shared" si="0"/>
        <v>0</v>
      </c>
      <c r="Q17" s="301"/>
      <c r="R17" s="301"/>
      <c r="S17" s="301">
        <f t="shared" si="1"/>
        <v>0</v>
      </c>
      <c r="T17" s="37" t="s">
        <v>1826</v>
      </c>
      <c r="U17" s="37" t="s">
        <v>690</v>
      </c>
      <c r="V17" s="37">
        <v>400</v>
      </c>
      <c r="W17" s="18"/>
      <c r="X17" s="18"/>
      <c r="Y17" s="18"/>
      <c r="Z17" s="18">
        <v>420</v>
      </c>
      <c r="AA17" s="299">
        <v>270</v>
      </c>
      <c r="AB17" s="18">
        <v>10</v>
      </c>
      <c r="AC17" s="18">
        <v>270</v>
      </c>
      <c r="AD17" s="18" t="s">
        <v>1827</v>
      </c>
      <c r="AE17" s="18">
        <v>0</v>
      </c>
      <c r="AF17" s="18">
        <v>0</v>
      </c>
      <c r="AG17" s="18">
        <v>0</v>
      </c>
      <c r="AH17" s="18">
        <v>0</v>
      </c>
      <c r="AI17" s="18">
        <v>0</v>
      </c>
      <c r="AJ17" s="18">
        <v>0</v>
      </c>
      <c r="AK17" s="18" t="s">
        <v>102</v>
      </c>
      <c r="AL17" s="18" t="s">
        <v>102</v>
      </c>
      <c r="AM17" s="18" t="s">
        <v>102</v>
      </c>
      <c r="AN17" s="18" t="s">
        <v>102</v>
      </c>
      <c r="AO17" s="18" t="s">
        <v>102</v>
      </c>
      <c r="AP17" s="18"/>
    </row>
    <row r="18" spans="1:42" ht="45" x14ac:dyDescent="0.25">
      <c r="A18" s="299">
        <v>0</v>
      </c>
      <c r="B18" s="299">
        <v>0</v>
      </c>
      <c r="C18" s="299">
        <v>0</v>
      </c>
      <c r="D18" s="299">
        <v>0</v>
      </c>
      <c r="E18" s="300">
        <v>0</v>
      </c>
      <c r="F18" s="299">
        <v>0</v>
      </c>
      <c r="G18" s="299">
        <v>0</v>
      </c>
      <c r="H18" s="301">
        <v>0</v>
      </c>
      <c r="I18" s="43"/>
      <c r="J18" s="43"/>
      <c r="K18" s="301">
        <v>0</v>
      </c>
      <c r="L18" s="43"/>
      <c r="M18" s="43"/>
      <c r="N18" s="301">
        <f t="shared" si="0"/>
        <v>0</v>
      </c>
      <c r="O18" s="301">
        <f t="shared" si="0"/>
        <v>0</v>
      </c>
      <c r="P18" s="301">
        <f t="shared" si="0"/>
        <v>0</v>
      </c>
      <c r="Q18" s="301"/>
      <c r="R18" s="301"/>
      <c r="S18" s="301">
        <f t="shared" si="1"/>
        <v>0</v>
      </c>
      <c r="T18" s="37" t="s">
        <v>1828</v>
      </c>
      <c r="U18" s="37" t="s">
        <v>690</v>
      </c>
      <c r="V18" s="37">
        <v>25</v>
      </c>
      <c r="W18" s="18"/>
      <c r="X18" s="18"/>
      <c r="Y18" s="18"/>
      <c r="Z18" s="18">
        <v>14</v>
      </c>
      <c r="AA18" s="299">
        <v>270</v>
      </c>
      <c r="AB18" s="18">
        <v>10</v>
      </c>
      <c r="AC18" s="18">
        <v>270</v>
      </c>
      <c r="AD18" s="18" t="s">
        <v>1827</v>
      </c>
      <c r="AE18" s="18">
        <v>0</v>
      </c>
      <c r="AF18" s="18">
        <v>0</v>
      </c>
      <c r="AG18" s="18">
        <v>0</v>
      </c>
      <c r="AH18" s="18">
        <v>0</v>
      </c>
      <c r="AI18" s="18">
        <v>0</v>
      </c>
      <c r="AJ18" s="18">
        <v>0</v>
      </c>
      <c r="AK18" s="18">
        <v>0</v>
      </c>
      <c r="AL18" s="18" t="s">
        <v>102</v>
      </c>
      <c r="AM18" s="18" t="s">
        <v>102</v>
      </c>
      <c r="AN18" s="18" t="s">
        <v>102</v>
      </c>
      <c r="AO18" s="18" t="s">
        <v>102</v>
      </c>
      <c r="AP18" s="18">
        <v>0</v>
      </c>
    </row>
    <row r="19" spans="1:42" ht="60" x14ac:dyDescent="0.25">
      <c r="A19" s="299">
        <v>0</v>
      </c>
      <c r="B19" s="299">
        <v>0</v>
      </c>
      <c r="C19" s="299">
        <v>0</v>
      </c>
      <c r="D19" s="299">
        <v>0</v>
      </c>
      <c r="E19" s="300">
        <v>0</v>
      </c>
      <c r="F19" s="299">
        <v>0</v>
      </c>
      <c r="G19" s="299">
        <v>0</v>
      </c>
      <c r="H19" s="301">
        <v>0</v>
      </c>
      <c r="I19" s="43"/>
      <c r="J19" s="43"/>
      <c r="K19" s="301">
        <v>0</v>
      </c>
      <c r="L19" s="43"/>
      <c r="M19" s="43"/>
      <c r="N19" s="301">
        <f t="shared" si="0"/>
        <v>0</v>
      </c>
      <c r="O19" s="301">
        <f t="shared" si="0"/>
        <v>0</v>
      </c>
      <c r="P19" s="301">
        <f t="shared" si="0"/>
        <v>0</v>
      </c>
      <c r="Q19" s="301"/>
      <c r="R19" s="301"/>
      <c r="S19" s="301">
        <f t="shared" si="1"/>
        <v>0</v>
      </c>
      <c r="T19" s="37" t="s">
        <v>1829</v>
      </c>
      <c r="U19" s="37" t="s">
        <v>690</v>
      </c>
      <c r="V19" s="37">
        <v>60</v>
      </c>
      <c r="W19" s="18"/>
      <c r="X19" s="18"/>
      <c r="Y19" s="18">
        <v>12</v>
      </c>
      <c r="Z19" s="18">
        <f>+V19-Y19</f>
        <v>48</v>
      </c>
      <c r="AA19" s="299">
        <v>270</v>
      </c>
      <c r="AB19" s="18">
        <v>60</v>
      </c>
      <c r="AC19" s="18">
        <v>270</v>
      </c>
      <c r="AD19" s="18" t="s">
        <v>1830</v>
      </c>
      <c r="AE19" s="18">
        <v>0</v>
      </c>
      <c r="AF19" s="18">
        <v>0</v>
      </c>
      <c r="AG19" s="18">
        <v>0</v>
      </c>
      <c r="AH19" s="18">
        <v>0</v>
      </c>
      <c r="AI19" s="18">
        <v>0</v>
      </c>
      <c r="AJ19" s="18">
        <v>0</v>
      </c>
      <c r="AK19" s="18" t="s">
        <v>102</v>
      </c>
      <c r="AL19" s="18" t="s">
        <v>102</v>
      </c>
      <c r="AM19" s="18" t="s">
        <v>102</v>
      </c>
      <c r="AN19" s="18" t="s">
        <v>102</v>
      </c>
      <c r="AO19" s="18" t="s">
        <v>102</v>
      </c>
      <c r="AP19" s="18" t="s">
        <v>102</v>
      </c>
    </row>
    <row r="20" spans="1:42" ht="60" x14ac:dyDescent="0.25">
      <c r="A20" s="299">
        <v>0</v>
      </c>
      <c r="B20" s="299">
        <v>0</v>
      </c>
      <c r="C20" s="299">
        <v>0</v>
      </c>
      <c r="D20" s="299">
        <v>0</v>
      </c>
      <c r="E20" s="300">
        <v>0</v>
      </c>
      <c r="F20" s="299">
        <v>0</v>
      </c>
      <c r="G20" s="299">
        <v>0</v>
      </c>
      <c r="H20" s="301">
        <v>0</v>
      </c>
      <c r="I20" s="43"/>
      <c r="J20" s="43"/>
      <c r="K20" s="301">
        <v>0</v>
      </c>
      <c r="L20" s="43"/>
      <c r="M20" s="43"/>
      <c r="N20" s="301">
        <f t="shared" si="0"/>
        <v>0</v>
      </c>
      <c r="O20" s="301">
        <f t="shared" si="0"/>
        <v>0</v>
      </c>
      <c r="P20" s="301">
        <f t="shared" si="0"/>
        <v>0</v>
      </c>
      <c r="Q20" s="301"/>
      <c r="R20" s="301"/>
      <c r="S20" s="301">
        <f t="shared" si="1"/>
        <v>0</v>
      </c>
      <c r="T20" s="37" t="s">
        <v>1831</v>
      </c>
      <c r="U20" s="37" t="s">
        <v>690</v>
      </c>
      <c r="V20" s="37">
        <v>15</v>
      </c>
      <c r="W20" s="18"/>
      <c r="X20" s="18"/>
      <c r="Y20" s="18">
        <v>5</v>
      </c>
      <c r="Z20" s="18">
        <v>10</v>
      </c>
      <c r="AA20" s="299">
        <v>270</v>
      </c>
      <c r="AB20" s="18">
        <v>60</v>
      </c>
      <c r="AC20" s="18">
        <v>270</v>
      </c>
      <c r="AD20" s="18" t="s">
        <v>1830</v>
      </c>
      <c r="AE20" s="18">
        <v>0</v>
      </c>
      <c r="AF20" s="18">
        <v>0</v>
      </c>
      <c r="AG20" s="18">
        <v>0</v>
      </c>
      <c r="AH20" s="18">
        <v>0</v>
      </c>
      <c r="AI20" s="18">
        <v>0</v>
      </c>
      <c r="AJ20" s="18">
        <v>0</v>
      </c>
      <c r="AK20" s="18" t="s">
        <v>102</v>
      </c>
      <c r="AL20" s="18" t="s">
        <v>102</v>
      </c>
      <c r="AM20" s="18" t="s">
        <v>102</v>
      </c>
      <c r="AN20" s="18" t="s">
        <v>102</v>
      </c>
      <c r="AO20" s="18" t="s">
        <v>102</v>
      </c>
      <c r="AP20" s="18">
        <v>0</v>
      </c>
    </row>
    <row r="21" spans="1:42" ht="45" x14ac:dyDescent="0.25">
      <c r="A21" s="299">
        <v>0</v>
      </c>
      <c r="B21" s="299">
        <v>0</v>
      </c>
      <c r="C21" s="299">
        <v>0</v>
      </c>
      <c r="D21" s="299">
        <v>0</v>
      </c>
      <c r="E21" s="300">
        <v>0</v>
      </c>
      <c r="F21" s="299">
        <v>0</v>
      </c>
      <c r="G21" s="299">
        <v>0</v>
      </c>
      <c r="H21" s="301">
        <v>0</v>
      </c>
      <c r="I21" s="43"/>
      <c r="J21" s="43"/>
      <c r="K21" s="301">
        <v>0</v>
      </c>
      <c r="L21" s="43"/>
      <c r="M21" s="43"/>
      <c r="N21" s="301">
        <f t="shared" si="0"/>
        <v>0</v>
      </c>
      <c r="O21" s="301">
        <f t="shared" si="0"/>
        <v>0</v>
      </c>
      <c r="P21" s="301">
        <f t="shared" si="0"/>
        <v>0</v>
      </c>
      <c r="Q21" s="301"/>
      <c r="R21" s="301"/>
      <c r="S21" s="301">
        <f t="shared" si="1"/>
        <v>0</v>
      </c>
      <c r="T21" s="37" t="s">
        <v>1832</v>
      </c>
      <c r="U21" s="37" t="s">
        <v>690</v>
      </c>
      <c r="V21" s="37">
        <v>180</v>
      </c>
      <c r="W21" s="18"/>
      <c r="X21" s="18"/>
      <c r="Y21" s="18">
        <v>0</v>
      </c>
      <c r="Z21" s="18">
        <v>100</v>
      </c>
      <c r="AA21" s="299">
        <v>330</v>
      </c>
      <c r="AB21" s="18">
        <v>12</v>
      </c>
      <c r="AC21" s="18">
        <v>330</v>
      </c>
      <c r="AD21" s="18" t="s">
        <v>1827</v>
      </c>
      <c r="AE21" s="18">
        <v>0</v>
      </c>
      <c r="AF21" s="18">
        <v>0</v>
      </c>
      <c r="AG21" s="18">
        <v>0</v>
      </c>
      <c r="AH21" s="18">
        <v>0</v>
      </c>
      <c r="AI21" s="18">
        <v>0</v>
      </c>
      <c r="AJ21" s="18">
        <v>0</v>
      </c>
      <c r="AK21" s="18">
        <v>0</v>
      </c>
      <c r="AL21" s="18">
        <v>0</v>
      </c>
      <c r="AM21" s="18" t="s">
        <v>102</v>
      </c>
      <c r="AN21" s="18" t="s">
        <v>102</v>
      </c>
      <c r="AO21" s="18" t="s">
        <v>102</v>
      </c>
      <c r="AP21" s="18" t="s">
        <v>102</v>
      </c>
    </row>
    <row r="22" spans="1:42" ht="45" x14ac:dyDescent="0.25">
      <c r="A22" s="299">
        <v>0</v>
      </c>
      <c r="B22" s="299">
        <v>0</v>
      </c>
      <c r="C22" s="299">
        <v>0</v>
      </c>
      <c r="D22" s="299">
        <v>0</v>
      </c>
      <c r="E22" s="300">
        <v>0</v>
      </c>
      <c r="F22" s="299">
        <v>0</v>
      </c>
      <c r="G22" s="299">
        <v>0</v>
      </c>
      <c r="H22" s="301">
        <v>0</v>
      </c>
      <c r="I22" s="43"/>
      <c r="J22" s="43"/>
      <c r="K22" s="301">
        <v>0</v>
      </c>
      <c r="L22" s="43"/>
      <c r="M22" s="43"/>
      <c r="N22" s="301">
        <f t="shared" si="0"/>
        <v>0</v>
      </c>
      <c r="O22" s="301">
        <f t="shared" si="0"/>
        <v>0</v>
      </c>
      <c r="P22" s="301">
        <f t="shared" si="0"/>
        <v>0</v>
      </c>
      <c r="Q22" s="301"/>
      <c r="R22" s="301"/>
      <c r="S22" s="301">
        <f t="shared" si="1"/>
        <v>0</v>
      </c>
      <c r="T22" s="37" t="s">
        <v>1833</v>
      </c>
      <c r="U22" s="37" t="s">
        <v>690</v>
      </c>
      <c r="V22" s="37">
        <v>2</v>
      </c>
      <c r="W22" s="18"/>
      <c r="X22" s="18"/>
      <c r="Y22" s="18"/>
      <c r="Z22" s="18">
        <v>0</v>
      </c>
      <c r="AA22" s="299">
        <v>270</v>
      </c>
      <c r="AB22" s="18"/>
      <c r="AC22" s="18">
        <v>270</v>
      </c>
      <c r="AD22" s="18" t="s">
        <v>1834</v>
      </c>
      <c r="AE22" s="18">
        <v>0</v>
      </c>
      <c r="AF22" s="18">
        <v>0</v>
      </c>
      <c r="AG22" s="18">
        <v>0</v>
      </c>
      <c r="AH22" s="18">
        <v>0</v>
      </c>
      <c r="AI22" s="18">
        <v>0</v>
      </c>
      <c r="AJ22" s="18">
        <v>0</v>
      </c>
      <c r="AK22" s="18">
        <v>0</v>
      </c>
      <c r="AL22" s="18">
        <v>0</v>
      </c>
      <c r="AM22" s="18">
        <v>0</v>
      </c>
      <c r="AN22" s="18">
        <v>0</v>
      </c>
      <c r="AO22" s="18">
        <v>0</v>
      </c>
      <c r="AP22" s="18">
        <v>0</v>
      </c>
    </row>
    <row r="23" spans="1:42" ht="45" x14ac:dyDescent="0.25">
      <c r="A23" s="299">
        <v>0</v>
      </c>
      <c r="B23" s="299">
        <v>0</v>
      </c>
      <c r="C23" s="299">
        <v>0</v>
      </c>
      <c r="D23" s="299">
        <v>0</v>
      </c>
      <c r="E23" s="300">
        <v>0</v>
      </c>
      <c r="F23" s="299">
        <v>0</v>
      </c>
      <c r="G23" s="299">
        <v>0</v>
      </c>
      <c r="H23" s="301">
        <v>0</v>
      </c>
      <c r="I23" s="43"/>
      <c r="J23" s="43"/>
      <c r="K23" s="301">
        <v>0</v>
      </c>
      <c r="L23" s="43"/>
      <c r="M23" s="43"/>
      <c r="N23" s="301">
        <f t="shared" si="0"/>
        <v>0</v>
      </c>
      <c r="O23" s="301">
        <f t="shared" si="0"/>
        <v>0</v>
      </c>
      <c r="P23" s="301">
        <f t="shared" si="0"/>
        <v>0</v>
      </c>
      <c r="Q23" s="301"/>
      <c r="R23" s="301"/>
      <c r="S23" s="301">
        <f t="shared" si="1"/>
        <v>0</v>
      </c>
      <c r="T23" s="37" t="s">
        <v>1835</v>
      </c>
      <c r="U23" s="37" t="s">
        <v>690</v>
      </c>
      <c r="V23" s="37">
        <v>1</v>
      </c>
      <c r="W23" s="18"/>
      <c r="X23" s="18"/>
      <c r="Y23" s="18"/>
      <c r="Z23" s="18"/>
      <c r="AA23" s="299">
        <v>330</v>
      </c>
      <c r="AB23" s="18">
        <v>12</v>
      </c>
      <c r="AC23" s="18">
        <v>330</v>
      </c>
      <c r="AD23" s="18" t="s">
        <v>1836</v>
      </c>
      <c r="AE23" s="18">
        <v>0</v>
      </c>
      <c r="AF23" s="18">
        <v>0</v>
      </c>
      <c r="AG23" s="18">
        <v>0</v>
      </c>
      <c r="AH23" s="18">
        <v>0</v>
      </c>
      <c r="AI23" s="18">
        <v>0</v>
      </c>
      <c r="AJ23" s="18">
        <v>0</v>
      </c>
      <c r="AK23" s="18" t="s">
        <v>102</v>
      </c>
      <c r="AL23" s="18" t="s">
        <v>102</v>
      </c>
      <c r="AM23" s="18" t="s">
        <v>102</v>
      </c>
      <c r="AN23" s="18" t="s">
        <v>102</v>
      </c>
      <c r="AO23" s="18" t="s">
        <v>102</v>
      </c>
      <c r="AP23" s="18" t="s">
        <v>102</v>
      </c>
    </row>
    <row r="24" spans="1:42" ht="30" x14ac:dyDescent="0.25">
      <c r="A24" s="299">
        <v>0</v>
      </c>
      <c r="B24" s="299">
        <v>0</v>
      </c>
      <c r="C24" s="299">
        <v>0</v>
      </c>
      <c r="D24" s="299">
        <v>0</v>
      </c>
      <c r="E24" s="300">
        <v>0</v>
      </c>
      <c r="F24" s="299">
        <v>0</v>
      </c>
      <c r="G24" s="299">
        <v>0</v>
      </c>
      <c r="H24" s="301">
        <v>0</v>
      </c>
      <c r="I24" s="43"/>
      <c r="J24" s="43"/>
      <c r="K24" s="301">
        <v>0</v>
      </c>
      <c r="L24" s="43"/>
      <c r="M24" s="43"/>
      <c r="N24" s="301">
        <f t="shared" si="0"/>
        <v>0</v>
      </c>
      <c r="O24" s="301">
        <f t="shared" si="0"/>
        <v>0</v>
      </c>
      <c r="P24" s="301">
        <f t="shared" si="0"/>
        <v>0</v>
      </c>
      <c r="Q24" s="301"/>
      <c r="R24" s="301"/>
      <c r="S24" s="301">
        <f t="shared" si="1"/>
        <v>0</v>
      </c>
      <c r="T24" s="37" t="s">
        <v>1837</v>
      </c>
      <c r="U24" s="37" t="s">
        <v>690</v>
      </c>
      <c r="V24" s="37">
        <v>1</v>
      </c>
      <c r="W24" s="18"/>
      <c r="X24" s="18"/>
      <c r="Y24" s="18"/>
      <c r="Z24" s="18" t="s">
        <v>1838</v>
      </c>
      <c r="AA24" s="299">
        <v>330</v>
      </c>
      <c r="AB24" s="18">
        <v>0</v>
      </c>
      <c r="AC24" s="18">
        <v>120</v>
      </c>
      <c r="AD24" s="18" t="s">
        <v>1839</v>
      </c>
      <c r="AE24" s="18">
        <v>0</v>
      </c>
      <c r="AF24" s="18">
        <v>0</v>
      </c>
      <c r="AG24" s="18">
        <v>0</v>
      </c>
      <c r="AH24" s="18">
        <v>0</v>
      </c>
      <c r="AI24" s="18">
        <v>0</v>
      </c>
      <c r="AJ24" s="18">
        <v>0</v>
      </c>
      <c r="AK24" s="18">
        <v>0</v>
      </c>
      <c r="AL24" s="18">
        <v>0</v>
      </c>
      <c r="AM24" s="18" t="s">
        <v>102</v>
      </c>
      <c r="AN24" s="18" t="s">
        <v>102</v>
      </c>
      <c r="AO24" s="18" t="s">
        <v>102</v>
      </c>
      <c r="AP24" s="18" t="s">
        <v>102</v>
      </c>
    </row>
    <row r="25" spans="1:42" ht="60" x14ac:dyDescent="0.25">
      <c r="A25" s="299">
        <v>0</v>
      </c>
      <c r="B25" s="299">
        <v>0</v>
      </c>
      <c r="C25" s="299">
        <v>0</v>
      </c>
      <c r="D25" s="299">
        <v>0</v>
      </c>
      <c r="E25" s="300">
        <v>0</v>
      </c>
      <c r="F25" s="299">
        <v>0</v>
      </c>
      <c r="G25" s="299">
        <v>0</v>
      </c>
      <c r="H25" s="301">
        <v>0</v>
      </c>
      <c r="I25" s="43"/>
      <c r="J25" s="43"/>
      <c r="K25" s="301">
        <v>0</v>
      </c>
      <c r="L25" s="43"/>
      <c r="M25" s="43"/>
      <c r="N25" s="301">
        <f t="shared" si="0"/>
        <v>0</v>
      </c>
      <c r="O25" s="301">
        <f t="shared" si="0"/>
        <v>0</v>
      </c>
      <c r="P25" s="301">
        <f t="shared" si="0"/>
        <v>0</v>
      </c>
      <c r="Q25" s="301"/>
      <c r="R25" s="301"/>
      <c r="S25" s="301">
        <f t="shared" si="1"/>
        <v>0</v>
      </c>
      <c r="T25" s="37" t="s">
        <v>1840</v>
      </c>
      <c r="U25" s="37" t="s">
        <v>690</v>
      </c>
      <c r="V25" s="37">
        <v>4</v>
      </c>
      <c r="W25" s="18"/>
      <c r="X25" s="18"/>
      <c r="Y25" s="18"/>
      <c r="Z25" s="18">
        <v>0</v>
      </c>
      <c r="AA25" s="299">
        <v>270</v>
      </c>
      <c r="AB25" s="18"/>
      <c r="AC25" s="18"/>
      <c r="AD25" s="18" t="s">
        <v>1841</v>
      </c>
      <c r="AE25" s="18">
        <v>0</v>
      </c>
      <c r="AF25" s="18">
        <v>0</v>
      </c>
      <c r="AG25" s="18">
        <v>0</v>
      </c>
      <c r="AH25" s="18">
        <v>0</v>
      </c>
      <c r="AI25" s="18">
        <v>0</v>
      </c>
      <c r="AJ25" s="18">
        <v>0</v>
      </c>
      <c r="AK25" s="18">
        <v>0</v>
      </c>
      <c r="AL25" s="18">
        <v>0</v>
      </c>
      <c r="AM25" s="18">
        <v>0</v>
      </c>
      <c r="AN25" s="18">
        <v>0</v>
      </c>
      <c r="AO25" s="18">
        <v>0</v>
      </c>
      <c r="AP25" s="18">
        <v>0</v>
      </c>
    </row>
    <row r="26" spans="1:42" s="304" customFormat="1" ht="228" x14ac:dyDescent="0.25">
      <c r="A26" s="299" t="s">
        <v>156</v>
      </c>
      <c r="B26" s="299" t="s">
        <v>982</v>
      </c>
      <c r="C26" s="299" t="s">
        <v>983</v>
      </c>
      <c r="D26" s="299">
        <v>222320000</v>
      </c>
      <c r="E26" s="300" t="s">
        <v>1706</v>
      </c>
      <c r="F26" s="299" t="s">
        <v>1707</v>
      </c>
      <c r="G26" s="299" t="s">
        <v>1708</v>
      </c>
      <c r="H26" s="301">
        <v>125000000</v>
      </c>
      <c r="I26" s="43">
        <v>125000000</v>
      </c>
      <c r="J26" s="43">
        <v>125000000</v>
      </c>
      <c r="K26" s="301">
        <v>50693490</v>
      </c>
      <c r="L26" s="43">
        <v>88400960</v>
      </c>
      <c r="M26" s="162"/>
      <c r="N26" s="301">
        <f t="shared" si="0"/>
        <v>175693490</v>
      </c>
      <c r="O26" s="301">
        <f t="shared" si="0"/>
        <v>213400960</v>
      </c>
      <c r="P26" s="301">
        <f t="shared" si="0"/>
        <v>125000000</v>
      </c>
      <c r="Q26" s="301">
        <v>125000000</v>
      </c>
      <c r="R26" s="301">
        <f>+L26</f>
        <v>88400960</v>
      </c>
      <c r="S26" s="301">
        <f>+Q26+R26</f>
        <v>213400960</v>
      </c>
      <c r="T26" s="37" t="s">
        <v>1842</v>
      </c>
      <c r="U26" s="37" t="s">
        <v>1843</v>
      </c>
      <c r="V26" s="37">
        <v>700</v>
      </c>
      <c r="W26" s="18">
        <v>1</v>
      </c>
      <c r="X26" s="18"/>
      <c r="Y26" s="18">
        <v>0</v>
      </c>
      <c r="Z26" s="18">
        <v>639</v>
      </c>
      <c r="AA26" s="299">
        <v>270</v>
      </c>
      <c r="AB26" s="18">
        <v>12</v>
      </c>
      <c r="AC26" s="18">
        <v>180</v>
      </c>
      <c r="AD26" s="18" t="s">
        <v>1827</v>
      </c>
      <c r="AE26" s="18">
        <v>0</v>
      </c>
      <c r="AF26" s="18">
        <v>0</v>
      </c>
      <c r="AG26" s="18">
        <v>0</v>
      </c>
      <c r="AH26" s="18">
        <v>25000000</v>
      </c>
      <c r="AI26" s="18">
        <v>0</v>
      </c>
      <c r="AJ26" s="18">
        <v>0</v>
      </c>
      <c r="AK26" s="18">
        <v>50000000</v>
      </c>
      <c r="AL26" s="18">
        <v>0</v>
      </c>
      <c r="AM26" s="18">
        <v>0</v>
      </c>
      <c r="AN26" s="18">
        <v>150000000</v>
      </c>
      <c r="AO26" s="18">
        <v>0</v>
      </c>
      <c r="AP26" s="18">
        <v>0</v>
      </c>
    </row>
    <row r="27" spans="1:42" ht="156" x14ac:dyDescent="0.25">
      <c r="A27" s="299" t="s">
        <v>156</v>
      </c>
      <c r="B27" s="299" t="s">
        <v>982</v>
      </c>
      <c r="C27" s="299" t="s">
        <v>983</v>
      </c>
      <c r="D27" s="299">
        <v>222330000</v>
      </c>
      <c r="E27" s="300" t="s">
        <v>1712</v>
      </c>
      <c r="F27" s="299" t="s">
        <v>1713</v>
      </c>
      <c r="G27" s="299" t="s">
        <v>1714</v>
      </c>
      <c r="H27" s="301">
        <v>500000000</v>
      </c>
      <c r="I27" s="43">
        <v>500000000</v>
      </c>
      <c r="J27" s="43">
        <v>588000000</v>
      </c>
      <c r="K27" s="301">
        <v>0</v>
      </c>
      <c r="L27" s="43"/>
      <c r="M27" s="144"/>
      <c r="N27" s="301">
        <f t="shared" si="0"/>
        <v>500000000</v>
      </c>
      <c r="O27" s="301">
        <f t="shared" si="0"/>
        <v>500000000</v>
      </c>
      <c r="P27" s="301">
        <f t="shared" si="0"/>
        <v>588000000</v>
      </c>
      <c r="Q27" s="301">
        <v>581000002</v>
      </c>
      <c r="R27" s="301"/>
      <c r="S27" s="301">
        <f>+Q27+R27</f>
        <v>581000002</v>
      </c>
      <c r="T27" s="37" t="s">
        <v>1844</v>
      </c>
      <c r="U27" s="37" t="s">
        <v>690</v>
      </c>
      <c r="V27" s="37">
        <v>1</v>
      </c>
      <c r="W27" s="18"/>
      <c r="X27" s="18"/>
      <c r="Y27" s="18">
        <v>1</v>
      </c>
      <c r="Z27" s="18">
        <v>1</v>
      </c>
      <c r="AA27" s="299">
        <v>60</v>
      </c>
      <c r="AB27" s="18">
        <v>60</v>
      </c>
      <c r="AC27" s="18">
        <v>60</v>
      </c>
      <c r="AD27" s="18"/>
      <c r="AE27" s="18" t="s">
        <v>102</v>
      </c>
      <c r="AF27" s="18" t="s">
        <v>102</v>
      </c>
      <c r="AG27" s="18">
        <v>0</v>
      </c>
      <c r="AH27" s="18">
        <v>80000000</v>
      </c>
      <c r="AI27" s="18">
        <v>30000000</v>
      </c>
      <c r="AJ27" s="18">
        <v>100000000</v>
      </c>
      <c r="AK27" s="18">
        <v>55000000</v>
      </c>
      <c r="AL27" s="18">
        <v>0</v>
      </c>
      <c r="AM27" s="18">
        <v>125000000</v>
      </c>
      <c r="AN27" s="18">
        <v>135000000</v>
      </c>
      <c r="AO27" s="18">
        <v>0</v>
      </c>
      <c r="AP27" s="18">
        <v>0</v>
      </c>
    </row>
    <row r="28" spans="1:42" x14ac:dyDescent="0.25">
      <c r="A28" s="299">
        <v>0</v>
      </c>
      <c r="B28" s="299">
        <v>0</v>
      </c>
      <c r="C28" s="299">
        <v>0</v>
      </c>
      <c r="D28" s="299">
        <v>0</v>
      </c>
      <c r="E28" s="300">
        <v>0</v>
      </c>
      <c r="F28" s="299">
        <v>0</v>
      </c>
      <c r="G28" s="299">
        <v>0</v>
      </c>
      <c r="H28" s="301">
        <v>0</v>
      </c>
      <c r="I28" s="43"/>
      <c r="J28" s="43"/>
      <c r="K28" s="301">
        <v>0</v>
      </c>
      <c r="L28" s="43"/>
      <c r="M28" s="43"/>
      <c r="N28" s="301">
        <f t="shared" si="0"/>
        <v>0</v>
      </c>
      <c r="O28" s="301">
        <f t="shared" si="0"/>
        <v>0</v>
      </c>
      <c r="P28" s="301">
        <f t="shared" si="0"/>
        <v>0</v>
      </c>
      <c r="Q28" s="301"/>
      <c r="R28" s="301"/>
      <c r="S28" s="301">
        <f t="shared" si="1"/>
        <v>0</v>
      </c>
      <c r="T28" s="37" t="s">
        <v>1845</v>
      </c>
      <c r="U28" s="37" t="s">
        <v>690</v>
      </c>
      <c r="V28" s="37">
        <v>1</v>
      </c>
      <c r="W28" s="18"/>
      <c r="X28" s="18"/>
      <c r="Y28" s="18">
        <v>1</v>
      </c>
      <c r="Z28" s="18">
        <v>1</v>
      </c>
      <c r="AA28" s="299">
        <v>30</v>
      </c>
      <c r="AB28" s="18">
        <v>60</v>
      </c>
      <c r="AC28" s="18">
        <v>60</v>
      </c>
      <c r="AD28" s="18"/>
      <c r="AE28" s="18">
        <v>0</v>
      </c>
      <c r="AF28" s="18">
        <v>0</v>
      </c>
      <c r="AG28" s="18">
        <v>0</v>
      </c>
      <c r="AH28" s="18">
        <v>0</v>
      </c>
      <c r="AI28" s="18" t="s">
        <v>102</v>
      </c>
      <c r="AJ28" s="18" t="s">
        <v>102</v>
      </c>
      <c r="AK28" s="18">
        <v>0</v>
      </c>
      <c r="AL28" s="18">
        <v>0</v>
      </c>
      <c r="AM28" s="18">
        <v>0</v>
      </c>
      <c r="AN28" s="18">
        <v>0</v>
      </c>
      <c r="AO28" s="18">
        <v>0</v>
      </c>
      <c r="AP28" s="18">
        <v>0</v>
      </c>
    </row>
    <row r="29" spans="1:42" ht="30" x14ac:dyDescent="0.25">
      <c r="A29" s="299">
        <v>0</v>
      </c>
      <c r="B29" s="299">
        <v>0</v>
      </c>
      <c r="C29" s="299">
        <v>0</v>
      </c>
      <c r="D29" s="299">
        <v>0</v>
      </c>
      <c r="E29" s="300">
        <v>0</v>
      </c>
      <c r="F29" s="299">
        <v>0</v>
      </c>
      <c r="G29" s="299">
        <v>0</v>
      </c>
      <c r="H29" s="301">
        <v>0</v>
      </c>
      <c r="I29" s="43"/>
      <c r="J29" s="43"/>
      <c r="K29" s="301">
        <v>0</v>
      </c>
      <c r="L29" s="43"/>
      <c r="M29" s="43"/>
      <c r="N29" s="301">
        <f t="shared" si="0"/>
        <v>0</v>
      </c>
      <c r="O29" s="301">
        <f t="shared" si="0"/>
        <v>0</v>
      </c>
      <c r="P29" s="301">
        <f t="shared" si="0"/>
        <v>0</v>
      </c>
      <c r="Q29" s="301"/>
      <c r="R29" s="301"/>
      <c r="S29" s="301">
        <f t="shared" si="1"/>
        <v>0</v>
      </c>
      <c r="T29" s="37" t="s">
        <v>1846</v>
      </c>
      <c r="U29" s="37" t="s">
        <v>690</v>
      </c>
      <c r="V29" s="37">
        <v>1</v>
      </c>
      <c r="W29" s="18"/>
      <c r="X29" s="18"/>
      <c r="Y29" s="18">
        <v>0</v>
      </c>
      <c r="Z29" s="18"/>
      <c r="AA29" s="299">
        <v>30</v>
      </c>
      <c r="AB29" s="18">
        <v>0</v>
      </c>
      <c r="AC29" s="18"/>
      <c r="AD29" s="18" t="s">
        <v>1847</v>
      </c>
      <c r="AE29" s="18">
        <v>0</v>
      </c>
      <c r="AF29" s="18">
        <v>0</v>
      </c>
      <c r="AG29" s="18">
        <v>0</v>
      </c>
      <c r="AH29" s="18">
        <v>0</v>
      </c>
      <c r="AI29" s="18">
        <v>0</v>
      </c>
      <c r="AJ29" s="18">
        <v>0</v>
      </c>
      <c r="AK29" s="18">
        <v>0</v>
      </c>
      <c r="AL29" s="18">
        <v>0</v>
      </c>
      <c r="AM29" s="18">
        <v>0</v>
      </c>
      <c r="AN29" s="18">
        <v>0</v>
      </c>
      <c r="AO29" s="18">
        <v>0</v>
      </c>
      <c r="AP29" s="18">
        <v>0</v>
      </c>
    </row>
    <row r="30" spans="1:42" ht="30" x14ac:dyDescent="0.25">
      <c r="A30" s="299">
        <v>0</v>
      </c>
      <c r="B30" s="299">
        <v>0</v>
      </c>
      <c r="C30" s="299">
        <v>0</v>
      </c>
      <c r="D30" s="299">
        <v>0</v>
      </c>
      <c r="E30" s="300">
        <v>0</v>
      </c>
      <c r="F30" s="299">
        <v>0</v>
      </c>
      <c r="G30" s="299">
        <v>0</v>
      </c>
      <c r="H30" s="301">
        <v>0</v>
      </c>
      <c r="I30" s="43"/>
      <c r="J30" s="43"/>
      <c r="K30" s="301">
        <v>0</v>
      </c>
      <c r="L30" s="43"/>
      <c r="M30" s="43"/>
      <c r="N30" s="301">
        <f t="shared" si="0"/>
        <v>0</v>
      </c>
      <c r="O30" s="301">
        <f t="shared" si="0"/>
        <v>0</v>
      </c>
      <c r="P30" s="301">
        <f t="shared" si="0"/>
        <v>0</v>
      </c>
      <c r="Q30" s="301"/>
      <c r="R30" s="301"/>
      <c r="S30" s="301">
        <f t="shared" si="1"/>
        <v>0</v>
      </c>
      <c r="T30" s="37" t="s">
        <v>1848</v>
      </c>
      <c r="U30" s="37" t="s">
        <v>690</v>
      </c>
      <c r="V30" s="37">
        <v>1</v>
      </c>
      <c r="W30" s="18"/>
      <c r="X30" s="18"/>
      <c r="Y30" s="18">
        <v>0</v>
      </c>
      <c r="Z30" s="18">
        <v>1</v>
      </c>
      <c r="AA30" s="299">
        <v>30</v>
      </c>
      <c r="AB30" s="18">
        <v>0</v>
      </c>
      <c r="AC30" s="18">
        <v>30</v>
      </c>
      <c r="AD30" s="18" t="s">
        <v>1849</v>
      </c>
      <c r="AE30" s="18">
        <v>0</v>
      </c>
      <c r="AF30" s="18">
        <v>0</v>
      </c>
      <c r="AG30" s="18">
        <v>0</v>
      </c>
      <c r="AH30" s="18">
        <v>0</v>
      </c>
      <c r="AI30" s="18">
        <v>0</v>
      </c>
      <c r="AJ30" s="18">
        <v>0</v>
      </c>
      <c r="AK30" s="18" t="s">
        <v>102</v>
      </c>
      <c r="AL30" s="18" t="s">
        <v>102</v>
      </c>
      <c r="AM30" s="18">
        <v>0</v>
      </c>
      <c r="AN30" s="18">
        <v>0</v>
      </c>
      <c r="AO30" s="18">
        <v>0</v>
      </c>
      <c r="AP30" s="18">
        <v>0</v>
      </c>
    </row>
    <row r="31" spans="1:42" ht="30" x14ac:dyDescent="0.25">
      <c r="A31" s="299">
        <v>0</v>
      </c>
      <c r="B31" s="299">
        <v>0</v>
      </c>
      <c r="C31" s="299">
        <v>0</v>
      </c>
      <c r="D31" s="299">
        <v>0</v>
      </c>
      <c r="E31" s="300">
        <v>0</v>
      </c>
      <c r="F31" s="299">
        <v>0</v>
      </c>
      <c r="G31" s="299">
        <v>0</v>
      </c>
      <c r="H31" s="301">
        <v>0</v>
      </c>
      <c r="I31" s="43"/>
      <c r="J31" s="43"/>
      <c r="K31" s="301">
        <v>0</v>
      </c>
      <c r="L31" s="43"/>
      <c r="M31" s="43"/>
      <c r="N31" s="301">
        <f t="shared" si="0"/>
        <v>0</v>
      </c>
      <c r="O31" s="301">
        <f t="shared" si="0"/>
        <v>0</v>
      </c>
      <c r="P31" s="301">
        <f t="shared" si="0"/>
        <v>0</v>
      </c>
      <c r="Q31" s="301"/>
      <c r="R31" s="301"/>
      <c r="S31" s="301">
        <f t="shared" si="1"/>
        <v>0</v>
      </c>
      <c r="T31" s="37" t="s">
        <v>1850</v>
      </c>
      <c r="U31" s="37" t="s">
        <v>690</v>
      </c>
      <c r="V31" s="37">
        <v>1</v>
      </c>
      <c r="W31" s="18"/>
      <c r="X31" s="18"/>
      <c r="Y31" s="18"/>
      <c r="Z31" s="18">
        <v>1</v>
      </c>
      <c r="AA31" s="299">
        <v>30</v>
      </c>
      <c r="AB31" s="18"/>
      <c r="AC31" s="18">
        <v>30</v>
      </c>
      <c r="AD31" s="18" t="s">
        <v>1849</v>
      </c>
      <c r="AE31" s="18">
        <v>0</v>
      </c>
      <c r="AF31" s="18">
        <v>0</v>
      </c>
      <c r="AG31" s="18">
        <v>0</v>
      </c>
      <c r="AH31" s="18">
        <v>0</v>
      </c>
      <c r="AI31" s="18">
        <v>0</v>
      </c>
      <c r="AJ31" s="18">
        <v>0</v>
      </c>
      <c r="AK31" s="18">
        <v>0</v>
      </c>
      <c r="AL31" s="18">
        <v>0</v>
      </c>
      <c r="AM31" s="18">
        <v>0</v>
      </c>
      <c r="AN31" s="18">
        <v>0</v>
      </c>
      <c r="AO31" s="18">
        <v>0</v>
      </c>
      <c r="AP31" s="18">
        <v>0</v>
      </c>
    </row>
    <row r="32" spans="1:42" ht="24" x14ac:dyDescent="0.25">
      <c r="A32" s="299">
        <v>0</v>
      </c>
      <c r="B32" s="299">
        <v>0</v>
      </c>
      <c r="C32" s="299">
        <v>0</v>
      </c>
      <c r="D32" s="299">
        <v>0</v>
      </c>
      <c r="E32" s="300">
        <v>0</v>
      </c>
      <c r="F32" s="299">
        <v>0</v>
      </c>
      <c r="G32" s="299">
        <v>0</v>
      </c>
      <c r="H32" s="301">
        <v>0</v>
      </c>
      <c r="I32" s="43"/>
      <c r="J32" s="43"/>
      <c r="K32" s="301">
        <v>0</v>
      </c>
      <c r="L32" s="43"/>
      <c r="M32" s="43"/>
      <c r="N32" s="301">
        <f t="shared" si="0"/>
        <v>0</v>
      </c>
      <c r="O32" s="301">
        <f t="shared" si="0"/>
        <v>0</v>
      </c>
      <c r="P32" s="301">
        <f t="shared" si="0"/>
        <v>0</v>
      </c>
      <c r="Q32" s="301"/>
      <c r="R32" s="301"/>
      <c r="S32" s="301">
        <f t="shared" si="1"/>
        <v>0</v>
      </c>
      <c r="T32" s="37" t="s">
        <v>1851</v>
      </c>
      <c r="U32" s="37" t="s">
        <v>690</v>
      </c>
      <c r="V32" s="37">
        <v>1</v>
      </c>
      <c r="W32" s="18"/>
      <c r="X32" s="18"/>
      <c r="Y32" s="18"/>
      <c r="Z32" s="18"/>
      <c r="AA32" s="299">
        <v>30</v>
      </c>
      <c r="AB32" s="18"/>
      <c r="AC32" s="18"/>
      <c r="AD32" s="18"/>
      <c r="AE32" s="18">
        <v>0</v>
      </c>
      <c r="AF32" s="18">
        <v>0</v>
      </c>
      <c r="AG32" s="18">
        <v>0</v>
      </c>
      <c r="AH32" s="18">
        <v>0</v>
      </c>
      <c r="AI32" s="18">
        <v>0</v>
      </c>
      <c r="AJ32" s="18">
        <v>0</v>
      </c>
      <c r="AK32" s="18">
        <v>0</v>
      </c>
      <c r="AL32" s="18">
        <v>0</v>
      </c>
      <c r="AM32" s="18">
        <v>0</v>
      </c>
      <c r="AN32" s="18">
        <v>0</v>
      </c>
      <c r="AO32" s="18">
        <v>0</v>
      </c>
      <c r="AP32" s="18">
        <v>0</v>
      </c>
    </row>
    <row r="33" spans="1:102" x14ac:dyDescent="0.25">
      <c r="A33" s="299">
        <v>0</v>
      </c>
      <c r="B33" s="299">
        <v>0</v>
      </c>
      <c r="C33" s="299">
        <v>0</v>
      </c>
      <c r="D33" s="299">
        <v>0</v>
      </c>
      <c r="E33" s="300">
        <v>0</v>
      </c>
      <c r="F33" s="299">
        <v>0</v>
      </c>
      <c r="G33" s="299">
        <v>0</v>
      </c>
      <c r="H33" s="301">
        <v>0</v>
      </c>
      <c r="I33" s="43"/>
      <c r="J33" s="43"/>
      <c r="K33" s="301">
        <v>0</v>
      </c>
      <c r="L33" s="43"/>
      <c r="M33" s="43"/>
      <c r="N33" s="301">
        <f t="shared" si="0"/>
        <v>0</v>
      </c>
      <c r="O33" s="301">
        <f t="shared" si="0"/>
        <v>0</v>
      </c>
      <c r="P33" s="301">
        <f t="shared" si="0"/>
        <v>0</v>
      </c>
      <c r="Q33" s="301"/>
      <c r="R33" s="301"/>
      <c r="S33" s="301">
        <f t="shared" si="1"/>
        <v>0</v>
      </c>
      <c r="T33" s="37" t="s">
        <v>1852</v>
      </c>
      <c r="U33" s="37" t="s">
        <v>690</v>
      </c>
      <c r="V33" s="37">
        <v>1</v>
      </c>
      <c r="W33" s="18"/>
      <c r="X33" s="18"/>
      <c r="Y33" s="18"/>
      <c r="Z33" s="18"/>
      <c r="AA33" s="299">
        <v>30</v>
      </c>
      <c r="AB33" s="18"/>
      <c r="AC33" s="18"/>
      <c r="AD33" s="18"/>
      <c r="AE33" s="18">
        <v>0</v>
      </c>
      <c r="AF33" s="18">
        <v>0</v>
      </c>
      <c r="AG33" s="18">
        <v>0</v>
      </c>
      <c r="AH33" s="18">
        <v>0</v>
      </c>
      <c r="AI33" s="18">
        <v>0</v>
      </c>
      <c r="AJ33" s="18">
        <v>0</v>
      </c>
      <c r="AK33" s="18">
        <v>0</v>
      </c>
      <c r="AL33" s="18">
        <v>0</v>
      </c>
      <c r="AM33" s="18">
        <v>0</v>
      </c>
      <c r="AN33" s="18">
        <v>0</v>
      </c>
      <c r="AO33" s="18">
        <v>0</v>
      </c>
      <c r="AP33" s="18">
        <v>0</v>
      </c>
    </row>
    <row r="34" spans="1:102" ht="30" x14ac:dyDescent="0.25">
      <c r="A34" s="299">
        <v>0</v>
      </c>
      <c r="B34" s="299">
        <v>0</v>
      </c>
      <c r="C34" s="299">
        <v>0</v>
      </c>
      <c r="D34" s="299">
        <v>0</v>
      </c>
      <c r="E34" s="300">
        <v>0</v>
      </c>
      <c r="F34" s="299">
        <v>0</v>
      </c>
      <c r="G34" s="299">
        <v>0</v>
      </c>
      <c r="H34" s="301">
        <v>0</v>
      </c>
      <c r="I34" s="43"/>
      <c r="J34" s="43"/>
      <c r="K34" s="301">
        <v>0</v>
      </c>
      <c r="L34" s="43"/>
      <c r="M34" s="43"/>
      <c r="N34" s="301">
        <f t="shared" si="0"/>
        <v>0</v>
      </c>
      <c r="O34" s="301">
        <f t="shared" si="0"/>
        <v>0</v>
      </c>
      <c r="P34" s="301">
        <f t="shared" si="0"/>
        <v>0</v>
      </c>
      <c r="Q34" s="301"/>
      <c r="R34" s="301"/>
      <c r="S34" s="301">
        <f t="shared" si="1"/>
        <v>0</v>
      </c>
      <c r="T34" s="37" t="s">
        <v>1853</v>
      </c>
      <c r="U34" s="37" t="s">
        <v>690</v>
      </c>
      <c r="V34" s="37">
        <v>1</v>
      </c>
      <c r="W34" s="18"/>
      <c r="X34" s="18"/>
      <c r="Y34" s="18"/>
      <c r="Z34" s="18">
        <v>13</v>
      </c>
      <c r="AA34" s="299">
        <v>30</v>
      </c>
      <c r="AB34" s="18">
        <v>0</v>
      </c>
      <c r="AC34" s="18">
        <v>210</v>
      </c>
      <c r="AD34" s="18" t="s">
        <v>1849</v>
      </c>
      <c r="AE34" s="18">
        <v>0</v>
      </c>
      <c r="AF34" s="18">
        <v>0</v>
      </c>
      <c r="AG34" s="18">
        <v>0</v>
      </c>
      <c r="AH34" s="18">
        <v>0</v>
      </c>
      <c r="AI34" s="18">
        <v>0</v>
      </c>
      <c r="AJ34" s="18">
        <v>0</v>
      </c>
      <c r="AK34" s="18">
        <v>0</v>
      </c>
      <c r="AL34" s="18">
        <v>0</v>
      </c>
      <c r="AM34" s="18">
        <v>0</v>
      </c>
      <c r="AN34" s="18">
        <v>0</v>
      </c>
      <c r="AO34" s="18">
        <v>0</v>
      </c>
      <c r="AP34" s="18">
        <v>0</v>
      </c>
    </row>
    <row r="35" spans="1:102" ht="60" x14ac:dyDescent="0.25">
      <c r="A35" s="299">
        <v>0</v>
      </c>
      <c r="B35" s="299">
        <v>0</v>
      </c>
      <c r="C35" s="299">
        <v>0</v>
      </c>
      <c r="D35" s="299">
        <v>0</v>
      </c>
      <c r="E35" s="300">
        <v>0</v>
      </c>
      <c r="F35" s="299">
        <v>0</v>
      </c>
      <c r="G35" s="299">
        <v>0</v>
      </c>
      <c r="H35" s="301">
        <v>0</v>
      </c>
      <c r="I35" s="43"/>
      <c r="J35" s="43"/>
      <c r="K35" s="301">
        <v>0</v>
      </c>
      <c r="L35" s="43"/>
      <c r="M35" s="43"/>
      <c r="N35" s="301">
        <f t="shared" si="0"/>
        <v>0</v>
      </c>
      <c r="O35" s="301">
        <f t="shared" si="0"/>
        <v>0</v>
      </c>
      <c r="P35" s="301">
        <f t="shared" si="0"/>
        <v>0</v>
      </c>
      <c r="Q35" s="301"/>
      <c r="R35" s="301"/>
      <c r="S35" s="301">
        <f t="shared" si="1"/>
        <v>0</v>
      </c>
      <c r="T35" s="37" t="s">
        <v>1854</v>
      </c>
      <c r="U35" s="37" t="s">
        <v>690</v>
      </c>
      <c r="V35" s="37">
        <v>1</v>
      </c>
      <c r="W35" s="18"/>
      <c r="X35" s="18"/>
      <c r="Y35" s="18"/>
      <c r="Z35" s="18"/>
      <c r="AA35" s="299">
        <v>30</v>
      </c>
      <c r="AB35" s="18"/>
      <c r="AC35" s="18"/>
      <c r="AD35" s="18" t="s">
        <v>1855</v>
      </c>
      <c r="AE35" s="18">
        <v>0</v>
      </c>
      <c r="AF35" s="18">
        <v>0</v>
      </c>
      <c r="AG35" s="18">
        <v>0</v>
      </c>
      <c r="AH35" s="18">
        <v>0</v>
      </c>
      <c r="AI35" s="18">
        <v>0</v>
      </c>
      <c r="AJ35" s="18">
        <v>0</v>
      </c>
      <c r="AK35" s="18">
        <v>0</v>
      </c>
      <c r="AL35" s="18">
        <v>0</v>
      </c>
      <c r="AM35" s="18">
        <v>0</v>
      </c>
      <c r="AN35" s="18">
        <v>0</v>
      </c>
      <c r="AO35" s="18">
        <v>0</v>
      </c>
      <c r="AP35" s="18">
        <v>0</v>
      </c>
    </row>
    <row r="36" spans="1:102" ht="144" x14ac:dyDescent="0.25">
      <c r="A36" s="299" t="s">
        <v>156</v>
      </c>
      <c r="B36" s="299" t="s">
        <v>982</v>
      </c>
      <c r="C36" s="299" t="s">
        <v>983</v>
      </c>
      <c r="D36" s="299">
        <v>222340000</v>
      </c>
      <c r="E36" s="300" t="s">
        <v>1608</v>
      </c>
      <c r="F36" s="299" t="s">
        <v>1718</v>
      </c>
      <c r="G36" s="299" t="s">
        <v>1719</v>
      </c>
      <c r="H36" s="301">
        <v>200000000</v>
      </c>
      <c r="I36" s="43"/>
      <c r="J36" s="144">
        <v>0</v>
      </c>
      <c r="K36" s="301">
        <v>6565363008</v>
      </c>
      <c r="L36" s="43"/>
      <c r="M36" s="144">
        <v>0</v>
      </c>
      <c r="N36" s="301">
        <f t="shared" si="0"/>
        <v>6765363008</v>
      </c>
      <c r="O36" s="301">
        <f t="shared" si="0"/>
        <v>0</v>
      </c>
      <c r="P36" s="301">
        <f t="shared" si="0"/>
        <v>0</v>
      </c>
      <c r="Q36" s="144">
        <v>0</v>
      </c>
      <c r="R36" s="301"/>
      <c r="S36" s="301">
        <f t="shared" si="1"/>
        <v>0</v>
      </c>
      <c r="T36" s="37" t="s">
        <v>1856</v>
      </c>
      <c r="U36" s="37" t="s">
        <v>690</v>
      </c>
      <c r="V36" s="37">
        <v>20</v>
      </c>
      <c r="W36" s="18"/>
      <c r="X36" s="18"/>
      <c r="Y36" s="18"/>
      <c r="Z36" s="18">
        <v>15</v>
      </c>
      <c r="AA36" s="299">
        <v>330</v>
      </c>
      <c r="AB36" s="18"/>
      <c r="AC36" s="18">
        <v>330</v>
      </c>
      <c r="AD36" s="18" t="s">
        <v>1857</v>
      </c>
      <c r="AE36" s="18">
        <v>0</v>
      </c>
      <c r="AF36" s="18">
        <v>0</v>
      </c>
      <c r="AG36" s="18">
        <v>200000000</v>
      </c>
      <c r="AH36" s="18">
        <v>1014804450</v>
      </c>
      <c r="AI36" s="18">
        <v>0</v>
      </c>
      <c r="AJ36" s="18">
        <v>2079608904</v>
      </c>
      <c r="AK36" s="18">
        <v>0</v>
      </c>
      <c r="AL36" s="18">
        <v>0</v>
      </c>
      <c r="AM36" s="18">
        <v>1879608902</v>
      </c>
      <c r="AN36" s="18">
        <v>0</v>
      </c>
      <c r="AO36" s="18">
        <v>0</v>
      </c>
      <c r="AP36" s="18">
        <v>1591340752</v>
      </c>
    </row>
    <row r="37" spans="1:102" ht="96" x14ac:dyDescent="0.25">
      <c r="A37" s="299">
        <v>0</v>
      </c>
      <c r="B37" s="299">
        <v>0</v>
      </c>
      <c r="C37" s="299">
        <v>0</v>
      </c>
      <c r="D37" s="299">
        <v>0</v>
      </c>
      <c r="E37" s="300">
        <v>0</v>
      </c>
      <c r="F37" s="299">
        <v>0</v>
      </c>
      <c r="G37" s="299">
        <v>0</v>
      </c>
      <c r="H37" s="301">
        <v>0</v>
      </c>
      <c r="I37" s="43"/>
      <c r="J37" s="43"/>
      <c r="K37" s="301">
        <v>0</v>
      </c>
      <c r="L37" s="43"/>
      <c r="M37" s="43"/>
      <c r="N37" s="301">
        <f t="shared" si="0"/>
        <v>0</v>
      </c>
      <c r="O37" s="301">
        <f t="shared" si="0"/>
        <v>0</v>
      </c>
      <c r="P37" s="301">
        <f t="shared" si="0"/>
        <v>0</v>
      </c>
      <c r="Q37" s="301"/>
      <c r="R37" s="301"/>
      <c r="S37" s="301">
        <f t="shared" si="1"/>
        <v>0</v>
      </c>
      <c r="T37" s="37" t="s">
        <v>1858</v>
      </c>
      <c r="U37" s="37" t="s">
        <v>1859</v>
      </c>
      <c r="V37" s="37">
        <v>1500</v>
      </c>
      <c r="W37" s="18"/>
      <c r="X37" s="18"/>
      <c r="Y37" s="18"/>
      <c r="Z37" s="18">
        <v>4797</v>
      </c>
      <c r="AA37" s="299">
        <v>330</v>
      </c>
      <c r="AB37" s="18"/>
      <c r="AC37" s="18">
        <v>330</v>
      </c>
      <c r="AD37" s="18"/>
      <c r="AE37" s="18">
        <v>0</v>
      </c>
      <c r="AF37" s="18">
        <v>0</v>
      </c>
      <c r="AG37" s="18">
        <v>0</v>
      </c>
      <c r="AH37" s="18">
        <v>0</v>
      </c>
      <c r="AI37" s="18">
        <v>0</v>
      </c>
      <c r="AJ37" s="18">
        <v>0</v>
      </c>
      <c r="AK37" s="18">
        <v>0</v>
      </c>
      <c r="AL37" s="18">
        <v>0</v>
      </c>
      <c r="AM37" s="18">
        <v>0</v>
      </c>
      <c r="AN37" s="18">
        <v>0</v>
      </c>
      <c r="AO37" s="18">
        <v>0</v>
      </c>
      <c r="AP37" s="18">
        <v>0</v>
      </c>
    </row>
    <row r="38" spans="1:102" ht="180" x14ac:dyDescent="0.25">
      <c r="A38" s="299">
        <v>0</v>
      </c>
      <c r="B38" s="299">
        <v>0</v>
      </c>
      <c r="C38" s="299">
        <v>0</v>
      </c>
      <c r="D38" s="299">
        <v>0</v>
      </c>
      <c r="E38" s="300">
        <v>0</v>
      </c>
      <c r="F38" s="299">
        <v>0</v>
      </c>
      <c r="G38" s="299">
        <v>0</v>
      </c>
      <c r="H38" s="301">
        <v>0</v>
      </c>
      <c r="I38" s="43"/>
      <c r="J38" s="43"/>
      <c r="K38" s="301">
        <v>0</v>
      </c>
      <c r="L38" s="43"/>
      <c r="M38" s="43"/>
      <c r="N38" s="301">
        <f t="shared" si="0"/>
        <v>0</v>
      </c>
      <c r="O38" s="301">
        <f t="shared" si="0"/>
        <v>0</v>
      </c>
      <c r="P38" s="301">
        <f t="shared" si="0"/>
        <v>0</v>
      </c>
      <c r="Q38" s="301"/>
      <c r="R38" s="301"/>
      <c r="S38" s="301">
        <f t="shared" si="1"/>
        <v>0</v>
      </c>
      <c r="T38" s="37" t="s">
        <v>1860</v>
      </c>
      <c r="U38" s="37" t="s">
        <v>690</v>
      </c>
      <c r="V38" s="37">
        <v>3</v>
      </c>
      <c r="W38" s="18"/>
      <c r="X38" s="18"/>
      <c r="Y38" s="18"/>
      <c r="Z38" s="18">
        <v>1</v>
      </c>
      <c r="AA38" s="299">
        <v>330</v>
      </c>
      <c r="AB38" s="18"/>
      <c r="AC38" s="18">
        <v>330</v>
      </c>
      <c r="AD38" s="18" t="s">
        <v>1861</v>
      </c>
      <c r="AE38" s="18">
        <v>0</v>
      </c>
      <c r="AF38" s="18">
        <v>0</v>
      </c>
      <c r="AG38" s="18">
        <v>0</v>
      </c>
      <c r="AH38" s="18">
        <v>0</v>
      </c>
      <c r="AI38" s="18">
        <v>0</v>
      </c>
      <c r="AJ38" s="18">
        <v>0</v>
      </c>
      <c r="AK38" s="18">
        <v>0</v>
      </c>
      <c r="AL38" s="18">
        <v>0</v>
      </c>
      <c r="AM38" s="18">
        <v>0</v>
      </c>
      <c r="AN38" s="18">
        <v>0</v>
      </c>
      <c r="AO38" s="18">
        <v>0</v>
      </c>
      <c r="AP38" s="18">
        <v>0</v>
      </c>
    </row>
    <row r="39" spans="1:102" ht="36" x14ac:dyDescent="0.25">
      <c r="A39" s="299">
        <v>0</v>
      </c>
      <c r="B39" s="299">
        <v>0</v>
      </c>
      <c r="C39" s="299">
        <v>0</v>
      </c>
      <c r="D39" s="299">
        <v>0</v>
      </c>
      <c r="E39" s="300">
        <v>0</v>
      </c>
      <c r="F39" s="299">
        <v>0</v>
      </c>
      <c r="G39" s="299">
        <v>0</v>
      </c>
      <c r="H39" s="301">
        <v>0</v>
      </c>
      <c r="I39" s="43"/>
      <c r="J39" s="43"/>
      <c r="K39" s="301">
        <v>0</v>
      </c>
      <c r="L39" s="43"/>
      <c r="M39" s="43"/>
      <c r="N39" s="301">
        <f t="shared" si="0"/>
        <v>0</v>
      </c>
      <c r="O39" s="301">
        <f t="shared" si="0"/>
        <v>0</v>
      </c>
      <c r="P39" s="301">
        <f t="shared" si="0"/>
        <v>0</v>
      </c>
      <c r="Q39" s="301"/>
      <c r="R39" s="301"/>
      <c r="S39" s="301">
        <f t="shared" si="1"/>
        <v>0</v>
      </c>
      <c r="T39" s="37" t="s">
        <v>1862</v>
      </c>
      <c r="U39" s="37" t="s">
        <v>690</v>
      </c>
      <c r="V39" s="37">
        <v>1</v>
      </c>
      <c r="W39" s="18"/>
      <c r="X39" s="18"/>
      <c r="Y39" s="18"/>
      <c r="Z39" s="18">
        <v>1</v>
      </c>
      <c r="AA39" s="299">
        <v>330</v>
      </c>
      <c r="AB39" s="18"/>
      <c r="AC39" s="18">
        <v>330</v>
      </c>
      <c r="AD39" s="18"/>
      <c r="AE39" s="18">
        <v>0</v>
      </c>
      <c r="AF39" s="18">
        <v>0</v>
      </c>
      <c r="AG39" s="18">
        <v>0</v>
      </c>
      <c r="AH39" s="18">
        <v>0</v>
      </c>
      <c r="AI39" s="18">
        <v>0</v>
      </c>
      <c r="AJ39" s="18">
        <v>0</v>
      </c>
      <c r="AK39" s="18">
        <v>0</v>
      </c>
      <c r="AL39" s="18">
        <v>0</v>
      </c>
      <c r="AM39" s="18">
        <v>0</v>
      </c>
      <c r="AN39" s="18">
        <v>0</v>
      </c>
      <c r="AO39" s="18">
        <v>0</v>
      </c>
      <c r="AP39" s="18">
        <v>0</v>
      </c>
    </row>
    <row r="40" spans="1:102" ht="48" x14ac:dyDescent="0.25">
      <c r="A40" s="299">
        <v>0</v>
      </c>
      <c r="B40" s="299">
        <v>0</v>
      </c>
      <c r="C40" s="299">
        <v>0</v>
      </c>
      <c r="D40" s="299">
        <v>0</v>
      </c>
      <c r="E40" s="300">
        <v>0</v>
      </c>
      <c r="F40" s="299">
        <v>0</v>
      </c>
      <c r="G40" s="299">
        <v>0</v>
      </c>
      <c r="H40" s="301">
        <v>0</v>
      </c>
      <c r="I40" s="43"/>
      <c r="J40" s="43"/>
      <c r="K40" s="301">
        <v>0</v>
      </c>
      <c r="L40" s="43"/>
      <c r="M40" s="43"/>
      <c r="N40" s="301">
        <f t="shared" si="0"/>
        <v>0</v>
      </c>
      <c r="O40" s="301">
        <f t="shared" si="0"/>
        <v>0</v>
      </c>
      <c r="P40" s="301">
        <f t="shared" si="0"/>
        <v>0</v>
      </c>
      <c r="Q40" s="301"/>
      <c r="R40" s="301"/>
      <c r="S40" s="301">
        <f t="shared" si="1"/>
        <v>0</v>
      </c>
      <c r="T40" s="37" t="s">
        <v>1863</v>
      </c>
      <c r="U40" s="37" t="s">
        <v>690</v>
      </c>
      <c r="V40" s="37">
        <v>1</v>
      </c>
      <c r="W40" s="18"/>
      <c r="X40" s="18"/>
      <c r="Y40" s="18"/>
      <c r="Z40" s="18">
        <v>1</v>
      </c>
      <c r="AA40" s="299">
        <v>330</v>
      </c>
      <c r="AB40" s="18"/>
      <c r="AC40" s="18">
        <v>120</v>
      </c>
      <c r="AD40" s="18"/>
      <c r="AE40" s="18">
        <v>0</v>
      </c>
      <c r="AF40" s="18">
        <v>0</v>
      </c>
      <c r="AG40" s="18">
        <v>0</v>
      </c>
      <c r="AH40" s="18">
        <v>0</v>
      </c>
      <c r="AI40" s="18">
        <v>0</v>
      </c>
      <c r="AJ40" s="18">
        <v>0</v>
      </c>
      <c r="AK40" s="18">
        <v>0</v>
      </c>
      <c r="AL40" s="18">
        <v>0</v>
      </c>
      <c r="AM40" s="18">
        <v>0</v>
      </c>
      <c r="AN40" s="18">
        <v>0</v>
      </c>
      <c r="AO40" s="18">
        <v>0</v>
      </c>
      <c r="AP40" s="18">
        <v>0</v>
      </c>
    </row>
    <row r="41" spans="1:102" ht="72" x14ac:dyDescent="0.25">
      <c r="A41" s="299">
        <v>0</v>
      </c>
      <c r="B41" s="299">
        <v>0</v>
      </c>
      <c r="C41" s="299">
        <v>0</v>
      </c>
      <c r="D41" s="299">
        <v>0</v>
      </c>
      <c r="E41" s="300">
        <v>0</v>
      </c>
      <c r="F41" s="299">
        <v>0</v>
      </c>
      <c r="G41" s="299">
        <v>0</v>
      </c>
      <c r="H41" s="301">
        <v>0</v>
      </c>
      <c r="I41" s="43"/>
      <c r="J41" s="43"/>
      <c r="K41" s="301">
        <v>0</v>
      </c>
      <c r="L41" s="43"/>
      <c r="M41" s="43"/>
      <c r="N41" s="301">
        <f t="shared" si="0"/>
        <v>0</v>
      </c>
      <c r="O41" s="301">
        <f t="shared" si="0"/>
        <v>0</v>
      </c>
      <c r="P41" s="301">
        <f t="shared" si="0"/>
        <v>0</v>
      </c>
      <c r="Q41" s="301"/>
      <c r="R41" s="301"/>
      <c r="S41" s="301">
        <f t="shared" si="1"/>
        <v>0</v>
      </c>
      <c r="T41" s="37" t="s">
        <v>1864</v>
      </c>
      <c r="U41" s="37" t="s">
        <v>690</v>
      </c>
      <c r="V41" s="37">
        <v>1</v>
      </c>
      <c r="W41" s="18"/>
      <c r="X41" s="18"/>
      <c r="Y41" s="18"/>
      <c r="Z41" s="18">
        <v>1</v>
      </c>
      <c r="AA41" s="299">
        <v>330</v>
      </c>
      <c r="AB41" s="18"/>
      <c r="AC41" s="18">
        <v>330</v>
      </c>
      <c r="AD41" s="18"/>
      <c r="AE41" s="18">
        <v>0</v>
      </c>
      <c r="AF41" s="18">
        <v>0</v>
      </c>
      <c r="AG41" s="18">
        <v>0</v>
      </c>
      <c r="AH41" s="18">
        <v>0</v>
      </c>
      <c r="AI41" s="18">
        <v>0</v>
      </c>
      <c r="AJ41" s="18">
        <v>0</v>
      </c>
      <c r="AK41" s="18">
        <v>0</v>
      </c>
      <c r="AL41" s="18">
        <v>0</v>
      </c>
      <c r="AM41" s="18">
        <v>0</v>
      </c>
      <c r="AN41" s="18">
        <v>0</v>
      </c>
      <c r="AO41" s="18">
        <v>0</v>
      </c>
      <c r="AP41" s="18">
        <v>0</v>
      </c>
    </row>
    <row r="42" spans="1:102" ht="24" x14ac:dyDescent="0.25">
      <c r="A42" s="299">
        <v>0</v>
      </c>
      <c r="B42" s="299">
        <v>0</v>
      </c>
      <c r="C42" s="299">
        <v>0</v>
      </c>
      <c r="D42" s="299">
        <v>0</v>
      </c>
      <c r="E42" s="300">
        <v>0</v>
      </c>
      <c r="F42" s="299">
        <v>0</v>
      </c>
      <c r="G42" s="299">
        <v>0</v>
      </c>
      <c r="H42" s="301">
        <v>0</v>
      </c>
      <c r="I42" s="43"/>
      <c r="J42" s="43"/>
      <c r="K42" s="301">
        <v>0</v>
      </c>
      <c r="L42" s="43"/>
      <c r="M42" s="43"/>
      <c r="N42" s="301">
        <f t="shared" si="0"/>
        <v>0</v>
      </c>
      <c r="O42" s="301">
        <f t="shared" si="0"/>
        <v>0</v>
      </c>
      <c r="P42" s="301">
        <f t="shared" si="0"/>
        <v>0</v>
      </c>
      <c r="Q42" s="301"/>
      <c r="R42" s="301"/>
      <c r="S42" s="301">
        <f t="shared" si="1"/>
        <v>0</v>
      </c>
      <c r="T42" s="37" t="s">
        <v>1865</v>
      </c>
      <c r="U42" s="37">
        <v>0</v>
      </c>
      <c r="V42" s="37">
        <v>0</v>
      </c>
      <c r="W42" s="18"/>
      <c r="X42" s="18"/>
      <c r="Y42" s="18"/>
      <c r="Z42" s="18"/>
      <c r="AA42" s="299">
        <v>0</v>
      </c>
      <c r="AB42" s="18"/>
      <c r="AC42" s="18"/>
      <c r="AD42" s="18"/>
      <c r="AE42" s="18">
        <v>0</v>
      </c>
      <c r="AF42" s="18">
        <v>0</v>
      </c>
      <c r="AG42" s="18">
        <v>0</v>
      </c>
      <c r="AH42" s="18">
        <v>0</v>
      </c>
      <c r="AI42" s="18">
        <v>0</v>
      </c>
      <c r="AJ42" s="18">
        <v>0</v>
      </c>
      <c r="AK42" s="18">
        <v>0</v>
      </c>
      <c r="AL42" s="18">
        <v>0</v>
      </c>
      <c r="AM42" s="18">
        <v>0</v>
      </c>
      <c r="AN42" s="18">
        <v>0</v>
      </c>
      <c r="AO42" s="18">
        <v>0</v>
      </c>
      <c r="AP42" s="18">
        <v>0</v>
      </c>
    </row>
    <row r="43" spans="1:102" ht="105" x14ac:dyDescent="0.25">
      <c r="A43" s="299" t="s">
        <v>156</v>
      </c>
      <c r="B43" s="299" t="s">
        <v>982</v>
      </c>
      <c r="C43" s="299" t="s">
        <v>994</v>
      </c>
      <c r="D43" s="299">
        <v>222410000</v>
      </c>
      <c r="E43" s="300" t="s">
        <v>1723</v>
      </c>
      <c r="F43" s="299" t="s">
        <v>1724</v>
      </c>
      <c r="G43" s="299" t="s">
        <v>1725</v>
      </c>
      <c r="H43" s="301">
        <v>658500000</v>
      </c>
      <c r="I43" s="43"/>
      <c r="J43" s="43">
        <v>652360396</v>
      </c>
      <c r="K43" s="301">
        <v>0</v>
      </c>
      <c r="L43" s="43"/>
      <c r="M43" s="144"/>
      <c r="N43" s="301">
        <f t="shared" si="0"/>
        <v>658500000</v>
      </c>
      <c r="O43" s="301">
        <f t="shared" si="0"/>
        <v>0</v>
      </c>
      <c r="P43" s="301">
        <f t="shared" si="0"/>
        <v>652360396</v>
      </c>
      <c r="Q43" s="301">
        <f>+P43</f>
        <v>652360396</v>
      </c>
      <c r="R43" s="301"/>
      <c r="S43" s="301">
        <f>+Q43+R43</f>
        <v>652360396</v>
      </c>
      <c r="T43" s="37" t="s">
        <v>1866</v>
      </c>
      <c r="U43" s="37" t="s">
        <v>690</v>
      </c>
      <c r="V43" s="37">
        <v>1250</v>
      </c>
      <c r="W43" s="18"/>
      <c r="X43" s="18"/>
      <c r="Y43" s="18"/>
      <c r="Z43" s="18">
        <v>389</v>
      </c>
      <c r="AA43" s="299">
        <v>300</v>
      </c>
      <c r="AB43" s="18"/>
      <c r="AC43" s="18">
        <v>120</v>
      </c>
      <c r="AD43" s="18" t="s">
        <v>1867</v>
      </c>
      <c r="AE43" s="18">
        <v>0</v>
      </c>
      <c r="AF43" s="18">
        <v>0</v>
      </c>
      <c r="AG43" s="18">
        <v>0</v>
      </c>
      <c r="AH43" s="18">
        <v>0</v>
      </c>
      <c r="AI43" s="18">
        <v>0</v>
      </c>
      <c r="AJ43" s="18">
        <v>0</v>
      </c>
      <c r="AK43" s="18">
        <v>0</v>
      </c>
      <c r="AL43" s="18">
        <v>0</v>
      </c>
      <c r="AM43" s="18">
        <v>0</v>
      </c>
      <c r="AN43" s="18">
        <v>0</v>
      </c>
      <c r="AO43" s="18">
        <v>0</v>
      </c>
      <c r="AP43" s="18">
        <v>0</v>
      </c>
    </row>
    <row r="44" spans="1:102" s="306" customFormat="1" ht="84" x14ac:dyDescent="0.25">
      <c r="A44" s="299" t="s">
        <v>156</v>
      </c>
      <c r="B44" s="299" t="s">
        <v>982</v>
      </c>
      <c r="C44" s="299" t="s">
        <v>1868</v>
      </c>
      <c r="D44" s="299">
        <v>222510000</v>
      </c>
      <c r="E44" s="300" t="s">
        <v>1732</v>
      </c>
      <c r="F44" s="299" t="s">
        <v>1733</v>
      </c>
      <c r="G44" s="299" t="s">
        <v>1734</v>
      </c>
      <c r="H44" s="301">
        <v>165000000</v>
      </c>
      <c r="I44" s="43">
        <v>165000000</v>
      </c>
      <c r="J44" s="301">
        <v>0</v>
      </c>
      <c r="K44" s="144">
        <v>0</v>
      </c>
      <c r="L44" s="144">
        <v>0</v>
      </c>
      <c r="M44" s="144">
        <v>0</v>
      </c>
      <c r="N44" s="301">
        <f t="shared" si="0"/>
        <v>165000000</v>
      </c>
      <c r="O44" s="301">
        <f t="shared" si="0"/>
        <v>165000000</v>
      </c>
      <c r="P44" s="144">
        <v>0</v>
      </c>
      <c r="Q44" s="144">
        <v>0</v>
      </c>
      <c r="R44" s="144">
        <v>0</v>
      </c>
      <c r="S44" s="301">
        <f t="shared" si="1"/>
        <v>0</v>
      </c>
      <c r="T44" s="37" t="s">
        <v>1869</v>
      </c>
      <c r="U44" s="37" t="s">
        <v>690</v>
      </c>
      <c r="V44" s="37">
        <f>V63</f>
        <v>1</v>
      </c>
      <c r="W44" s="37">
        <f>W63</f>
        <v>1</v>
      </c>
      <c r="X44" s="305"/>
      <c r="Y44" s="37">
        <f t="shared" ref="Y44:AN44" si="2">Y63</f>
        <v>1</v>
      </c>
      <c r="Z44" s="37">
        <v>1</v>
      </c>
      <c r="AA44" s="37">
        <f t="shared" si="2"/>
        <v>60</v>
      </c>
      <c r="AB44" s="37">
        <v>90</v>
      </c>
      <c r="AC44" s="305">
        <v>90</v>
      </c>
      <c r="AD44" s="37" t="s">
        <v>1870</v>
      </c>
      <c r="AE44" s="37">
        <f t="shared" si="2"/>
        <v>0</v>
      </c>
      <c r="AF44" s="37">
        <f t="shared" si="2"/>
        <v>160000000</v>
      </c>
      <c r="AG44" s="37">
        <f t="shared" si="2"/>
        <v>0</v>
      </c>
      <c r="AH44" s="37">
        <f t="shared" si="2"/>
        <v>0</v>
      </c>
      <c r="AI44" s="37">
        <f t="shared" si="2"/>
        <v>0</v>
      </c>
      <c r="AJ44" s="37">
        <f t="shared" si="2"/>
        <v>0</v>
      </c>
      <c r="AK44" s="37">
        <f t="shared" si="2"/>
        <v>0</v>
      </c>
      <c r="AL44" s="37">
        <f t="shared" si="2"/>
        <v>0</v>
      </c>
      <c r="AM44" s="37">
        <f t="shared" si="2"/>
        <v>0</v>
      </c>
      <c r="AN44" s="37">
        <f t="shared" si="2"/>
        <v>0</v>
      </c>
      <c r="AO44" s="37"/>
      <c r="AP44" s="3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row>
    <row r="45" spans="1:102" ht="120" x14ac:dyDescent="0.25">
      <c r="A45" s="299" t="s">
        <v>156</v>
      </c>
      <c r="B45" s="299" t="s">
        <v>982</v>
      </c>
      <c r="C45" s="299" t="s">
        <v>1738</v>
      </c>
      <c r="D45" s="307">
        <v>222610000</v>
      </c>
      <c r="E45" s="308" t="s">
        <v>1740</v>
      </c>
      <c r="F45" s="307" t="s">
        <v>1741</v>
      </c>
      <c r="G45" s="307" t="s">
        <v>1742</v>
      </c>
      <c r="H45" s="309">
        <v>553643000</v>
      </c>
      <c r="I45" s="43">
        <v>553643000</v>
      </c>
      <c r="J45" s="43">
        <v>553643000</v>
      </c>
      <c r="K45" s="309"/>
      <c r="L45" s="309"/>
      <c r="M45" s="144"/>
      <c r="N45" s="301">
        <f>H45+K45</f>
        <v>553643000</v>
      </c>
      <c r="O45" s="301">
        <f>I45+L45</f>
        <v>553643000</v>
      </c>
      <c r="P45" s="301">
        <f>J45+M45</f>
        <v>553643000</v>
      </c>
      <c r="Q45" s="301">
        <v>553167857</v>
      </c>
      <c r="R45" s="305"/>
      <c r="S45" s="310">
        <f>+Q45+R45</f>
        <v>553167857</v>
      </c>
      <c r="T45" s="77" t="s">
        <v>1871</v>
      </c>
      <c r="U45" s="77" t="s">
        <v>690</v>
      </c>
      <c r="V45" s="77">
        <v>6</v>
      </c>
      <c r="W45" s="311">
        <v>6</v>
      </c>
      <c r="X45" s="311"/>
      <c r="Y45" s="311">
        <v>6</v>
      </c>
      <c r="Z45" s="311">
        <v>6</v>
      </c>
      <c r="AA45" s="307">
        <v>90</v>
      </c>
      <c r="AB45" s="311">
        <v>60</v>
      </c>
      <c r="AC45" s="311">
        <v>60</v>
      </c>
      <c r="AD45" s="311">
        <v>0</v>
      </c>
      <c r="AE45" s="311">
        <v>100064900</v>
      </c>
      <c r="AF45" s="311">
        <v>32064900</v>
      </c>
      <c r="AG45" s="311">
        <v>129032450</v>
      </c>
      <c r="AH45" s="311">
        <v>26032450</v>
      </c>
      <c r="AI45" s="311">
        <v>16032450</v>
      </c>
      <c r="AJ45" s="311">
        <v>16032450</v>
      </c>
      <c r="AK45" s="311">
        <v>40032450</v>
      </c>
      <c r="AL45" s="311">
        <v>26032450</v>
      </c>
      <c r="AM45" s="311">
        <v>16032450</v>
      </c>
      <c r="AN45" s="18">
        <v>40032450</v>
      </c>
      <c r="AO45" s="18">
        <v>26032450</v>
      </c>
      <c r="AP45" s="18">
        <v>16032450</v>
      </c>
    </row>
    <row r="46" spans="1:102" ht="108" x14ac:dyDescent="0.25">
      <c r="A46" s="307">
        <v>0</v>
      </c>
      <c r="B46" s="308">
        <v>0</v>
      </c>
      <c r="C46" s="307">
        <v>0</v>
      </c>
      <c r="D46" s="307">
        <v>0</v>
      </c>
      <c r="E46" s="309">
        <v>0</v>
      </c>
      <c r="F46" s="312"/>
      <c r="G46" s="312"/>
      <c r="H46" s="309">
        <v>0</v>
      </c>
      <c r="I46" s="312"/>
      <c r="J46" s="312"/>
      <c r="K46" s="309">
        <f t="shared" ref="K46:M49" si="3">E46+H46</f>
        <v>0</v>
      </c>
      <c r="L46" s="309">
        <f t="shared" si="3"/>
        <v>0</v>
      </c>
      <c r="M46" s="309">
        <f t="shared" si="3"/>
        <v>0</v>
      </c>
      <c r="N46" s="309"/>
      <c r="O46" s="309"/>
      <c r="P46" s="309">
        <f>N46+O46</f>
        <v>0</v>
      </c>
      <c r="Q46" s="305"/>
      <c r="R46" s="305"/>
      <c r="S46" s="305"/>
      <c r="T46" s="77" t="s">
        <v>1872</v>
      </c>
      <c r="U46" s="77" t="s">
        <v>690</v>
      </c>
      <c r="V46" s="77">
        <v>1</v>
      </c>
      <c r="W46" s="311">
        <v>1</v>
      </c>
      <c r="X46" s="311"/>
      <c r="Y46" s="311">
        <v>1</v>
      </c>
      <c r="Z46" s="311">
        <v>1</v>
      </c>
      <c r="AA46" s="307">
        <v>180</v>
      </c>
      <c r="AB46" s="311">
        <v>150</v>
      </c>
      <c r="AC46" s="311">
        <v>150</v>
      </c>
      <c r="AD46" s="311"/>
      <c r="AE46" s="311" t="s">
        <v>102</v>
      </c>
      <c r="AF46" s="311" t="s">
        <v>102</v>
      </c>
      <c r="AG46" s="311" t="s">
        <v>102</v>
      </c>
      <c r="AH46" s="311" t="s">
        <v>102</v>
      </c>
      <c r="AI46" s="311" t="s">
        <v>102</v>
      </c>
      <c r="AJ46" s="311" t="s">
        <v>102</v>
      </c>
      <c r="AK46" s="311">
        <v>0</v>
      </c>
      <c r="AL46" s="311">
        <v>0</v>
      </c>
      <c r="AM46" s="311">
        <v>0</v>
      </c>
      <c r="AN46" s="18">
        <v>0</v>
      </c>
      <c r="AO46" s="18">
        <v>0</v>
      </c>
      <c r="AP46" s="18">
        <v>0</v>
      </c>
    </row>
    <row r="47" spans="1:102" ht="72" x14ac:dyDescent="0.25">
      <c r="A47" s="307">
        <v>0</v>
      </c>
      <c r="B47" s="308">
        <v>0</v>
      </c>
      <c r="C47" s="307">
        <v>0</v>
      </c>
      <c r="D47" s="307">
        <v>0</v>
      </c>
      <c r="E47" s="309">
        <v>0</v>
      </c>
      <c r="F47" s="312"/>
      <c r="G47" s="312"/>
      <c r="H47" s="309">
        <v>0</v>
      </c>
      <c r="I47" s="312"/>
      <c r="J47" s="312"/>
      <c r="K47" s="309">
        <f t="shared" si="3"/>
        <v>0</v>
      </c>
      <c r="L47" s="309">
        <f t="shared" si="3"/>
        <v>0</v>
      </c>
      <c r="M47" s="309">
        <f t="shared" si="3"/>
        <v>0</v>
      </c>
      <c r="N47" s="309"/>
      <c r="O47" s="309"/>
      <c r="P47" s="309">
        <f>N47+O47</f>
        <v>0</v>
      </c>
      <c r="Q47" s="305"/>
      <c r="R47" s="305"/>
      <c r="S47" s="305"/>
      <c r="T47" s="77" t="s">
        <v>1873</v>
      </c>
      <c r="U47" s="77" t="s">
        <v>690</v>
      </c>
      <c r="V47" s="77">
        <v>1</v>
      </c>
      <c r="W47" s="311">
        <v>1</v>
      </c>
      <c r="X47" s="311"/>
      <c r="Y47" s="311">
        <v>1</v>
      </c>
      <c r="Z47" s="311">
        <v>1</v>
      </c>
      <c r="AA47" s="307">
        <v>180</v>
      </c>
      <c r="AB47" s="311">
        <v>180</v>
      </c>
      <c r="AC47" s="311">
        <v>180</v>
      </c>
      <c r="AD47" s="311"/>
      <c r="AE47" s="311" t="s">
        <v>102</v>
      </c>
      <c r="AF47" s="311" t="s">
        <v>102</v>
      </c>
      <c r="AG47" s="311" t="s">
        <v>102</v>
      </c>
      <c r="AH47" s="311" t="s">
        <v>102</v>
      </c>
      <c r="AI47" s="311">
        <v>0</v>
      </c>
      <c r="AJ47" s="311">
        <v>0</v>
      </c>
      <c r="AK47" s="311">
        <v>0</v>
      </c>
      <c r="AL47" s="311">
        <v>0</v>
      </c>
      <c r="AM47" s="311">
        <v>0</v>
      </c>
      <c r="AN47" s="18">
        <v>0</v>
      </c>
      <c r="AO47" s="18">
        <v>0</v>
      </c>
      <c r="AP47" s="18">
        <v>0</v>
      </c>
    </row>
    <row r="48" spans="1:102" ht="48" x14ac:dyDescent="0.25">
      <c r="A48" s="307">
        <v>0</v>
      </c>
      <c r="B48" s="308">
        <v>0</v>
      </c>
      <c r="C48" s="307">
        <v>0</v>
      </c>
      <c r="D48" s="307">
        <v>0</v>
      </c>
      <c r="E48" s="309">
        <v>0</v>
      </c>
      <c r="F48" s="312"/>
      <c r="G48" s="312"/>
      <c r="H48" s="309">
        <v>0</v>
      </c>
      <c r="I48" s="312"/>
      <c r="J48" s="312"/>
      <c r="K48" s="309">
        <f t="shared" si="3"/>
        <v>0</v>
      </c>
      <c r="L48" s="309">
        <f t="shared" si="3"/>
        <v>0</v>
      </c>
      <c r="M48" s="309">
        <f t="shared" si="3"/>
        <v>0</v>
      </c>
      <c r="N48" s="309"/>
      <c r="O48" s="309"/>
      <c r="P48" s="309">
        <f>N48+O48</f>
        <v>0</v>
      </c>
      <c r="Q48" s="305"/>
      <c r="R48" s="305"/>
      <c r="S48" s="305"/>
      <c r="T48" s="77" t="s">
        <v>1874</v>
      </c>
      <c r="U48" s="77" t="s">
        <v>690</v>
      </c>
      <c r="V48" s="77">
        <v>4</v>
      </c>
      <c r="W48" s="311"/>
      <c r="X48" s="311"/>
      <c r="Y48" s="311"/>
      <c r="Z48" s="311">
        <v>4</v>
      </c>
      <c r="AA48" s="307">
        <v>120</v>
      </c>
      <c r="AB48" s="311"/>
      <c r="AC48" s="311">
        <v>120</v>
      </c>
      <c r="AD48" s="311"/>
      <c r="AE48" s="311">
        <v>0</v>
      </c>
      <c r="AF48" s="311">
        <v>0</v>
      </c>
      <c r="AG48" s="311">
        <v>0</v>
      </c>
      <c r="AH48" s="311">
        <v>0</v>
      </c>
      <c r="AI48" s="311">
        <v>0</v>
      </c>
      <c r="AJ48" s="311">
        <v>0</v>
      </c>
      <c r="AK48" s="311">
        <v>0</v>
      </c>
      <c r="AL48" s="311">
        <v>0</v>
      </c>
      <c r="AM48" s="311">
        <v>0</v>
      </c>
      <c r="AN48" s="18">
        <v>0</v>
      </c>
      <c r="AO48" s="18">
        <v>0</v>
      </c>
      <c r="AP48" s="18">
        <v>0</v>
      </c>
    </row>
    <row r="49" spans="1:42" ht="36" x14ac:dyDescent="0.25">
      <c r="A49" s="307">
        <v>0</v>
      </c>
      <c r="B49" s="308">
        <v>0</v>
      </c>
      <c r="C49" s="307">
        <v>0</v>
      </c>
      <c r="D49" s="307">
        <v>0</v>
      </c>
      <c r="E49" s="309">
        <v>0</v>
      </c>
      <c r="F49" s="312"/>
      <c r="G49" s="312"/>
      <c r="H49" s="309">
        <v>0</v>
      </c>
      <c r="I49" s="312"/>
      <c r="J49" s="312"/>
      <c r="K49" s="309">
        <f t="shared" si="3"/>
        <v>0</v>
      </c>
      <c r="L49" s="309">
        <f t="shared" si="3"/>
        <v>0</v>
      </c>
      <c r="M49" s="309">
        <f t="shared" si="3"/>
        <v>0</v>
      </c>
      <c r="N49" s="309"/>
      <c r="O49" s="309"/>
      <c r="P49" s="309">
        <f>N49+O49</f>
        <v>0</v>
      </c>
      <c r="Q49" s="305"/>
      <c r="R49" s="305"/>
      <c r="S49" s="305"/>
      <c r="T49" s="77" t="s">
        <v>1875</v>
      </c>
      <c r="U49" s="77" t="s">
        <v>1876</v>
      </c>
      <c r="V49" s="77">
        <v>1</v>
      </c>
      <c r="W49" s="311">
        <v>1</v>
      </c>
      <c r="X49" s="311"/>
      <c r="Y49" s="311">
        <v>1</v>
      </c>
      <c r="Z49" s="311">
        <v>1</v>
      </c>
      <c r="AA49" s="307">
        <v>300</v>
      </c>
      <c r="AB49" s="311"/>
      <c r="AC49" s="311">
        <v>180</v>
      </c>
      <c r="AD49" s="311"/>
      <c r="AE49" s="311">
        <v>0</v>
      </c>
      <c r="AF49" s="311">
        <v>0</v>
      </c>
      <c r="AG49" s="311">
        <v>0</v>
      </c>
      <c r="AH49" s="311">
        <v>0</v>
      </c>
      <c r="AI49" s="311">
        <v>0</v>
      </c>
      <c r="AJ49" s="311">
        <v>0</v>
      </c>
      <c r="AK49" s="311">
        <v>0</v>
      </c>
      <c r="AL49" s="311">
        <v>0</v>
      </c>
      <c r="AM49" s="311">
        <v>0</v>
      </c>
      <c r="AN49" s="18">
        <v>0</v>
      </c>
      <c r="AO49" s="18">
        <v>0</v>
      </c>
      <c r="AP49" s="18">
        <v>0</v>
      </c>
    </row>
    <row r="50" spans="1:42" ht="24" x14ac:dyDescent="0.25">
      <c r="A50" s="307"/>
      <c r="B50" s="308"/>
      <c r="C50" s="307"/>
      <c r="D50" s="307"/>
      <c r="E50" s="309"/>
      <c r="F50" s="312"/>
      <c r="G50" s="312"/>
      <c r="H50" s="309"/>
      <c r="I50" s="312"/>
      <c r="J50" s="312"/>
      <c r="K50" s="309"/>
      <c r="L50" s="309"/>
      <c r="M50" s="309"/>
      <c r="N50" s="309"/>
      <c r="O50" s="309"/>
      <c r="P50" s="309"/>
      <c r="Q50" s="305"/>
      <c r="R50" s="305"/>
      <c r="S50" s="305"/>
      <c r="T50" s="77" t="s">
        <v>1877</v>
      </c>
      <c r="U50" s="77" t="s">
        <v>266</v>
      </c>
      <c r="V50" s="77">
        <v>1</v>
      </c>
      <c r="W50" s="311">
        <v>1</v>
      </c>
      <c r="X50" s="311"/>
      <c r="Y50" s="311">
        <v>1</v>
      </c>
      <c r="Z50" s="311">
        <v>1</v>
      </c>
      <c r="AA50" s="307">
        <v>180</v>
      </c>
      <c r="AB50" s="311">
        <v>45</v>
      </c>
      <c r="AC50" s="311">
        <v>45</v>
      </c>
      <c r="AD50" s="311"/>
      <c r="AE50" s="311"/>
      <c r="AF50" s="311"/>
      <c r="AG50" s="311"/>
      <c r="AH50" s="311" t="s">
        <v>102</v>
      </c>
      <c r="AI50" s="311" t="s">
        <v>102</v>
      </c>
      <c r="AJ50" s="311" t="s">
        <v>102</v>
      </c>
      <c r="AK50" s="311" t="s">
        <v>102</v>
      </c>
      <c r="AL50" s="311" t="s">
        <v>102</v>
      </c>
      <c r="AM50" s="311" t="s">
        <v>102</v>
      </c>
      <c r="AN50" s="18">
        <v>0</v>
      </c>
      <c r="AO50" s="18">
        <v>0</v>
      </c>
      <c r="AP50" s="18">
        <v>0</v>
      </c>
    </row>
    <row r="51" spans="1:42" ht="72" x14ac:dyDescent="0.25">
      <c r="A51" s="307"/>
      <c r="B51" s="308"/>
      <c r="C51" s="307"/>
      <c r="D51" s="307"/>
      <c r="E51" s="309"/>
      <c r="F51" s="312"/>
      <c r="G51" s="312"/>
      <c r="H51" s="309"/>
      <c r="I51" s="312"/>
      <c r="J51" s="312"/>
      <c r="K51" s="309"/>
      <c r="L51" s="309"/>
      <c r="M51" s="309"/>
      <c r="N51" s="309"/>
      <c r="O51" s="305"/>
      <c r="P51" s="309"/>
      <c r="Q51" s="305"/>
      <c r="R51" s="305"/>
      <c r="S51" s="305"/>
      <c r="T51" s="77" t="s">
        <v>1878</v>
      </c>
      <c r="U51" s="77" t="s">
        <v>266</v>
      </c>
      <c r="V51" s="77">
        <v>1</v>
      </c>
      <c r="W51" s="311">
        <v>1</v>
      </c>
      <c r="X51" s="311"/>
      <c r="Y51" s="311">
        <v>1</v>
      </c>
      <c r="Z51" s="311">
        <v>1</v>
      </c>
      <c r="AA51" s="307">
        <v>90</v>
      </c>
      <c r="AB51" s="311">
        <v>30</v>
      </c>
      <c r="AC51" s="311">
        <v>90</v>
      </c>
      <c r="AD51" s="307"/>
      <c r="AE51" s="311"/>
      <c r="AF51" s="311"/>
      <c r="AG51" s="311" t="s">
        <v>102</v>
      </c>
      <c r="AH51" s="311" t="s">
        <v>102</v>
      </c>
      <c r="AI51" s="311" t="s">
        <v>102</v>
      </c>
      <c r="AJ51" s="311"/>
      <c r="AK51" s="311"/>
      <c r="AL51" s="311"/>
      <c r="AM51" s="311"/>
      <c r="AN51" s="18">
        <v>11240276</v>
      </c>
      <c r="AO51" s="18">
        <v>11240276</v>
      </c>
      <c r="AP51" s="18">
        <v>11240276</v>
      </c>
    </row>
    <row r="52" spans="1:42" ht="48" x14ac:dyDescent="0.25">
      <c r="A52" s="307"/>
      <c r="B52" s="308"/>
      <c r="C52" s="307"/>
      <c r="D52" s="307"/>
      <c r="E52" s="309"/>
      <c r="F52" s="312"/>
      <c r="G52" s="312"/>
      <c r="H52" s="309"/>
      <c r="I52" s="312"/>
      <c r="J52" s="312"/>
      <c r="K52" s="309"/>
      <c r="L52" s="309"/>
      <c r="M52" s="309"/>
      <c r="N52" s="309"/>
      <c r="O52" s="309"/>
      <c r="P52" s="309"/>
      <c r="Q52" s="305"/>
      <c r="R52" s="305"/>
      <c r="S52" s="305"/>
      <c r="T52" s="77" t="s">
        <v>1879</v>
      </c>
      <c r="U52" s="77" t="s">
        <v>266</v>
      </c>
      <c r="V52" s="77">
        <v>1</v>
      </c>
      <c r="W52" s="311"/>
      <c r="X52" s="311"/>
      <c r="Y52" s="311"/>
      <c r="Z52" s="311"/>
      <c r="AA52" s="307">
        <v>90</v>
      </c>
      <c r="AB52" s="311">
        <v>0</v>
      </c>
      <c r="AC52" s="311"/>
      <c r="AD52" s="313" t="s">
        <v>1880</v>
      </c>
      <c r="AE52" s="311"/>
      <c r="AF52" s="311"/>
      <c r="AG52" s="311"/>
      <c r="AH52" s="311"/>
      <c r="AI52" s="311"/>
      <c r="AJ52" s="311"/>
      <c r="AK52" s="311"/>
      <c r="AL52" s="311"/>
      <c r="AM52" s="311"/>
      <c r="AN52" s="18">
        <v>0</v>
      </c>
      <c r="AO52" s="18">
        <v>0</v>
      </c>
      <c r="AP52" s="18">
        <v>0</v>
      </c>
    </row>
    <row r="53" spans="1:42" ht="72" x14ac:dyDescent="0.25">
      <c r="A53" s="307"/>
      <c r="B53" s="308"/>
      <c r="C53" s="307"/>
      <c r="D53" s="307"/>
      <c r="E53" s="309"/>
      <c r="F53" s="312"/>
      <c r="G53" s="312"/>
      <c r="H53" s="309"/>
      <c r="I53" s="312"/>
      <c r="J53" s="312"/>
      <c r="K53" s="309"/>
      <c r="L53" s="309"/>
      <c r="M53" s="309"/>
      <c r="N53" s="309"/>
      <c r="O53" s="309"/>
      <c r="P53" s="309"/>
      <c r="Q53" s="305"/>
      <c r="R53" s="305"/>
      <c r="S53" s="305"/>
      <c r="T53" s="314" t="s">
        <v>1881</v>
      </c>
      <c r="U53" s="77" t="s">
        <v>266</v>
      </c>
      <c r="V53" s="77">
        <v>1</v>
      </c>
      <c r="W53" s="311">
        <v>1</v>
      </c>
      <c r="X53" s="311"/>
      <c r="Y53" s="311">
        <v>1</v>
      </c>
      <c r="Z53" s="311"/>
      <c r="AA53" s="307">
        <v>90</v>
      </c>
      <c r="AB53" s="311"/>
      <c r="AC53" s="311"/>
      <c r="AD53" s="313" t="s">
        <v>1882</v>
      </c>
      <c r="AE53" s="311"/>
      <c r="AF53" s="311"/>
      <c r="AG53" s="311"/>
      <c r="AH53" s="311"/>
      <c r="AI53" s="311"/>
      <c r="AJ53" s="311"/>
      <c r="AK53" s="311"/>
      <c r="AL53" s="311"/>
      <c r="AM53" s="311"/>
      <c r="AN53" s="18">
        <v>0</v>
      </c>
      <c r="AO53" s="18">
        <v>0</v>
      </c>
      <c r="AP53" s="18">
        <v>0</v>
      </c>
    </row>
    <row r="54" spans="1:42" ht="24" x14ac:dyDescent="0.25">
      <c r="A54" s="307"/>
      <c r="B54" s="308"/>
      <c r="C54" s="307"/>
      <c r="D54" s="307"/>
      <c r="E54" s="309"/>
      <c r="F54" s="312"/>
      <c r="G54" s="312"/>
      <c r="H54" s="309"/>
      <c r="I54" s="312"/>
      <c r="J54" s="312"/>
      <c r="K54" s="309"/>
      <c r="L54" s="309"/>
      <c r="M54" s="309"/>
      <c r="N54" s="309"/>
      <c r="O54" s="309"/>
      <c r="P54" s="309"/>
      <c r="Q54" s="305"/>
      <c r="R54" s="305"/>
      <c r="S54" s="305"/>
      <c r="T54" s="77" t="s">
        <v>1883</v>
      </c>
      <c r="U54" s="77" t="s">
        <v>266</v>
      </c>
      <c r="V54" s="77">
        <v>1</v>
      </c>
      <c r="W54" s="311"/>
      <c r="X54" s="311"/>
      <c r="Y54" s="311"/>
      <c r="Z54" s="311"/>
      <c r="AA54" s="307"/>
      <c r="AB54" s="311"/>
      <c r="AC54" s="311"/>
      <c r="AD54" s="313" t="s">
        <v>1880</v>
      </c>
      <c r="AE54" s="311"/>
      <c r="AF54" s="311"/>
      <c r="AG54" s="311"/>
      <c r="AH54" s="311"/>
      <c r="AI54" s="311"/>
      <c r="AJ54" s="311"/>
      <c r="AK54" s="311"/>
      <c r="AL54" s="311"/>
      <c r="AM54" s="311"/>
      <c r="AN54" s="18">
        <v>0</v>
      </c>
      <c r="AO54" s="18">
        <v>0</v>
      </c>
      <c r="AP54" s="18">
        <v>0</v>
      </c>
    </row>
    <row r="55" spans="1:42" s="321" customFormat="1" ht="96" x14ac:dyDescent="0.25">
      <c r="A55" s="315" t="s">
        <v>156</v>
      </c>
      <c r="B55" s="315" t="s">
        <v>982</v>
      </c>
      <c r="C55" s="315" t="s">
        <v>1738</v>
      </c>
      <c r="D55" s="315">
        <v>222620000</v>
      </c>
      <c r="E55" s="316" t="s">
        <v>1752</v>
      </c>
      <c r="F55" s="315" t="s">
        <v>1753</v>
      </c>
      <c r="G55" s="315" t="s">
        <v>1754</v>
      </c>
      <c r="H55" s="317">
        <v>60000000</v>
      </c>
      <c r="I55" s="318">
        <f>H55</f>
        <v>60000000</v>
      </c>
      <c r="J55" s="318">
        <v>60000000</v>
      </c>
      <c r="K55" s="319"/>
      <c r="L55" s="319"/>
      <c r="M55" s="144"/>
      <c r="N55" s="317">
        <f t="shared" ref="N55:P60" si="4">H55+K55</f>
        <v>60000000</v>
      </c>
      <c r="O55" s="317">
        <f>N55</f>
        <v>60000000</v>
      </c>
      <c r="P55" s="317">
        <f>N55</f>
        <v>60000000</v>
      </c>
      <c r="Q55" s="301">
        <v>60000000</v>
      </c>
      <c r="R55" s="317"/>
      <c r="S55" s="317">
        <f>Q55+R55</f>
        <v>60000000</v>
      </c>
      <c r="T55" s="37" t="s">
        <v>1884</v>
      </c>
      <c r="U55" s="37" t="s">
        <v>690</v>
      </c>
      <c r="V55" s="37"/>
      <c r="W55" s="273"/>
      <c r="X55" s="273"/>
      <c r="Y55" s="273"/>
      <c r="Z55" s="273"/>
      <c r="AA55" s="299"/>
      <c r="AB55" s="273"/>
      <c r="AC55" s="320"/>
      <c r="AD55" s="320"/>
      <c r="AE55" s="320">
        <v>0</v>
      </c>
      <c r="AF55" s="320">
        <v>0</v>
      </c>
      <c r="AG55" s="320">
        <v>0</v>
      </c>
      <c r="AH55" s="320">
        <v>60000000</v>
      </c>
      <c r="AI55" s="320">
        <v>0</v>
      </c>
      <c r="AJ55" s="320">
        <v>0</v>
      </c>
      <c r="AK55" s="320">
        <v>0</v>
      </c>
      <c r="AL55" s="320">
        <v>0</v>
      </c>
      <c r="AM55" s="320">
        <v>0</v>
      </c>
      <c r="AN55" s="320">
        <v>0</v>
      </c>
      <c r="AO55" s="320">
        <v>0</v>
      </c>
      <c r="AP55" s="320">
        <v>0</v>
      </c>
    </row>
    <row r="56" spans="1:42" s="321" customFormat="1" ht="84" x14ac:dyDescent="0.25">
      <c r="A56" s="315" t="s">
        <v>156</v>
      </c>
      <c r="B56" s="315" t="s">
        <v>982</v>
      </c>
      <c r="C56" s="315" t="s">
        <v>1738</v>
      </c>
      <c r="D56" s="315">
        <v>222630000</v>
      </c>
      <c r="E56" s="316" t="s">
        <v>1758</v>
      </c>
      <c r="F56" s="315" t="s">
        <v>1759</v>
      </c>
      <c r="G56" s="315" t="s">
        <v>1760</v>
      </c>
      <c r="H56" s="317">
        <v>285175000</v>
      </c>
      <c r="I56" s="322">
        <f>H56</f>
        <v>285175000</v>
      </c>
      <c r="J56" s="322">
        <v>285175000</v>
      </c>
      <c r="K56" s="317">
        <v>0</v>
      </c>
      <c r="L56" s="322"/>
      <c r="M56" s="144"/>
      <c r="N56" s="317">
        <f t="shared" si="4"/>
        <v>285175000</v>
      </c>
      <c r="O56" s="317">
        <f>N56</f>
        <v>285175000</v>
      </c>
      <c r="P56" s="317">
        <f>N56</f>
        <v>285175000</v>
      </c>
      <c r="Q56" s="301">
        <v>282426957</v>
      </c>
      <c r="R56" s="317"/>
      <c r="S56" s="317">
        <f>Q56+R56</f>
        <v>282426957</v>
      </c>
      <c r="T56" s="37" t="s">
        <v>1875</v>
      </c>
      <c r="U56" s="37" t="s">
        <v>1885</v>
      </c>
      <c r="V56" s="37">
        <v>650</v>
      </c>
      <c r="W56" s="273"/>
      <c r="X56" s="273"/>
      <c r="Y56" s="273">
        <v>98</v>
      </c>
      <c r="Z56" s="273"/>
      <c r="AA56" s="299">
        <v>300</v>
      </c>
      <c r="AB56" s="273">
        <v>120</v>
      </c>
      <c r="AC56" s="320"/>
      <c r="AD56" s="320"/>
      <c r="AE56" s="320">
        <v>0</v>
      </c>
      <c r="AF56" s="320">
        <v>0</v>
      </c>
      <c r="AG56" s="320">
        <v>0</v>
      </c>
      <c r="AH56" s="320">
        <v>163703036</v>
      </c>
      <c r="AI56" s="320">
        <v>24280552</v>
      </c>
      <c r="AJ56" s="320">
        <v>11240276</v>
      </c>
      <c r="AK56" s="320">
        <v>11240276</v>
      </c>
      <c r="AL56" s="320">
        <v>11240276</v>
      </c>
      <c r="AM56" s="320">
        <v>61240276</v>
      </c>
      <c r="AN56" s="320">
        <v>11240276</v>
      </c>
      <c r="AO56" s="320">
        <v>11240276</v>
      </c>
      <c r="AP56" s="320">
        <v>11240276</v>
      </c>
    </row>
    <row r="57" spans="1:42" s="323" customFormat="1" ht="36" x14ac:dyDescent="0.25">
      <c r="A57" s="299">
        <v>0</v>
      </c>
      <c r="B57" s="299">
        <v>0</v>
      </c>
      <c r="C57" s="299">
        <v>0</v>
      </c>
      <c r="D57" s="299">
        <v>0</v>
      </c>
      <c r="E57" s="300">
        <v>0</v>
      </c>
      <c r="F57" s="299">
        <v>0</v>
      </c>
      <c r="G57" s="299">
        <v>0</v>
      </c>
      <c r="H57" s="301">
        <v>0</v>
      </c>
      <c r="I57" s="275"/>
      <c r="J57" s="275"/>
      <c r="K57" s="301">
        <v>0</v>
      </c>
      <c r="L57" s="275"/>
      <c r="M57" s="275"/>
      <c r="N57" s="301">
        <f t="shared" si="4"/>
        <v>0</v>
      </c>
      <c r="O57" s="301">
        <f t="shared" si="4"/>
        <v>0</v>
      </c>
      <c r="P57" s="301">
        <f t="shared" si="4"/>
        <v>0</v>
      </c>
      <c r="Q57" s="301"/>
      <c r="R57" s="301"/>
      <c r="S57" s="301">
        <f>Q57+R57</f>
        <v>0</v>
      </c>
      <c r="T57" s="37" t="s">
        <v>1886</v>
      </c>
      <c r="U57" s="37" t="s">
        <v>690</v>
      </c>
      <c r="V57" s="37">
        <v>1</v>
      </c>
      <c r="W57" s="273"/>
      <c r="X57" s="273"/>
      <c r="Y57" s="273"/>
      <c r="Z57" s="273">
        <v>1</v>
      </c>
      <c r="AA57" s="299">
        <v>30</v>
      </c>
      <c r="AB57" s="273"/>
      <c r="AC57" s="273">
        <v>30</v>
      </c>
      <c r="AD57" s="273"/>
      <c r="AE57" s="273">
        <v>0</v>
      </c>
      <c r="AF57" s="273">
        <v>0</v>
      </c>
      <c r="AG57" s="273">
        <v>0</v>
      </c>
      <c r="AH57" s="273">
        <v>0</v>
      </c>
      <c r="AI57" s="273">
        <v>0</v>
      </c>
      <c r="AJ57" s="273">
        <v>0</v>
      </c>
      <c r="AK57" s="273">
        <v>0</v>
      </c>
      <c r="AL57" s="273">
        <v>0</v>
      </c>
      <c r="AM57" s="273">
        <v>0</v>
      </c>
      <c r="AN57" s="273">
        <v>0</v>
      </c>
      <c r="AO57" s="273">
        <v>0</v>
      </c>
      <c r="AP57" s="273">
        <v>0</v>
      </c>
    </row>
    <row r="58" spans="1:42" s="323" customFormat="1" ht="24" x14ac:dyDescent="0.25">
      <c r="A58" s="299">
        <v>0</v>
      </c>
      <c r="B58" s="299">
        <v>0</v>
      </c>
      <c r="C58" s="299">
        <v>0</v>
      </c>
      <c r="D58" s="299">
        <v>0</v>
      </c>
      <c r="E58" s="300">
        <v>0</v>
      </c>
      <c r="F58" s="299">
        <v>0</v>
      </c>
      <c r="G58" s="299">
        <v>0</v>
      </c>
      <c r="H58" s="301">
        <v>0</v>
      </c>
      <c r="I58" s="275"/>
      <c r="J58" s="275"/>
      <c r="K58" s="301">
        <v>0</v>
      </c>
      <c r="L58" s="275"/>
      <c r="M58" s="275"/>
      <c r="N58" s="301">
        <f t="shared" si="4"/>
        <v>0</v>
      </c>
      <c r="O58" s="301">
        <f t="shared" si="4"/>
        <v>0</v>
      </c>
      <c r="P58" s="301">
        <f t="shared" si="4"/>
        <v>0</v>
      </c>
      <c r="Q58" s="301"/>
      <c r="R58" s="301"/>
      <c r="S58" s="301">
        <f>Q58+R58</f>
        <v>0</v>
      </c>
      <c r="T58" s="37" t="s">
        <v>1887</v>
      </c>
      <c r="U58" s="37" t="s">
        <v>690</v>
      </c>
      <c r="V58" s="37">
        <v>1</v>
      </c>
      <c r="W58" s="273"/>
      <c r="X58" s="273"/>
      <c r="Y58" s="273"/>
      <c r="Z58" s="273"/>
      <c r="AA58" s="299">
        <v>30</v>
      </c>
      <c r="AB58" s="273"/>
      <c r="AC58" s="273"/>
      <c r="AD58" s="273"/>
      <c r="AE58" s="273">
        <v>0</v>
      </c>
      <c r="AF58" s="273">
        <v>0</v>
      </c>
      <c r="AG58" s="273">
        <v>0</v>
      </c>
      <c r="AH58" s="273">
        <v>0</v>
      </c>
      <c r="AI58" s="273">
        <v>0</v>
      </c>
      <c r="AJ58" s="273">
        <v>0</v>
      </c>
      <c r="AK58" s="273">
        <v>0</v>
      </c>
      <c r="AL58" s="273">
        <v>0</v>
      </c>
      <c r="AM58" s="273">
        <v>0</v>
      </c>
      <c r="AN58" s="273">
        <v>0</v>
      </c>
      <c r="AO58" s="273">
        <v>0</v>
      </c>
      <c r="AP58" s="273">
        <v>0</v>
      </c>
    </row>
    <row r="59" spans="1:42" s="323" customFormat="1" ht="24" x14ac:dyDescent="0.25">
      <c r="A59" s="299">
        <v>0</v>
      </c>
      <c r="B59" s="299">
        <v>0</v>
      </c>
      <c r="C59" s="299">
        <v>0</v>
      </c>
      <c r="D59" s="299">
        <v>0</v>
      </c>
      <c r="E59" s="300">
        <v>0</v>
      </c>
      <c r="F59" s="299">
        <v>0</v>
      </c>
      <c r="G59" s="299">
        <v>0</v>
      </c>
      <c r="H59" s="301">
        <v>0</v>
      </c>
      <c r="I59" s="275"/>
      <c r="J59" s="275"/>
      <c r="K59" s="301">
        <v>0</v>
      </c>
      <c r="L59" s="275"/>
      <c r="M59" s="275"/>
      <c r="N59" s="301">
        <f t="shared" si="4"/>
        <v>0</v>
      </c>
      <c r="O59" s="301">
        <f t="shared" si="4"/>
        <v>0</v>
      </c>
      <c r="P59" s="301">
        <f t="shared" si="4"/>
        <v>0</v>
      </c>
      <c r="Q59" s="301"/>
      <c r="R59" s="301"/>
      <c r="S59" s="301">
        <f>Q59+R59</f>
        <v>0</v>
      </c>
      <c r="T59" s="37" t="s">
        <v>1888</v>
      </c>
      <c r="U59" s="37" t="s">
        <v>690</v>
      </c>
      <c r="V59" s="37">
        <v>1</v>
      </c>
      <c r="W59" s="273"/>
      <c r="X59" s="273"/>
      <c r="Y59" s="273"/>
      <c r="Z59" s="273">
        <v>1</v>
      </c>
      <c r="AA59" s="299">
        <v>30</v>
      </c>
      <c r="AB59" s="273"/>
      <c r="AC59" s="273">
        <v>30</v>
      </c>
      <c r="AD59" s="273"/>
      <c r="AE59" s="273">
        <v>0</v>
      </c>
      <c r="AF59" s="273">
        <v>0</v>
      </c>
      <c r="AG59" s="273">
        <v>0</v>
      </c>
      <c r="AH59" s="273">
        <v>0</v>
      </c>
      <c r="AI59" s="273">
        <v>0</v>
      </c>
      <c r="AJ59" s="273">
        <v>0</v>
      </c>
      <c r="AK59" s="273">
        <v>0</v>
      </c>
      <c r="AL59" s="273">
        <v>0</v>
      </c>
      <c r="AM59" s="273">
        <v>0</v>
      </c>
      <c r="AN59" s="273">
        <v>0</v>
      </c>
      <c r="AO59" s="273">
        <v>0</v>
      </c>
      <c r="AP59" s="273">
        <v>0</v>
      </c>
    </row>
    <row r="60" spans="1:42" s="285" customFormat="1" ht="84" x14ac:dyDescent="0.25">
      <c r="A60" s="299" t="s">
        <v>156</v>
      </c>
      <c r="B60" s="299" t="s">
        <v>982</v>
      </c>
      <c r="C60" s="299" t="s">
        <v>1006</v>
      </c>
      <c r="D60" s="299">
        <v>222710000</v>
      </c>
      <c r="E60" s="300" t="s">
        <v>1768</v>
      </c>
      <c r="F60" s="299" t="s">
        <v>1769</v>
      </c>
      <c r="G60" s="299" t="s">
        <v>1770</v>
      </c>
      <c r="H60" s="301">
        <v>331000000</v>
      </c>
      <c r="I60" s="301">
        <v>165500000</v>
      </c>
      <c r="J60" s="301">
        <v>326578750</v>
      </c>
      <c r="K60" s="144">
        <v>0</v>
      </c>
      <c r="L60" s="144">
        <v>0</v>
      </c>
      <c r="M60" s="144">
        <v>0</v>
      </c>
      <c r="N60" s="301">
        <f t="shared" si="4"/>
        <v>331000000</v>
      </c>
      <c r="O60" s="301">
        <f t="shared" si="4"/>
        <v>165500000</v>
      </c>
      <c r="P60" s="301">
        <f t="shared" si="4"/>
        <v>326578750</v>
      </c>
      <c r="Q60" s="301">
        <v>331000000</v>
      </c>
      <c r="R60" s="301">
        <v>0</v>
      </c>
      <c r="S60" s="301">
        <f t="shared" ref="S60:S66" si="5">Q60+R60</f>
        <v>331000000</v>
      </c>
      <c r="T60" s="37" t="s">
        <v>1889</v>
      </c>
      <c r="U60" s="37" t="s">
        <v>690</v>
      </c>
      <c r="V60" s="37">
        <v>1</v>
      </c>
      <c r="W60" s="18">
        <v>1</v>
      </c>
      <c r="X60" s="18"/>
      <c r="Y60" s="18">
        <v>1</v>
      </c>
      <c r="Z60" s="18">
        <v>1</v>
      </c>
      <c r="AA60" s="299">
        <v>60</v>
      </c>
      <c r="AB60" s="18">
        <v>60</v>
      </c>
      <c r="AC60" s="18">
        <v>60</v>
      </c>
      <c r="AD60" s="18" t="s">
        <v>1890</v>
      </c>
      <c r="AE60" s="18">
        <v>0</v>
      </c>
      <c r="AF60" s="18">
        <v>0</v>
      </c>
      <c r="AG60" s="18">
        <v>0</v>
      </c>
      <c r="AH60" s="18"/>
      <c r="AI60" s="18">
        <v>100000000</v>
      </c>
      <c r="AJ60" s="18"/>
      <c r="AK60" s="18">
        <v>0</v>
      </c>
      <c r="AL60" s="18">
        <v>0</v>
      </c>
      <c r="AM60" s="18">
        <v>0</v>
      </c>
      <c r="AN60" s="18">
        <v>0</v>
      </c>
      <c r="AO60" s="18">
        <v>0</v>
      </c>
      <c r="AP60" s="18">
        <v>0</v>
      </c>
    </row>
    <row r="61" spans="1:42" s="285" customFormat="1" ht="137.25" customHeight="1" x14ac:dyDescent="0.25">
      <c r="A61" s="299">
        <v>0</v>
      </c>
      <c r="B61" s="299">
        <v>0</v>
      </c>
      <c r="C61" s="299">
        <v>0</v>
      </c>
      <c r="D61" s="299">
        <v>0</v>
      </c>
      <c r="E61" s="300">
        <v>0</v>
      </c>
      <c r="F61" s="299">
        <v>0</v>
      </c>
      <c r="G61" s="299">
        <v>0</v>
      </c>
      <c r="H61" s="301">
        <v>0</v>
      </c>
      <c r="I61" s="43"/>
      <c r="J61" s="43"/>
      <c r="K61" s="301"/>
      <c r="L61" s="43"/>
      <c r="M61" s="43"/>
      <c r="N61" s="301">
        <f t="shared" si="0"/>
        <v>0</v>
      </c>
      <c r="O61" s="301">
        <f t="shared" si="0"/>
        <v>0</v>
      </c>
      <c r="P61" s="301">
        <f t="shared" si="0"/>
        <v>0</v>
      </c>
      <c r="Q61" s="301"/>
      <c r="R61" s="301"/>
      <c r="S61" s="301">
        <f t="shared" si="5"/>
        <v>0</v>
      </c>
      <c r="T61" s="37" t="s">
        <v>1891</v>
      </c>
      <c r="U61" s="37" t="s">
        <v>690</v>
      </c>
      <c r="V61" s="37">
        <v>1</v>
      </c>
      <c r="W61" s="18"/>
      <c r="X61" s="18">
        <v>1</v>
      </c>
      <c r="Y61" s="18">
        <v>1</v>
      </c>
      <c r="Z61" s="305">
        <v>1</v>
      </c>
      <c r="AA61" s="299">
        <v>90</v>
      </c>
      <c r="AB61" s="18"/>
      <c r="AC61" s="18">
        <v>90</v>
      </c>
      <c r="AD61" s="18" t="s">
        <v>1892</v>
      </c>
      <c r="AE61" s="18">
        <v>0</v>
      </c>
      <c r="AF61" s="18">
        <v>0</v>
      </c>
      <c r="AG61" s="18">
        <v>0</v>
      </c>
      <c r="AH61" s="18">
        <v>0</v>
      </c>
      <c r="AI61" s="18">
        <v>0</v>
      </c>
      <c r="AJ61" s="18">
        <v>0</v>
      </c>
      <c r="AK61" s="18">
        <v>0</v>
      </c>
      <c r="AL61" s="18">
        <v>0</v>
      </c>
      <c r="AM61" s="18">
        <v>0</v>
      </c>
      <c r="AN61" s="18">
        <v>226578750</v>
      </c>
      <c r="AO61" s="18">
        <v>0</v>
      </c>
      <c r="AP61" s="18">
        <v>0</v>
      </c>
    </row>
    <row r="62" spans="1:42" s="285" customFormat="1" ht="108" x14ac:dyDescent="0.25">
      <c r="A62" s="299" t="s">
        <v>156</v>
      </c>
      <c r="B62" s="299" t="s">
        <v>982</v>
      </c>
      <c r="C62" s="299" t="s">
        <v>1015</v>
      </c>
      <c r="D62" s="299">
        <v>222810000</v>
      </c>
      <c r="E62" s="300" t="s">
        <v>1773</v>
      </c>
      <c r="F62" s="299" t="s">
        <v>1774</v>
      </c>
      <c r="G62" s="299" t="s">
        <v>1775</v>
      </c>
      <c r="H62" s="301">
        <v>895256960</v>
      </c>
      <c r="I62" s="43">
        <v>351428500</v>
      </c>
      <c r="J62" s="301">
        <v>467857000</v>
      </c>
      <c r="K62" s="144">
        <v>0</v>
      </c>
      <c r="L62" s="43"/>
      <c r="M62" s="144">
        <v>0</v>
      </c>
      <c r="N62" s="301">
        <f t="shared" si="0"/>
        <v>895256960</v>
      </c>
      <c r="O62" s="301">
        <f t="shared" si="0"/>
        <v>351428500</v>
      </c>
      <c r="P62" s="301">
        <f t="shared" si="0"/>
        <v>467857000</v>
      </c>
      <c r="Q62" s="301">
        <v>440986358</v>
      </c>
      <c r="R62" s="301">
        <v>0</v>
      </c>
      <c r="S62" s="301">
        <f t="shared" si="5"/>
        <v>440986358</v>
      </c>
      <c r="T62" s="37" t="s">
        <v>1891</v>
      </c>
      <c r="U62" s="37" t="s">
        <v>690</v>
      </c>
      <c r="V62" s="37">
        <v>1</v>
      </c>
      <c r="W62" s="18">
        <v>0</v>
      </c>
      <c r="X62" s="18">
        <v>1</v>
      </c>
      <c r="Y62" s="18">
        <v>0.8</v>
      </c>
      <c r="Z62" s="305">
        <v>1</v>
      </c>
      <c r="AA62" s="299">
        <v>180</v>
      </c>
      <c r="AB62" s="18"/>
      <c r="AC62" s="18">
        <v>180</v>
      </c>
      <c r="AD62" s="18"/>
      <c r="AE62" s="18">
        <v>0</v>
      </c>
      <c r="AF62" s="141"/>
      <c r="AG62" s="18">
        <v>0</v>
      </c>
      <c r="AH62" s="18"/>
      <c r="AI62" s="18"/>
      <c r="AJ62" s="141"/>
      <c r="AK62" s="18">
        <v>150000000</v>
      </c>
      <c r="AL62" s="18">
        <v>0</v>
      </c>
      <c r="AM62" s="18">
        <v>0</v>
      </c>
      <c r="AN62" s="141" t="e">
        <f>702857000-AP62-AK62-#REF!</f>
        <v>#REF!</v>
      </c>
      <c r="AO62" s="18"/>
      <c r="AP62" s="18">
        <v>58000000</v>
      </c>
    </row>
    <row r="63" spans="1:42" s="285" customFormat="1" ht="94.5" customHeight="1" x14ac:dyDescent="0.25">
      <c r="A63" s="299"/>
      <c r="B63" s="299"/>
      <c r="C63" s="299"/>
      <c r="D63" s="299"/>
      <c r="E63" s="300"/>
      <c r="F63" s="299"/>
      <c r="G63" s="299"/>
      <c r="H63" s="301"/>
      <c r="I63" s="43"/>
      <c r="J63" s="43"/>
      <c r="K63" s="301"/>
      <c r="L63" s="43"/>
      <c r="M63" s="43"/>
      <c r="N63" s="301"/>
      <c r="O63" s="301"/>
      <c r="P63" s="301"/>
      <c r="Q63" s="301"/>
      <c r="R63" s="301"/>
      <c r="S63" s="301">
        <f t="shared" si="5"/>
        <v>0</v>
      </c>
      <c r="T63" s="37" t="s">
        <v>1893</v>
      </c>
      <c r="U63" s="37" t="s">
        <v>690</v>
      </c>
      <c r="V63" s="37">
        <v>1</v>
      </c>
      <c r="W63" s="18">
        <v>1</v>
      </c>
      <c r="X63" s="18"/>
      <c r="Y63" s="18">
        <v>1</v>
      </c>
      <c r="Z63" s="18">
        <v>1</v>
      </c>
      <c r="AA63" s="299">
        <v>60</v>
      </c>
      <c r="AB63" s="18"/>
      <c r="AC63" s="18">
        <v>60</v>
      </c>
      <c r="AD63" s="18" t="s">
        <v>1894</v>
      </c>
      <c r="AE63" s="18"/>
      <c r="AF63" s="141">
        <v>160000000</v>
      </c>
      <c r="AG63" s="18"/>
      <c r="AH63" s="18"/>
      <c r="AI63" s="18"/>
      <c r="AJ63" s="18"/>
      <c r="AK63" s="305"/>
      <c r="AL63" s="18"/>
      <c r="AM63" s="18"/>
      <c r="AN63" s="18"/>
      <c r="AO63" s="18"/>
      <c r="AP63" s="18"/>
    </row>
    <row r="64" spans="1:42" s="285" customFormat="1" ht="108" x14ac:dyDescent="0.25">
      <c r="A64" s="299" t="s">
        <v>156</v>
      </c>
      <c r="B64" s="299" t="s">
        <v>982</v>
      </c>
      <c r="C64" s="299" t="s">
        <v>1015</v>
      </c>
      <c r="D64" s="299">
        <v>222820000</v>
      </c>
      <c r="E64" s="300" t="s">
        <v>1779</v>
      </c>
      <c r="F64" s="299" t="s">
        <v>1780</v>
      </c>
      <c r="G64" s="299" t="s">
        <v>1781</v>
      </c>
      <c r="H64" s="301">
        <v>298000000</v>
      </c>
      <c r="I64" s="301">
        <v>298000000</v>
      </c>
      <c r="J64" s="301">
        <v>298000000</v>
      </c>
      <c r="K64" s="144">
        <v>0</v>
      </c>
      <c r="L64" s="43">
        <v>0</v>
      </c>
      <c r="M64" s="144">
        <v>0</v>
      </c>
      <c r="N64" s="301">
        <f t="shared" ref="N64:O64" si="6">H64+K64</f>
        <v>298000000</v>
      </c>
      <c r="O64" s="301">
        <f t="shared" si="6"/>
        <v>298000000</v>
      </c>
      <c r="P64" s="301">
        <f>I64+M64</f>
        <v>298000000</v>
      </c>
      <c r="Q64" s="301">
        <f>P64</f>
        <v>298000000</v>
      </c>
      <c r="R64" s="301">
        <v>0</v>
      </c>
      <c r="S64" s="301">
        <f t="shared" si="5"/>
        <v>298000000</v>
      </c>
      <c r="T64" s="37" t="s">
        <v>1895</v>
      </c>
      <c r="U64" s="37" t="s">
        <v>690</v>
      </c>
      <c r="V64" s="37">
        <v>1</v>
      </c>
      <c r="W64" s="18">
        <v>1</v>
      </c>
      <c r="X64" s="305"/>
      <c r="Y64" s="18"/>
      <c r="Z64" s="18">
        <v>1</v>
      </c>
      <c r="AA64" s="299">
        <v>90</v>
      </c>
      <c r="AB64" s="18"/>
      <c r="AC64" s="18">
        <v>90</v>
      </c>
      <c r="AD64" s="18"/>
      <c r="AE64" s="18">
        <v>0</v>
      </c>
      <c r="AF64" s="18">
        <v>0</v>
      </c>
      <c r="AG64" s="18">
        <v>0</v>
      </c>
      <c r="AH64" s="18"/>
      <c r="AI64" s="18">
        <v>0</v>
      </c>
      <c r="AJ64" s="18">
        <v>0</v>
      </c>
      <c r="AK64" s="18">
        <v>0</v>
      </c>
      <c r="AL64" s="18">
        <v>0</v>
      </c>
      <c r="AM64" s="18">
        <v>0</v>
      </c>
      <c r="AN64" s="18">
        <v>0</v>
      </c>
      <c r="AO64" s="18">
        <v>142500000</v>
      </c>
      <c r="AP64" s="18">
        <v>142500000</v>
      </c>
    </row>
    <row r="65" spans="1:43" s="324" customFormat="1" ht="132" x14ac:dyDescent="0.25">
      <c r="A65" s="299" t="s">
        <v>1615</v>
      </c>
      <c r="B65" s="299" t="s">
        <v>1616</v>
      </c>
      <c r="C65" s="299" t="s">
        <v>1617</v>
      </c>
      <c r="D65" s="299">
        <v>234220005</v>
      </c>
      <c r="E65" s="300" t="s">
        <v>1784</v>
      </c>
      <c r="F65" s="299" t="s">
        <v>1785</v>
      </c>
      <c r="G65" s="299" t="s">
        <v>1786</v>
      </c>
      <c r="H65" s="301">
        <v>100000000</v>
      </c>
      <c r="I65" s="275">
        <v>100000000</v>
      </c>
      <c r="J65" s="301">
        <v>149637035</v>
      </c>
      <c r="K65" s="301">
        <v>0</v>
      </c>
      <c r="L65" s="275"/>
      <c r="M65" s="144"/>
      <c r="N65" s="301">
        <f t="shared" si="0"/>
        <v>100000000</v>
      </c>
      <c r="O65" s="301">
        <f t="shared" si="0"/>
        <v>100000000</v>
      </c>
      <c r="P65" s="301">
        <f t="shared" si="0"/>
        <v>149637035</v>
      </c>
      <c r="Q65" s="301">
        <v>145916448</v>
      </c>
      <c r="R65" s="301"/>
      <c r="S65" s="301">
        <f t="shared" si="5"/>
        <v>145916448</v>
      </c>
      <c r="T65" s="37" t="s">
        <v>1896</v>
      </c>
      <c r="U65" s="37">
        <v>0</v>
      </c>
      <c r="V65" s="37">
        <v>0</v>
      </c>
      <c r="W65" s="273"/>
      <c r="X65" s="273"/>
      <c r="Y65" s="273"/>
      <c r="Z65" s="273"/>
      <c r="AA65" s="299">
        <v>0</v>
      </c>
      <c r="AB65" s="273"/>
      <c r="AC65" s="273"/>
      <c r="AD65" s="273"/>
      <c r="AE65" s="273">
        <v>0</v>
      </c>
      <c r="AF65" s="273">
        <v>0</v>
      </c>
      <c r="AG65" s="273">
        <v>0</v>
      </c>
      <c r="AH65" s="273">
        <v>0</v>
      </c>
      <c r="AI65" s="273">
        <v>100000000</v>
      </c>
      <c r="AJ65" s="273" t="s">
        <v>102</v>
      </c>
      <c r="AK65" s="273" t="s">
        <v>102</v>
      </c>
      <c r="AL65" s="273" t="s">
        <v>102</v>
      </c>
      <c r="AM65" s="273" t="s">
        <v>102</v>
      </c>
      <c r="AN65" s="273" t="s">
        <v>102</v>
      </c>
      <c r="AO65" s="273" t="s">
        <v>102</v>
      </c>
      <c r="AP65" s="273" t="s">
        <v>102</v>
      </c>
    </row>
    <row r="66" spans="1:43" ht="120" x14ac:dyDescent="0.25">
      <c r="A66" s="299" t="s">
        <v>1788</v>
      </c>
      <c r="B66" s="299" t="s">
        <v>1789</v>
      </c>
      <c r="C66" s="299" t="s">
        <v>1790</v>
      </c>
      <c r="D66" s="299">
        <v>271110000</v>
      </c>
      <c r="E66" s="300" t="s">
        <v>1792</v>
      </c>
      <c r="F66" s="299" t="s">
        <v>1793</v>
      </c>
      <c r="G66" s="299" t="s">
        <v>1794</v>
      </c>
      <c r="H66" s="301">
        <v>250000000</v>
      </c>
      <c r="I66" s="43"/>
      <c r="J66" s="301">
        <v>1210000000</v>
      </c>
      <c r="K66" s="301">
        <v>0</v>
      </c>
      <c r="L66" s="43"/>
      <c r="M66" s="144"/>
      <c r="N66" s="301">
        <f t="shared" si="0"/>
        <v>250000000</v>
      </c>
      <c r="O66" s="301">
        <f t="shared" si="0"/>
        <v>0</v>
      </c>
      <c r="P66" s="301">
        <f t="shared" si="0"/>
        <v>1210000000</v>
      </c>
      <c r="Q66" s="301">
        <v>1200000004</v>
      </c>
      <c r="R66" s="301"/>
      <c r="S66" s="301">
        <f t="shared" si="5"/>
        <v>1200000004</v>
      </c>
      <c r="T66" s="37" t="s">
        <v>1897</v>
      </c>
      <c r="U66" s="37" t="s">
        <v>958</v>
      </c>
      <c r="V66" s="37">
        <v>100</v>
      </c>
      <c r="W66" s="18"/>
      <c r="X66" s="18"/>
      <c r="Y66" s="18"/>
      <c r="Z66" s="18">
        <v>100</v>
      </c>
      <c r="AA66" s="299">
        <v>330</v>
      </c>
      <c r="AB66" s="18"/>
      <c r="AC66" s="18">
        <v>330</v>
      </c>
      <c r="AD66" s="18"/>
      <c r="AE66" s="18">
        <v>0</v>
      </c>
      <c r="AF66" s="18">
        <v>0</v>
      </c>
      <c r="AG66" s="18">
        <v>0</v>
      </c>
      <c r="AH66" s="18">
        <v>25000000</v>
      </c>
      <c r="AI66" s="18">
        <v>0</v>
      </c>
      <c r="AJ66" s="18">
        <v>75000000</v>
      </c>
      <c r="AK66" s="18">
        <v>0</v>
      </c>
      <c r="AL66" s="18">
        <v>0</v>
      </c>
      <c r="AM66" s="18">
        <v>75000000</v>
      </c>
      <c r="AN66" s="18">
        <v>0</v>
      </c>
      <c r="AO66" s="18">
        <v>0</v>
      </c>
      <c r="AP66" s="18">
        <v>75000000</v>
      </c>
    </row>
    <row r="67" spans="1:43" x14ac:dyDescent="0.25">
      <c r="A67" s="299">
        <v>0</v>
      </c>
      <c r="B67" s="299">
        <v>0</v>
      </c>
      <c r="C67" s="299">
        <v>0</v>
      </c>
      <c r="D67" s="299">
        <v>0</v>
      </c>
      <c r="E67" s="299">
        <v>0</v>
      </c>
      <c r="F67" s="305"/>
      <c r="G67" s="299">
        <v>0</v>
      </c>
      <c r="H67" s="299">
        <v>0</v>
      </c>
      <c r="I67" s="18"/>
      <c r="J67" s="18"/>
      <c r="K67" s="299">
        <v>0</v>
      </c>
      <c r="L67" s="18"/>
      <c r="M67" s="18"/>
      <c r="N67" s="299">
        <v>0</v>
      </c>
      <c r="O67" s="18">
        <v>0</v>
      </c>
      <c r="P67" s="18">
        <v>0</v>
      </c>
      <c r="Q67" s="18"/>
      <c r="R67" s="18"/>
      <c r="S67" s="18">
        <v>0</v>
      </c>
      <c r="T67" s="37">
        <v>0</v>
      </c>
      <c r="U67" s="37">
        <v>0</v>
      </c>
      <c r="V67" s="37">
        <v>0</v>
      </c>
      <c r="W67" s="18"/>
      <c r="X67" s="18"/>
      <c r="Y67" s="18"/>
      <c r="Z67" s="18"/>
      <c r="AA67" s="299">
        <v>0</v>
      </c>
      <c r="AB67" s="18"/>
      <c r="AC67" s="18"/>
      <c r="AD67" s="18"/>
      <c r="AE67" s="18">
        <v>0</v>
      </c>
      <c r="AF67" s="18">
        <v>0</v>
      </c>
      <c r="AG67" s="18">
        <v>0</v>
      </c>
      <c r="AH67" s="18">
        <v>0</v>
      </c>
      <c r="AI67" s="18">
        <v>0</v>
      </c>
      <c r="AJ67" s="18">
        <v>0</v>
      </c>
      <c r="AK67" s="18">
        <v>0</v>
      </c>
      <c r="AL67" s="18">
        <v>0</v>
      </c>
      <c r="AM67" s="18">
        <v>0</v>
      </c>
      <c r="AN67" s="18">
        <v>0</v>
      </c>
      <c r="AO67" s="18">
        <v>0</v>
      </c>
      <c r="AP67" s="18">
        <v>0</v>
      </c>
    </row>
    <row r="68" spans="1:43" ht="120" x14ac:dyDescent="0.25">
      <c r="A68" s="273" t="s">
        <v>156</v>
      </c>
      <c r="B68" s="273" t="s">
        <v>982</v>
      </c>
      <c r="C68" s="273" t="s">
        <v>1801</v>
      </c>
      <c r="D68" s="273" t="s">
        <v>1802</v>
      </c>
      <c r="E68" s="300" t="s">
        <v>1804</v>
      </c>
      <c r="F68" s="299">
        <v>22057001</v>
      </c>
      <c r="G68" s="299" t="s">
        <v>1805</v>
      </c>
      <c r="H68" s="301">
        <v>1000000000</v>
      </c>
      <c r="I68" s="291">
        <v>2000000</v>
      </c>
      <c r="J68" s="275"/>
      <c r="K68" s="275"/>
      <c r="L68" s="275"/>
      <c r="M68" s="275"/>
      <c r="N68" s="301">
        <f t="shared" ref="N68:P74" si="7">H68+K68</f>
        <v>1000000000</v>
      </c>
      <c r="O68" s="301">
        <f t="shared" si="7"/>
        <v>2000000</v>
      </c>
      <c r="P68" s="301">
        <f t="shared" si="7"/>
        <v>0</v>
      </c>
      <c r="Q68" s="275">
        <v>610534850</v>
      </c>
      <c r="R68" s="275"/>
      <c r="S68" s="301">
        <f t="shared" ref="S68:S74" si="8">Q68+R68</f>
        <v>610534850</v>
      </c>
      <c r="T68" s="37">
        <v>0</v>
      </c>
      <c r="U68" s="37">
        <v>0</v>
      </c>
      <c r="V68" s="37">
        <v>0</v>
      </c>
      <c r="W68" s="273"/>
      <c r="X68" s="273"/>
      <c r="Y68" s="273"/>
      <c r="Z68" s="273"/>
      <c r="AA68" s="299">
        <v>0</v>
      </c>
      <c r="AB68" s="273"/>
      <c r="AC68" s="273"/>
      <c r="AD68" s="273" t="s">
        <v>1898</v>
      </c>
      <c r="AE68" s="273"/>
      <c r="AF68" s="273"/>
      <c r="AG68" s="273"/>
      <c r="AH68" s="273"/>
      <c r="AI68" s="273"/>
      <c r="AJ68" s="273"/>
      <c r="AK68" s="273"/>
      <c r="AL68" s="273"/>
      <c r="AM68" s="273"/>
      <c r="AN68" s="273"/>
      <c r="AO68" s="273"/>
      <c r="AP68" s="273"/>
    </row>
    <row r="69" spans="1:43" ht="48" x14ac:dyDescent="0.25">
      <c r="A69" s="299"/>
      <c r="B69" s="299"/>
      <c r="C69" s="299"/>
      <c r="D69" s="299"/>
      <c r="E69" s="300"/>
      <c r="F69" s="299"/>
      <c r="G69" s="299"/>
      <c r="H69" s="301"/>
      <c r="I69" s="291"/>
      <c r="J69" s="275"/>
      <c r="K69" s="275"/>
      <c r="L69" s="275"/>
      <c r="M69" s="275"/>
      <c r="N69" s="301">
        <f t="shared" si="7"/>
        <v>0</v>
      </c>
      <c r="O69" s="301">
        <f t="shared" si="7"/>
        <v>0</v>
      </c>
      <c r="P69" s="301">
        <f t="shared" si="7"/>
        <v>0</v>
      </c>
      <c r="Q69" s="275"/>
      <c r="R69" s="275"/>
      <c r="S69" s="301">
        <f t="shared" si="8"/>
        <v>0</v>
      </c>
      <c r="T69" s="37" t="s">
        <v>1899</v>
      </c>
      <c r="U69" s="37" t="s">
        <v>1900</v>
      </c>
      <c r="V69" s="37">
        <v>98</v>
      </c>
      <c r="W69" s="273"/>
      <c r="X69" s="273"/>
      <c r="Y69" s="273"/>
      <c r="Z69" s="273">
        <v>210</v>
      </c>
      <c r="AA69" s="299">
        <v>270</v>
      </c>
      <c r="AB69" s="273">
        <v>160</v>
      </c>
      <c r="AC69" s="273">
        <v>160</v>
      </c>
      <c r="AD69" s="273"/>
      <c r="AE69" s="273"/>
      <c r="AF69" s="273"/>
      <c r="AG69" s="273" t="s">
        <v>102</v>
      </c>
      <c r="AH69" s="273" t="s">
        <v>102</v>
      </c>
      <c r="AI69" s="273" t="s">
        <v>102</v>
      </c>
      <c r="AJ69" s="273" t="s">
        <v>102</v>
      </c>
      <c r="AK69" s="273" t="s">
        <v>102</v>
      </c>
      <c r="AL69" s="273" t="s">
        <v>102</v>
      </c>
      <c r="AM69" s="273" t="s">
        <v>102</v>
      </c>
      <c r="AN69" s="273" t="s">
        <v>102</v>
      </c>
      <c r="AO69" s="273"/>
      <c r="AP69" s="273"/>
    </row>
    <row r="70" spans="1:43" ht="36" x14ac:dyDescent="0.25">
      <c r="A70" s="299"/>
      <c r="B70" s="299"/>
      <c r="C70" s="299"/>
      <c r="D70" s="299"/>
      <c r="E70" s="300"/>
      <c r="F70" s="299"/>
      <c r="G70" s="299"/>
      <c r="H70" s="301"/>
      <c r="I70" s="291"/>
      <c r="J70" s="275"/>
      <c r="K70" s="275"/>
      <c r="L70" s="275"/>
      <c r="M70" s="275"/>
      <c r="N70" s="301">
        <f t="shared" si="7"/>
        <v>0</v>
      </c>
      <c r="O70" s="301">
        <f t="shared" si="7"/>
        <v>0</v>
      </c>
      <c r="P70" s="301">
        <f t="shared" si="7"/>
        <v>0</v>
      </c>
      <c r="Q70" s="275"/>
      <c r="R70" s="275"/>
      <c r="S70" s="301">
        <f t="shared" si="8"/>
        <v>0</v>
      </c>
      <c r="T70" s="37" t="s">
        <v>1901</v>
      </c>
      <c r="U70" s="37" t="s">
        <v>1902</v>
      </c>
      <c r="V70" s="37">
        <v>1</v>
      </c>
      <c r="W70" s="273"/>
      <c r="X70" s="273"/>
      <c r="Y70" s="273"/>
      <c r="Z70" s="273">
        <v>1</v>
      </c>
      <c r="AA70" s="299">
        <v>30</v>
      </c>
      <c r="AB70" s="273">
        <v>160</v>
      </c>
      <c r="AC70" s="273">
        <v>160</v>
      </c>
      <c r="AD70" s="273"/>
      <c r="AE70" s="273"/>
      <c r="AF70" s="273"/>
      <c r="AG70" s="273"/>
      <c r="AH70" s="273"/>
      <c r="AI70" s="273"/>
      <c r="AJ70" s="273"/>
      <c r="AK70" s="273" t="s">
        <v>102</v>
      </c>
      <c r="AL70" s="273" t="s">
        <v>102</v>
      </c>
      <c r="AM70" s="273" t="s">
        <v>102</v>
      </c>
      <c r="AN70" s="273" t="s">
        <v>102</v>
      </c>
      <c r="AO70" s="273" t="s">
        <v>102</v>
      </c>
      <c r="AP70" s="273"/>
    </row>
    <row r="71" spans="1:43" ht="48" x14ac:dyDescent="0.25">
      <c r="A71" s="299"/>
      <c r="B71" s="299"/>
      <c r="C71" s="299"/>
      <c r="D71" s="299"/>
      <c r="E71" s="300"/>
      <c r="F71" s="299"/>
      <c r="G71" s="299"/>
      <c r="H71" s="301"/>
      <c r="I71" s="291"/>
      <c r="J71" s="275"/>
      <c r="K71" s="275"/>
      <c r="L71" s="275"/>
      <c r="M71" s="275"/>
      <c r="N71" s="301">
        <f t="shared" si="7"/>
        <v>0</v>
      </c>
      <c r="O71" s="301">
        <f t="shared" si="7"/>
        <v>0</v>
      </c>
      <c r="P71" s="301">
        <f t="shared" si="7"/>
        <v>0</v>
      </c>
      <c r="Q71" s="275"/>
      <c r="R71" s="275"/>
      <c r="S71" s="301">
        <f t="shared" si="8"/>
        <v>0</v>
      </c>
      <c r="T71" s="37" t="s">
        <v>1903</v>
      </c>
      <c r="U71" s="37" t="s">
        <v>1904</v>
      </c>
      <c r="V71" s="37">
        <v>3</v>
      </c>
      <c r="W71" s="273"/>
      <c r="X71" s="273"/>
      <c r="Y71" s="273"/>
      <c r="Z71" s="273">
        <v>8</v>
      </c>
      <c r="AA71" s="299">
        <v>30</v>
      </c>
      <c r="AB71" s="273">
        <v>160</v>
      </c>
      <c r="AC71" s="273">
        <v>160</v>
      </c>
      <c r="AD71" s="273"/>
      <c r="AE71" s="273"/>
      <c r="AF71" s="273"/>
      <c r="AG71" s="273"/>
      <c r="AH71" s="273"/>
      <c r="AI71" s="273"/>
      <c r="AJ71" s="273" t="s">
        <v>102</v>
      </c>
      <c r="AK71" s="273" t="s">
        <v>102</v>
      </c>
      <c r="AL71" s="273" t="s">
        <v>102</v>
      </c>
      <c r="AM71" s="273" t="s">
        <v>102</v>
      </c>
      <c r="AN71" s="273" t="s">
        <v>102</v>
      </c>
      <c r="AO71" s="273" t="s">
        <v>102</v>
      </c>
      <c r="AP71" s="273"/>
    </row>
    <row r="72" spans="1:43" ht="48" x14ac:dyDescent="0.25">
      <c r="A72" s="299"/>
      <c r="B72" s="299"/>
      <c r="C72" s="299"/>
      <c r="D72" s="299"/>
      <c r="E72" s="300"/>
      <c r="F72" s="299"/>
      <c r="G72" s="299"/>
      <c r="H72" s="301"/>
      <c r="I72" s="291"/>
      <c r="J72" s="275"/>
      <c r="K72" s="275"/>
      <c r="L72" s="275"/>
      <c r="M72" s="275"/>
      <c r="N72" s="301">
        <f t="shared" si="7"/>
        <v>0</v>
      </c>
      <c r="O72" s="301">
        <f t="shared" si="7"/>
        <v>0</v>
      </c>
      <c r="P72" s="301">
        <f t="shared" si="7"/>
        <v>0</v>
      </c>
      <c r="Q72" s="275"/>
      <c r="R72" s="275"/>
      <c r="S72" s="301">
        <f t="shared" si="8"/>
        <v>0</v>
      </c>
      <c r="T72" s="37" t="s">
        <v>1905</v>
      </c>
      <c r="U72" s="37" t="s">
        <v>1904</v>
      </c>
      <c r="V72" s="37">
        <v>1</v>
      </c>
      <c r="W72" s="273"/>
      <c r="X72" s="273"/>
      <c r="Y72" s="273"/>
      <c r="Z72" s="273">
        <v>1</v>
      </c>
      <c r="AA72" s="299">
        <v>30</v>
      </c>
      <c r="AB72" s="273">
        <v>160</v>
      </c>
      <c r="AC72" s="273">
        <v>160</v>
      </c>
      <c r="AD72" s="273"/>
      <c r="AE72" s="273"/>
      <c r="AF72" s="273"/>
      <c r="AG72" s="273"/>
      <c r="AH72" s="273"/>
      <c r="AI72" s="273"/>
      <c r="AJ72" s="273"/>
      <c r="AK72" s="273" t="s">
        <v>102</v>
      </c>
      <c r="AL72" s="273" t="s">
        <v>102</v>
      </c>
      <c r="AM72" s="273" t="s">
        <v>102</v>
      </c>
      <c r="AN72" s="273" t="s">
        <v>102</v>
      </c>
      <c r="AO72" s="273" t="s">
        <v>102</v>
      </c>
      <c r="AP72" s="273"/>
    </row>
    <row r="73" spans="1:43" ht="24" x14ac:dyDescent="0.25">
      <c r="A73" s="299"/>
      <c r="B73" s="299"/>
      <c r="C73" s="299"/>
      <c r="D73" s="299"/>
      <c r="E73" s="300"/>
      <c r="F73" s="299"/>
      <c r="G73" s="299"/>
      <c r="H73" s="301"/>
      <c r="I73" s="291"/>
      <c r="J73" s="275"/>
      <c r="K73" s="275"/>
      <c r="L73" s="275"/>
      <c r="M73" s="275"/>
      <c r="N73" s="301">
        <f t="shared" si="7"/>
        <v>0</v>
      </c>
      <c r="O73" s="301">
        <f t="shared" si="7"/>
        <v>0</v>
      </c>
      <c r="P73" s="301">
        <f t="shared" si="7"/>
        <v>0</v>
      </c>
      <c r="Q73" s="275"/>
      <c r="R73" s="275"/>
      <c r="S73" s="301">
        <f t="shared" si="8"/>
        <v>0</v>
      </c>
      <c r="T73" s="37" t="s">
        <v>1906</v>
      </c>
      <c r="U73" s="37" t="s">
        <v>1907</v>
      </c>
      <c r="V73" s="37">
        <v>3</v>
      </c>
      <c r="W73" s="273"/>
      <c r="X73" s="273"/>
      <c r="Y73" s="273"/>
      <c r="Z73" s="273">
        <v>8</v>
      </c>
      <c r="AA73" s="299">
        <v>30</v>
      </c>
      <c r="AB73" s="273">
        <v>160</v>
      </c>
      <c r="AC73" s="273">
        <v>160</v>
      </c>
      <c r="AD73" s="273"/>
      <c r="AE73" s="273"/>
      <c r="AF73" s="273"/>
      <c r="AG73" s="273"/>
      <c r="AH73" s="273"/>
      <c r="AI73" s="273"/>
      <c r="AJ73" s="273"/>
      <c r="AK73" s="273" t="s">
        <v>102</v>
      </c>
      <c r="AL73" s="273" t="s">
        <v>102</v>
      </c>
      <c r="AM73" s="273" t="s">
        <v>102</v>
      </c>
      <c r="AN73" s="273" t="s">
        <v>102</v>
      </c>
      <c r="AO73" s="273" t="s">
        <v>102</v>
      </c>
      <c r="AP73" s="273" t="s">
        <v>102</v>
      </c>
    </row>
    <row r="74" spans="1:43" ht="60" x14ac:dyDescent="0.25">
      <c r="A74" s="299"/>
      <c r="B74" s="299"/>
      <c r="C74" s="299"/>
      <c r="D74" s="299"/>
      <c r="E74" s="300"/>
      <c r="F74" s="299"/>
      <c r="G74" s="299"/>
      <c r="H74" s="301"/>
      <c r="I74" s="291"/>
      <c r="J74" s="275"/>
      <c r="K74" s="275"/>
      <c r="L74" s="275"/>
      <c r="M74" s="275"/>
      <c r="N74" s="301">
        <f t="shared" si="7"/>
        <v>0</v>
      </c>
      <c r="O74" s="301">
        <f t="shared" si="7"/>
        <v>0</v>
      </c>
      <c r="P74" s="301">
        <f t="shared" si="7"/>
        <v>0</v>
      </c>
      <c r="Q74" s="275"/>
      <c r="R74" s="275"/>
      <c r="S74" s="301">
        <f t="shared" si="8"/>
        <v>0</v>
      </c>
      <c r="T74" s="37" t="s">
        <v>1908</v>
      </c>
      <c r="U74" s="37" t="s">
        <v>1116</v>
      </c>
      <c r="V74" s="37">
        <v>26</v>
      </c>
      <c r="W74" s="273"/>
      <c r="X74" s="273"/>
      <c r="Y74" s="273"/>
      <c r="Z74" s="273">
        <v>9</v>
      </c>
      <c r="AA74" s="299">
        <v>60</v>
      </c>
      <c r="AB74" s="273">
        <v>160</v>
      </c>
      <c r="AC74" s="273">
        <v>160</v>
      </c>
      <c r="AD74" s="273"/>
      <c r="AE74" s="273"/>
      <c r="AF74" s="273"/>
      <c r="AG74" s="273"/>
      <c r="AH74" s="273"/>
      <c r="AI74" s="273"/>
      <c r="AJ74" s="273" t="s">
        <v>102</v>
      </c>
      <c r="AK74" s="273" t="s">
        <v>102</v>
      </c>
      <c r="AL74" s="273" t="s">
        <v>102</v>
      </c>
      <c r="AM74" s="273" t="s">
        <v>102</v>
      </c>
      <c r="AN74" s="273" t="s">
        <v>102</v>
      </c>
      <c r="AO74" s="273" t="s">
        <v>102</v>
      </c>
      <c r="AP74" s="273"/>
    </row>
    <row r="75" spans="1:43" ht="204" x14ac:dyDescent="0.25">
      <c r="A75" s="273" t="s">
        <v>156</v>
      </c>
      <c r="B75" s="273" t="s">
        <v>982</v>
      </c>
      <c r="C75" s="273" t="s">
        <v>983</v>
      </c>
      <c r="D75" s="299">
        <v>222340000</v>
      </c>
      <c r="E75" s="300" t="s">
        <v>1808</v>
      </c>
      <c r="F75" s="299" t="s">
        <v>1718</v>
      </c>
      <c r="G75" s="299" t="s">
        <v>1809</v>
      </c>
      <c r="H75" s="301">
        <v>200000000</v>
      </c>
      <c r="I75" s="43"/>
      <c r="J75" s="43">
        <v>0</v>
      </c>
      <c r="K75" s="301">
        <f>+L75+M75</f>
        <v>9924170078</v>
      </c>
      <c r="L75" s="43">
        <f>2810000000+201107000+104000000</f>
        <v>3115107000</v>
      </c>
      <c r="M75" s="43">
        <f>6211143078+51300000+71250000+23750000+451620000</f>
        <v>6809063078</v>
      </c>
      <c r="N75" s="301">
        <f>H75+K75</f>
        <v>10124170078</v>
      </c>
      <c r="O75" s="301">
        <f>I75+L75</f>
        <v>3115107000</v>
      </c>
      <c r="P75" s="301">
        <f>J75+M75</f>
        <v>6809063078</v>
      </c>
      <c r="Q75" s="43">
        <v>0</v>
      </c>
      <c r="R75" s="301">
        <f>+L75+M75</f>
        <v>9924170078</v>
      </c>
      <c r="S75" s="301">
        <f>+R75+Q75</f>
        <v>9924170078</v>
      </c>
      <c r="T75" s="37" t="s">
        <v>1856</v>
      </c>
      <c r="U75" s="37" t="s">
        <v>690</v>
      </c>
      <c r="V75" s="37">
        <v>20</v>
      </c>
      <c r="W75" s="18"/>
      <c r="X75" s="18"/>
      <c r="Y75" s="18"/>
      <c r="Z75" s="18">
        <v>15</v>
      </c>
      <c r="AA75" s="299">
        <v>330</v>
      </c>
      <c r="AB75" s="18">
        <v>165</v>
      </c>
      <c r="AC75" s="18">
        <v>165</v>
      </c>
      <c r="AD75" s="18" t="s">
        <v>1909</v>
      </c>
      <c r="AE75" s="18">
        <v>0</v>
      </c>
      <c r="AF75" s="18">
        <v>0</v>
      </c>
      <c r="AG75" s="303">
        <v>0</v>
      </c>
      <c r="AH75" s="303"/>
      <c r="AI75" s="43">
        <f>2810000000+201107000+104000000</f>
        <v>3115107000</v>
      </c>
      <c r="AJ75" s="303"/>
      <c r="AK75" s="18">
        <v>0</v>
      </c>
      <c r="AL75" s="43">
        <v>1508199232</v>
      </c>
      <c r="AM75" s="303">
        <v>111000000</v>
      </c>
      <c r="AN75" s="18">
        <v>0</v>
      </c>
      <c r="AO75" s="43">
        <f>197603845+275000000+71250000+23750000+2630000000+451620000</f>
        <v>3649223845</v>
      </c>
      <c r="AP75" s="303">
        <f>1489340000+51300000</f>
        <v>1540640000</v>
      </c>
      <c r="AQ75" s="325"/>
    </row>
  </sheetData>
  <sheetProtection algorithmName="SHA-512" hashValue="mCVjuqhgjkVtM3QiRC7T6T6sEcTJZH54VyEXBo8jedTGazE5zj5Xx9d5e51e0iAOTGE45yaPLpYCfAmJXCVysA==" saltValue="2W/xZf+9NZRUu/feMzdfyQ=="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58"/>
  <sheetViews>
    <sheetView topLeftCell="D4" zoomScaleNormal="100" workbookViewId="0">
      <pane ySplit="5" topLeftCell="A9" activePane="bottomLeft" state="frozen"/>
      <selection activeCell="A4" sqref="A4"/>
      <selection pane="bottomLeft" activeCell="E9" sqref="E9"/>
    </sheetView>
  </sheetViews>
  <sheetFormatPr baseColWidth="10" defaultRowHeight="15" x14ac:dyDescent="0.25"/>
  <cols>
    <col min="1" max="1" width="8.85546875" style="1" bestFit="1" customWidth="1"/>
    <col min="2" max="2" width="18" style="1" customWidth="1"/>
    <col min="3" max="3" width="14.85546875" style="1" customWidth="1"/>
    <col min="4" max="4" width="11.42578125" style="1"/>
    <col min="5" max="5" width="25.140625" style="1" customWidth="1"/>
    <col min="6" max="6" width="16.7109375" style="1" customWidth="1"/>
    <col min="7" max="7" width="11.42578125" style="1" customWidth="1"/>
    <col min="8" max="8" width="26" style="1" customWidth="1"/>
    <col min="9" max="9" width="19.28515625" style="1" customWidth="1"/>
    <col min="10" max="10" width="16" style="1" customWidth="1"/>
    <col min="11" max="11" width="20.7109375" style="1" customWidth="1"/>
    <col min="12" max="13" width="11.42578125" style="1"/>
    <col min="14" max="14" width="17" style="1" customWidth="1"/>
    <col min="15" max="16" width="11.42578125" style="1"/>
    <col min="17" max="17" width="38.28515625" style="1" customWidth="1"/>
    <col min="18" max="98" width="11.42578125" style="1" customWidth="1"/>
    <col min="99" max="16384" width="11.42578125" style="1"/>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row>
    <row r="5" spans="1:97" x14ac:dyDescent="0.25">
      <c r="A5" s="2"/>
      <c r="B5" s="2"/>
      <c r="C5" s="2"/>
      <c r="D5" s="2"/>
      <c r="E5" s="2"/>
      <c r="F5" s="2"/>
      <c r="G5" s="2"/>
      <c r="H5" s="2"/>
      <c r="I5" s="2"/>
      <c r="J5" s="2"/>
      <c r="K5" s="2"/>
      <c r="L5" s="4"/>
      <c r="M5" s="5"/>
      <c r="N5" s="5"/>
      <c r="O5" s="5"/>
    </row>
    <row r="6" spans="1:97" x14ac:dyDescent="0.25">
      <c r="A6" s="575" t="s">
        <v>4</v>
      </c>
      <c r="B6" s="606" t="s">
        <v>4268</v>
      </c>
      <c r="C6" s="606"/>
      <c r="D6" s="606"/>
      <c r="E6" s="606"/>
      <c r="F6" s="606"/>
      <c r="G6" s="606"/>
      <c r="H6" s="606"/>
      <c r="I6" s="606"/>
      <c r="J6" s="606"/>
      <c r="K6" s="606"/>
      <c r="L6" s="606"/>
      <c r="M6" s="606"/>
      <c r="N6" s="606"/>
      <c r="O6" s="606"/>
    </row>
    <row r="7" spans="1:97" ht="15" customHeight="1" x14ac:dyDescent="0.25">
      <c r="A7" s="617" t="s">
        <v>6</v>
      </c>
      <c r="B7" s="617" t="s">
        <v>7</v>
      </c>
      <c r="C7" s="617" t="s">
        <v>8</v>
      </c>
      <c r="D7" s="617" t="s">
        <v>9</v>
      </c>
      <c r="E7" s="617" t="s">
        <v>10</v>
      </c>
      <c r="F7" s="617" t="s">
        <v>11</v>
      </c>
      <c r="G7" s="617" t="s">
        <v>12</v>
      </c>
      <c r="H7" s="617" t="s">
        <v>13</v>
      </c>
      <c r="I7" s="621" t="s">
        <v>4269</v>
      </c>
      <c r="J7" s="621" t="s">
        <v>15</v>
      </c>
      <c r="K7" s="617" t="s">
        <v>16</v>
      </c>
      <c r="L7" s="617" t="s">
        <v>17</v>
      </c>
      <c r="M7" s="617" t="s">
        <v>18</v>
      </c>
      <c r="N7" s="623" t="s">
        <v>19</v>
      </c>
      <c r="O7" s="623" t="s">
        <v>20</v>
      </c>
      <c r="P7" s="623" t="s">
        <v>21</v>
      </c>
      <c r="Q7" s="619" t="s">
        <v>22</v>
      </c>
    </row>
    <row r="8" spans="1:97" ht="45.75" customHeight="1" x14ac:dyDescent="0.25">
      <c r="A8" s="618"/>
      <c r="B8" s="618"/>
      <c r="C8" s="618"/>
      <c r="D8" s="618"/>
      <c r="E8" s="618"/>
      <c r="F8" s="618"/>
      <c r="G8" s="618"/>
      <c r="H8" s="618"/>
      <c r="I8" s="622"/>
      <c r="J8" s="622"/>
      <c r="K8" s="618"/>
      <c r="L8" s="618"/>
      <c r="M8" s="618"/>
      <c r="N8" s="624"/>
      <c r="O8" s="624"/>
      <c r="P8" s="624"/>
      <c r="Q8" s="620"/>
      <c r="S8" s="8"/>
      <c r="T8" s="8"/>
      <c r="U8" s="8"/>
      <c r="V8" s="8"/>
      <c r="W8" s="8"/>
      <c r="X8" s="8"/>
      <c r="Y8" s="8"/>
      <c r="Z8" s="8"/>
      <c r="AA8" s="8"/>
      <c r="AB8" s="8"/>
      <c r="AC8" s="8"/>
      <c r="AD8" s="8"/>
      <c r="AE8" s="8"/>
      <c r="AF8" s="8"/>
      <c r="AG8" s="8"/>
      <c r="AH8" s="8"/>
      <c r="AK8" s="9"/>
      <c r="AO8" s="9"/>
      <c r="AS8" s="9"/>
      <c r="AW8" s="9"/>
      <c r="BA8" s="9"/>
      <c r="BE8" s="9"/>
      <c r="BI8" s="9"/>
      <c r="BM8" s="9"/>
      <c r="BQ8" s="9"/>
      <c r="BU8" s="9"/>
      <c r="BY8" s="9"/>
      <c r="CC8" s="9"/>
      <c r="CG8" s="9"/>
      <c r="CK8" s="9"/>
      <c r="CO8" s="9"/>
      <c r="CS8" s="9"/>
    </row>
    <row r="9" spans="1:97" ht="180" x14ac:dyDescent="0.25">
      <c r="A9" s="10" t="s">
        <v>23</v>
      </c>
      <c r="B9" s="10" t="s">
        <v>136</v>
      </c>
      <c r="C9" s="10" t="s">
        <v>137</v>
      </c>
      <c r="D9" s="10">
        <v>211140000</v>
      </c>
      <c r="E9" s="10" t="s">
        <v>4270</v>
      </c>
      <c r="F9" s="50" t="s">
        <v>4271</v>
      </c>
      <c r="G9" s="10" t="s">
        <v>4272</v>
      </c>
      <c r="H9" s="10" t="s">
        <v>4273</v>
      </c>
      <c r="I9" s="39">
        <f>105033351-89000000</f>
        <v>16033351</v>
      </c>
      <c r="J9" s="82">
        <v>16033351</v>
      </c>
      <c r="K9" s="10" t="s">
        <v>4274</v>
      </c>
      <c r="L9" s="10">
        <v>80</v>
      </c>
      <c r="M9" s="10">
        <v>80</v>
      </c>
      <c r="N9" s="10">
        <v>80</v>
      </c>
      <c r="O9" s="10">
        <v>17</v>
      </c>
      <c r="P9" s="82">
        <v>20</v>
      </c>
      <c r="Q9" s="10" t="s">
        <v>4275</v>
      </c>
      <c r="R9" s="16"/>
      <c r="U9" s="17"/>
      <c r="V9" s="8"/>
      <c r="W9" s="8"/>
      <c r="X9" s="8"/>
      <c r="Y9" s="8"/>
      <c r="Z9" s="8"/>
      <c r="AA9" s="8"/>
      <c r="AB9" s="8"/>
      <c r="AC9" s="8"/>
      <c r="AD9" s="8"/>
      <c r="AE9" s="8"/>
      <c r="AF9" s="8"/>
      <c r="AG9" s="8"/>
      <c r="AH9" s="8"/>
      <c r="AK9" s="9"/>
      <c r="AO9" s="9"/>
      <c r="AS9" s="9"/>
      <c r="AW9" s="9"/>
      <c r="BA9" s="9"/>
      <c r="BE9" s="9"/>
      <c r="BI9" s="9"/>
      <c r="BM9" s="9"/>
      <c r="BQ9" s="9"/>
      <c r="BU9" s="9"/>
      <c r="BY9" s="9"/>
      <c r="CC9" s="9"/>
      <c r="CG9" s="9"/>
      <c r="CK9" s="9"/>
      <c r="CO9" s="9"/>
      <c r="CS9" s="9"/>
    </row>
    <row r="10" spans="1:97" ht="90" x14ac:dyDescent="0.25">
      <c r="A10" s="10" t="s">
        <v>23</v>
      </c>
      <c r="B10" s="10" t="s">
        <v>136</v>
      </c>
      <c r="C10" s="10" t="s">
        <v>137</v>
      </c>
      <c r="D10" s="10">
        <v>211180000</v>
      </c>
      <c r="E10" s="10" t="s">
        <v>138</v>
      </c>
      <c r="F10" s="50" t="s">
        <v>4276</v>
      </c>
      <c r="G10" s="10" t="s">
        <v>4277</v>
      </c>
      <c r="H10" s="10" t="s">
        <v>4278</v>
      </c>
      <c r="I10" s="39">
        <f>63104000-100000000</f>
        <v>-36896000</v>
      </c>
      <c r="J10" s="10">
        <v>-36896000</v>
      </c>
      <c r="K10" s="10" t="s">
        <v>141</v>
      </c>
      <c r="L10" s="10">
        <v>2.64</v>
      </c>
      <c r="M10" s="10">
        <v>2.64</v>
      </c>
      <c r="N10" s="10">
        <v>2.64</v>
      </c>
      <c r="O10" s="414">
        <v>1.87</v>
      </c>
      <c r="P10" s="10">
        <v>2.6</v>
      </c>
      <c r="Q10" s="18" t="s">
        <v>4279</v>
      </c>
      <c r="R10" s="16"/>
      <c r="U10" s="17"/>
      <c r="V10" s="8"/>
      <c r="W10" s="8"/>
      <c r="X10" s="8"/>
      <c r="Y10" s="8"/>
      <c r="Z10" s="8"/>
      <c r="AA10" s="8"/>
      <c r="AB10" s="8"/>
      <c r="AC10" s="8"/>
      <c r="AD10" s="8"/>
      <c r="AE10" s="8"/>
      <c r="AF10" s="8"/>
      <c r="AG10" s="8"/>
      <c r="AH10" s="8"/>
      <c r="AK10" s="9"/>
      <c r="AO10" s="9"/>
      <c r="AS10" s="9"/>
      <c r="AW10" s="9"/>
      <c r="BA10" s="9"/>
      <c r="BE10" s="9"/>
      <c r="BI10" s="9"/>
      <c r="BM10" s="9"/>
      <c r="BQ10" s="9"/>
      <c r="BU10" s="9"/>
      <c r="BY10" s="9"/>
      <c r="CC10" s="9"/>
      <c r="CG10" s="9"/>
      <c r="CK10" s="9"/>
      <c r="CO10" s="9"/>
      <c r="CS10" s="9"/>
    </row>
    <row r="11" spans="1:97" s="27" customFormat="1" ht="105" x14ac:dyDescent="0.25">
      <c r="A11" s="10" t="s">
        <v>23</v>
      </c>
      <c r="B11" s="10" t="s">
        <v>136</v>
      </c>
      <c r="C11" s="10" t="s">
        <v>137</v>
      </c>
      <c r="D11" s="10">
        <v>211180000</v>
      </c>
      <c r="E11" s="10" t="s">
        <v>138</v>
      </c>
      <c r="F11" s="50" t="s">
        <v>4280</v>
      </c>
      <c r="G11" s="10" t="s">
        <v>4281</v>
      </c>
      <c r="H11" s="10" t="s">
        <v>4282</v>
      </c>
      <c r="I11" s="39">
        <v>-81842500</v>
      </c>
      <c r="J11" s="10">
        <v>-203279140</v>
      </c>
      <c r="K11" s="10" t="s">
        <v>978</v>
      </c>
      <c r="L11" s="10">
        <v>2.64</v>
      </c>
      <c r="M11" s="10">
        <v>2.64</v>
      </c>
      <c r="N11" s="10">
        <v>2.64</v>
      </c>
      <c r="O11" s="10">
        <v>1.87</v>
      </c>
      <c r="P11" s="10">
        <v>2.6</v>
      </c>
      <c r="Q11" s="10" t="s">
        <v>4283</v>
      </c>
      <c r="R11" s="588"/>
      <c r="U11" s="589"/>
      <c r="V11" s="590"/>
      <c r="W11" s="590"/>
      <c r="X11" s="590"/>
      <c r="Y11" s="590"/>
      <c r="Z11" s="590"/>
      <c r="AA11" s="590"/>
      <c r="AB11" s="590"/>
      <c r="AC11" s="590"/>
      <c r="AD11" s="590"/>
      <c r="AE11" s="590"/>
      <c r="AF11" s="590"/>
      <c r="AG11" s="590"/>
      <c r="AH11" s="590"/>
      <c r="AK11" s="201"/>
      <c r="AO11" s="201"/>
      <c r="AS11" s="201"/>
      <c r="AW11" s="201"/>
      <c r="BA11" s="201"/>
      <c r="BE11" s="201"/>
      <c r="BI11" s="201"/>
      <c r="BM11" s="201"/>
      <c r="BQ11" s="201"/>
      <c r="BU11" s="201"/>
      <c r="BY11" s="201"/>
      <c r="CC11" s="201"/>
      <c r="CG11" s="201"/>
      <c r="CK11" s="201"/>
      <c r="CO11" s="201"/>
      <c r="CS11" s="201"/>
    </row>
    <row r="12" spans="1:97" ht="112.5" customHeight="1" x14ac:dyDescent="0.25">
      <c r="A12" s="10" t="s">
        <v>23</v>
      </c>
      <c r="B12" s="10" t="s">
        <v>136</v>
      </c>
      <c r="C12" s="10" t="s">
        <v>137</v>
      </c>
      <c r="D12" s="10">
        <v>211180000</v>
      </c>
      <c r="E12" s="10" t="s">
        <v>138</v>
      </c>
      <c r="F12" s="50" t="s">
        <v>4284</v>
      </c>
      <c r="G12" s="10" t="s">
        <v>4285</v>
      </c>
      <c r="H12" s="10" t="s">
        <v>4286</v>
      </c>
      <c r="I12" s="39">
        <f>'[2]FORMATO FINANCIERO'!I25-'[2]FORMATO FINANCIERO'!H25</f>
        <v>75496000</v>
      </c>
      <c r="J12" s="10">
        <v>442496000</v>
      </c>
      <c r="K12" s="10" t="s">
        <v>141</v>
      </c>
      <c r="L12" s="10">
        <v>2.64</v>
      </c>
      <c r="M12" s="10">
        <v>2.64</v>
      </c>
      <c r="N12" s="10">
        <v>2.64</v>
      </c>
      <c r="O12" s="10">
        <v>1.87</v>
      </c>
      <c r="P12" s="10">
        <v>2.6</v>
      </c>
      <c r="Q12" s="10" t="s">
        <v>4287</v>
      </c>
      <c r="R12" s="16"/>
      <c r="U12" s="17"/>
      <c r="V12" s="8"/>
      <c r="W12" s="8"/>
      <c r="X12" s="8"/>
      <c r="Y12" s="8"/>
      <c r="Z12" s="8"/>
      <c r="AA12" s="8"/>
      <c r="AB12" s="8"/>
      <c r="AC12" s="8"/>
      <c r="AD12" s="8"/>
      <c r="AE12" s="8"/>
      <c r="AF12" s="8"/>
      <c r="AG12" s="8"/>
      <c r="AH12" s="8"/>
      <c r="AK12" s="9"/>
      <c r="AO12" s="9"/>
      <c r="AS12" s="9"/>
      <c r="AW12" s="9"/>
      <c r="BA12" s="9"/>
      <c r="BE12" s="9"/>
      <c r="BI12" s="9"/>
      <c r="BM12" s="9"/>
      <c r="BQ12" s="9"/>
      <c r="BU12" s="9"/>
      <c r="BY12" s="9"/>
      <c r="CC12" s="9"/>
      <c r="CG12" s="9"/>
      <c r="CK12" s="9"/>
      <c r="CO12" s="9"/>
      <c r="CS12" s="9"/>
    </row>
    <row r="13" spans="1:97" ht="255" x14ac:dyDescent="0.25">
      <c r="A13" s="10" t="s">
        <v>23</v>
      </c>
      <c r="B13" s="10" t="s">
        <v>136</v>
      </c>
      <c r="C13" s="10" t="s">
        <v>2518</v>
      </c>
      <c r="D13" s="10">
        <v>211210000</v>
      </c>
      <c r="E13" s="10" t="s">
        <v>4288</v>
      </c>
      <c r="F13" s="50" t="s">
        <v>4271</v>
      </c>
      <c r="G13" s="10" t="s">
        <v>4272</v>
      </c>
      <c r="H13" s="10" t="s">
        <v>4273</v>
      </c>
      <c r="I13" s="39">
        <f>225705392-237000000</f>
        <v>-11294608</v>
      </c>
      <c r="J13" s="10">
        <v>-11294608</v>
      </c>
      <c r="K13" s="201" t="s">
        <v>4289</v>
      </c>
      <c r="L13" s="10">
        <v>8</v>
      </c>
      <c r="M13" s="10">
        <v>8</v>
      </c>
      <c r="N13" s="10">
        <v>9</v>
      </c>
      <c r="O13" s="10">
        <v>0</v>
      </c>
      <c r="P13" s="10">
        <v>9</v>
      </c>
      <c r="Q13" s="10" t="s">
        <v>4290</v>
      </c>
      <c r="R13" s="16"/>
      <c r="U13" s="17"/>
      <c r="V13" s="8"/>
      <c r="W13" s="8"/>
      <c r="X13" s="8"/>
      <c r="Y13" s="8"/>
      <c r="Z13" s="8"/>
      <c r="AA13" s="8"/>
      <c r="AB13" s="8"/>
      <c r="AC13" s="8"/>
      <c r="AD13" s="8"/>
      <c r="AE13" s="8"/>
      <c r="AF13" s="8"/>
      <c r="AG13" s="8"/>
      <c r="AH13" s="8"/>
      <c r="AK13" s="9"/>
      <c r="AO13" s="9"/>
      <c r="AS13" s="9"/>
      <c r="AW13" s="9"/>
      <c r="BA13" s="9"/>
      <c r="BE13" s="9"/>
      <c r="BI13" s="9"/>
      <c r="BM13" s="9"/>
      <c r="BQ13" s="9"/>
      <c r="BU13" s="9"/>
      <c r="BY13" s="9"/>
      <c r="CC13" s="9"/>
      <c r="CG13" s="9"/>
      <c r="CK13" s="9"/>
      <c r="CO13" s="9"/>
      <c r="CS13" s="9"/>
    </row>
    <row r="14" spans="1:97" s="592" customFormat="1" ht="171" customHeight="1" x14ac:dyDescent="0.25">
      <c r="A14" s="10" t="s">
        <v>23</v>
      </c>
      <c r="B14" s="10" t="s">
        <v>136</v>
      </c>
      <c r="C14" s="10" t="s">
        <v>2518</v>
      </c>
      <c r="D14" s="10">
        <v>211210000</v>
      </c>
      <c r="E14" s="10" t="s">
        <v>4288</v>
      </c>
      <c r="F14" s="50" t="s">
        <v>4291</v>
      </c>
      <c r="G14" s="10" t="s">
        <v>4292</v>
      </c>
      <c r="H14" s="10" t="s">
        <v>4293</v>
      </c>
      <c r="I14" s="10"/>
      <c r="J14" s="39">
        <f>'[3]FINANCIERO DAP'!P33-'[3]FINANCIERO DAP'!N33</f>
        <v>887693028</v>
      </c>
      <c r="K14" s="10" t="s">
        <v>4294</v>
      </c>
      <c r="L14" s="10">
        <v>100</v>
      </c>
      <c r="M14" s="10"/>
      <c r="N14" s="10"/>
      <c r="O14" s="10">
        <v>32.5</v>
      </c>
      <c r="P14" s="10">
        <v>100</v>
      </c>
      <c r="Q14" s="10" t="s">
        <v>4295</v>
      </c>
      <c r="R14" s="1"/>
      <c r="S14" s="27"/>
      <c r="T14" s="1"/>
      <c r="U14" s="17"/>
      <c r="V14" s="591"/>
      <c r="W14" s="591"/>
      <c r="X14" s="591"/>
      <c r="Y14" s="591"/>
      <c r="Z14" s="591"/>
      <c r="AA14" s="591"/>
      <c r="AB14" s="591"/>
      <c r="AC14" s="591"/>
      <c r="AD14" s="591"/>
      <c r="AE14" s="591"/>
      <c r="AF14" s="591"/>
      <c r="AG14" s="591"/>
      <c r="AH14" s="591"/>
      <c r="AK14" s="593"/>
      <c r="AO14" s="593"/>
      <c r="AS14" s="593"/>
      <c r="AW14" s="593"/>
      <c r="BA14" s="593"/>
      <c r="BE14" s="593"/>
      <c r="BI14" s="593"/>
      <c r="BM14" s="593"/>
      <c r="BQ14" s="593"/>
      <c r="BU14" s="593"/>
      <c r="BY14" s="593"/>
      <c r="CC14" s="593"/>
      <c r="CG14" s="593"/>
      <c r="CK14" s="593"/>
      <c r="CO14" s="593"/>
      <c r="CS14" s="593"/>
    </row>
    <row r="15" spans="1:97" ht="300" x14ac:dyDescent="0.25">
      <c r="A15" s="10" t="s">
        <v>23</v>
      </c>
      <c r="B15" s="10" t="s">
        <v>136</v>
      </c>
      <c r="C15" s="10" t="s">
        <v>2518</v>
      </c>
      <c r="D15" s="10">
        <v>211220000</v>
      </c>
      <c r="E15" s="10" t="s">
        <v>4296</v>
      </c>
      <c r="F15" s="50" t="s">
        <v>4297</v>
      </c>
      <c r="G15" s="10" t="s">
        <v>4298</v>
      </c>
      <c r="H15" s="10" t="s">
        <v>4299</v>
      </c>
      <c r="I15" s="39">
        <f>197715000-325000000</f>
        <v>-127285000</v>
      </c>
      <c r="J15" s="10">
        <v>-127285000</v>
      </c>
      <c r="K15" s="10" t="s">
        <v>4300</v>
      </c>
      <c r="L15" s="10">
        <v>10</v>
      </c>
      <c r="M15" s="10">
        <v>10</v>
      </c>
      <c r="N15" s="10">
        <v>10</v>
      </c>
      <c r="O15" s="10">
        <v>8</v>
      </c>
      <c r="P15" s="10">
        <v>10</v>
      </c>
      <c r="Q15" s="10" t="s">
        <v>4301</v>
      </c>
      <c r="R15" s="16"/>
      <c r="U15" s="17"/>
      <c r="V15" s="8"/>
      <c r="W15" s="8"/>
      <c r="X15" s="8"/>
      <c r="Y15" s="8"/>
      <c r="Z15" s="8"/>
      <c r="AA15" s="8"/>
      <c r="AB15" s="8"/>
      <c r="AC15" s="8"/>
      <c r="AD15" s="8"/>
      <c r="AE15" s="8"/>
      <c r="AF15" s="8"/>
      <c r="AG15" s="8"/>
      <c r="AH15" s="8"/>
      <c r="AK15" s="9"/>
      <c r="AO15" s="9"/>
      <c r="AS15" s="9"/>
      <c r="AW15" s="9"/>
      <c r="BA15" s="9"/>
      <c r="BE15" s="9"/>
      <c r="BI15" s="9"/>
      <c r="BM15" s="9"/>
      <c r="BQ15" s="9"/>
      <c r="BU15" s="9"/>
      <c r="BY15" s="9"/>
      <c r="CC15" s="9"/>
      <c r="CG15" s="9"/>
      <c r="CK15" s="9"/>
      <c r="CO15" s="9"/>
      <c r="CS15" s="9"/>
    </row>
    <row r="16" spans="1:97" ht="305.25" customHeight="1" x14ac:dyDescent="0.25">
      <c r="A16" s="10" t="s">
        <v>23</v>
      </c>
      <c r="B16" s="10" t="s">
        <v>136</v>
      </c>
      <c r="C16" s="10" t="s">
        <v>2518</v>
      </c>
      <c r="D16" s="10">
        <v>211220000</v>
      </c>
      <c r="E16" s="10" t="s">
        <v>4296</v>
      </c>
      <c r="F16" s="50" t="s">
        <v>4302</v>
      </c>
      <c r="G16" s="10" t="s">
        <v>4303</v>
      </c>
      <c r="H16" s="10" t="s">
        <v>4304</v>
      </c>
      <c r="I16" s="39">
        <v>-100000000</v>
      </c>
      <c r="J16" s="10">
        <v>-100000000</v>
      </c>
      <c r="K16" s="201" t="s">
        <v>4305</v>
      </c>
      <c r="L16" s="10">
        <v>1</v>
      </c>
      <c r="M16" s="10">
        <v>1</v>
      </c>
      <c r="N16" s="10"/>
      <c r="O16" s="10">
        <v>1</v>
      </c>
      <c r="P16" s="18">
        <v>1</v>
      </c>
      <c r="Q16" s="18" t="s">
        <v>4306</v>
      </c>
      <c r="R16" s="16"/>
      <c r="U16" s="17"/>
      <c r="V16" s="8"/>
      <c r="W16" s="8"/>
      <c r="X16" s="8"/>
      <c r="Y16" s="8"/>
      <c r="Z16" s="8"/>
      <c r="AA16" s="8"/>
      <c r="AB16" s="8"/>
      <c r="AC16" s="8"/>
      <c r="AD16" s="8"/>
      <c r="AE16" s="8"/>
      <c r="AF16" s="8"/>
      <c r="AG16" s="8"/>
      <c r="AH16" s="8"/>
      <c r="AK16" s="9"/>
      <c r="AO16" s="9"/>
      <c r="AS16" s="9"/>
      <c r="AW16" s="9"/>
      <c r="BA16" s="9"/>
      <c r="BE16" s="9"/>
      <c r="BI16" s="9"/>
      <c r="BM16" s="9"/>
      <c r="BQ16" s="9"/>
      <c r="BU16" s="9"/>
      <c r="BY16" s="9"/>
      <c r="CC16" s="9"/>
      <c r="CG16" s="9"/>
      <c r="CK16" s="9"/>
      <c r="CO16" s="9"/>
      <c r="CS16" s="9"/>
    </row>
    <row r="17" spans="1:97" ht="105" x14ac:dyDescent="0.25">
      <c r="A17" s="10" t="s">
        <v>23</v>
      </c>
      <c r="B17" s="10" t="s">
        <v>136</v>
      </c>
      <c r="C17" s="10" t="s">
        <v>2518</v>
      </c>
      <c r="D17" s="10">
        <v>211220000</v>
      </c>
      <c r="E17" s="10" t="s">
        <v>4296</v>
      </c>
      <c r="F17" s="50" t="s">
        <v>4307</v>
      </c>
      <c r="G17" s="10" t="s">
        <v>4308</v>
      </c>
      <c r="H17" s="10" t="s">
        <v>4309</v>
      </c>
      <c r="I17" s="39">
        <f>'[2]FORMATO FINANCIERO'!I49-'[2]FORMATO FINANCIERO'!H49</f>
        <v>894051295</v>
      </c>
      <c r="J17" s="10">
        <v>1084630320</v>
      </c>
      <c r="K17" s="10" t="s">
        <v>4310</v>
      </c>
      <c r="L17" s="10">
        <v>124</v>
      </c>
      <c r="M17" s="10">
        <v>124</v>
      </c>
      <c r="N17" s="10">
        <v>124</v>
      </c>
      <c r="O17" s="10">
        <v>124</v>
      </c>
      <c r="P17" s="10">
        <v>124</v>
      </c>
      <c r="Q17" s="10" t="s">
        <v>4311</v>
      </c>
      <c r="R17" s="16"/>
      <c r="U17" s="17"/>
      <c r="V17" s="8"/>
      <c r="W17" s="8"/>
      <c r="X17" s="8"/>
      <c r="Y17" s="8"/>
      <c r="Z17" s="8"/>
      <c r="AA17" s="8"/>
      <c r="AB17" s="8"/>
      <c r="AC17" s="8"/>
      <c r="AD17" s="8"/>
      <c r="AE17" s="8"/>
      <c r="AF17" s="8"/>
      <c r="AG17" s="8"/>
      <c r="AH17" s="8"/>
      <c r="AK17" s="9"/>
      <c r="AO17" s="9"/>
      <c r="AS17" s="9"/>
      <c r="AW17" s="9"/>
      <c r="BA17" s="9"/>
      <c r="BE17" s="9"/>
      <c r="BI17" s="9"/>
      <c r="BM17" s="9"/>
      <c r="BQ17" s="9"/>
      <c r="BU17" s="9"/>
      <c r="BY17" s="9"/>
      <c r="CC17" s="9"/>
      <c r="CG17" s="9"/>
      <c r="CK17" s="9"/>
      <c r="CO17" s="9"/>
      <c r="CS17" s="9"/>
    </row>
    <row r="18" spans="1:97" ht="90" x14ac:dyDescent="0.25">
      <c r="A18" s="10" t="s">
        <v>23</v>
      </c>
      <c r="B18" s="10" t="s">
        <v>142</v>
      </c>
      <c r="C18" s="10" t="s">
        <v>150</v>
      </c>
      <c r="D18" s="10">
        <v>212370000</v>
      </c>
      <c r="E18" s="10" t="s">
        <v>4312</v>
      </c>
      <c r="F18" s="50" t="s">
        <v>4313</v>
      </c>
      <c r="G18" s="10" t="s">
        <v>4314</v>
      </c>
      <c r="H18" s="10" t="s">
        <v>4315</v>
      </c>
      <c r="I18" s="10"/>
      <c r="J18" s="10"/>
      <c r="K18" s="10" t="s">
        <v>4316</v>
      </c>
      <c r="L18" s="10">
        <v>3</v>
      </c>
      <c r="M18" s="10">
        <v>3</v>
      </c>
      <c r="N18" s="10"/>
      <c r="O18" s="10">
        <v>5</v>
      </c>
      <c r="P18" s="10">
        <v>5</v>
      </c>
      <c r="Q18" s="10" t="s">
        <v>4317</v>
      </c>
      <c r="R18" s="16"/>
      <c r="U18" s="17"/>
      <c r="V18" s="8"/>
      <c r="W18" s="8"/>
      <c r="X18" s="8"/>
      <c r="Y18" s="8"/>
      <c r="Z18" s="8"/>
      <c r="AA18" s="8"/>
      <c r="AB18" s="8"/>
      <c r="AC18" s="8"/>
      <c r="AD18" s="8"/>
      <c r="AE18" s="8"/>
      <c r="AF18" s="8"/>
      <c r="AG18" s="8"/>
      <c r="AH18" s="8"/>
      <c r="AK18" s="9"/>
      <c r="AO18" s="9"/>
      <c r="AS18" s="9"/>
      <c r="AW18" s="9"/>
      <c r="BA18" s="9"/>
      <c r="BE18" s="9"/>
      <c r="BI18" s="9"/>
      <c r="BM18" s="9"/>
      <c r="BQ18" s="9"/>
      <c r="BU18" s="9"/>
      <c r="BY18" s="9"/>
      <c r="CC18" s="9"/>
      <c r="CG18" s="9"/>
      <c r="CK18" s="9"/>
      <c r="CO18" s="9"/>
      <c r="CS18" s="9"/>
    </row>
    <row r="19" spans="1:97" s="27" customFormat="1" ht="150" x14ac:dyDescent="0.25">
      <c r="A19" s="10" t="s">
        <v>156</v>
      </c>
      <c r="B19" s="10" t="s">
        <v>982</v>
      </c>
      <c r="C19" s="10" t="s">
        <v>1006</v>
      </c>
      <c r="D19" s="10">
        <v>222740000</v>
      </c>
      <c r="E19" s="10" t="s">
        <v>4318</v>
      </c>
      <c r="F19" s="50" t="s">
        <v>4319</v>
      </c>
      <c r="G19" s="10" t="s">
        <v>4320</v>
      </c>
      <c r="H19" s="10" t="s">
        <v>4321</v>
      </c>
      <c r="I19" s="10"/>
      <c r="J19" s="39">
        <f>'[3]FINANCIERO DAP'!J63-'[3]FINANCIERO DAP'!H63</f>
        <v>-999000000</v>
      </c>
      <c r="K19" s="10" t="s">
        <v>4322</v>
      </c>
      <c r="L19" s="10">
        <v>0</v>
      </c>
      <c r="M19" s="10"/>
      <c r="N19" s="10"/>
      <c r="O19" s="10">
        <v>0.8</v>
      </c>
      <c r="P19" s="10">
        <v>1</v>
      </c>
      <c r="Q19" s="10"/>
      <c r="R19" s="16"/>
      <c r="S19" s="1"/>
      <c r="T19" s="1"/>
      <c r="U19" s="17"/>
      <c r="V19" s="590"/>
      <c r="W19" s="590"/>
      <c r="X19" s="590"/>
      <c r="Y19" s="590"/>
      <c r="Z19" s="590"/>
      <c r="AA19" s="590"/>
      <c r="AB19" s="590"/>
      <c r="AC19" s="590"/>
      <c r="AD19" s="590"/>
      <c r="AE19" s="590"/>
      <c r="AF19" s="590"/>
      <c r="AG19" s="590"/>
      <c r="AH19" s="590"/>
      <c r="AK19" s="201"/>
      <c r="AO19" s="201"/>
      <c r="AS19" s="201"/>
      <c r="AW19" s="201"/>
      <c r="BA19" s="201"/>
      <c r="BE19" s="201"/>
      <c r="BI19" s="201"/>
      <c r="BM19" s="201"/>
      <c r="BQ19" s="201"/>
      <c r="BU19" s="201"/>
      <c r="BY19" s="201"/>
      <c r="CC19" s="201"/>
      <c r="CG19" s="201"/>
      <c r="CK19" s="201"/>
      <c r="CO19" s="201"/>
      <c r="CS19" s="201"/>
    </row>
    <row r="20" spans="1:97" s="27" customFormat="1" x14ac:dyDescent="0.25">
      <c r="A20" s="10"/>
      <c r="B20" s="10"/>
      <c r="C20" s="10"/>
      <c r="D20" s="10"/>
      <c r="E20" s="10"/>
      <c r="F20" s="50"/>
      <c r="G20" s="10"/>
      <c r="H20" s="10"/>
      <c r="I20" s="10"/>
      <c r="J20" s="10"/>
      <c r="K20" s="250"/>
      <c r="L20" s="10"/>
      <c r="M20" s="10"/>
      <c r="N20" s="10"/>
      <c r="O20" s="10"/>
      <c r="P20" s="10"/>
      <c r="Q20" s="10"/>
      <c r="R20" s="16"/>
      <c r="S20" s="1"/>
      <c r="T20" s="1"/>
      <c r="U20" s="17"/>
      <c r="V20" s="590"/>
      <c r="W20" s="590"/>
      <c r="X20" s="590"/>
      <c r="Y20" s="590"/>
      <c r="Z20" s="590"/>
      <c r="AA20" s="590"/>
      <c r="AB20" s="590"/>
      <c r="AC20" s="590"/>
      <c r="AD20" s="590"/>
      <c r="AE20" s="590"/>
      <c r="AF20" s="590"/>
      <c r="AG20" s="590"/>
      <c r="AH20" s="590"/>
      <c r="AK20" s="201"/>
      <c r="AO20" s="201"/>
      <c r="AS20" s="201"/>
      <c r="AW20" s="201"/>
      <c r="BA20" s="201"/>
      <c r="BE20" s="201"/>
      <c r="BI20" s="201"/>
      <c r="BM20" s="201"/>
      <c r="BQ20" s="201"/>
      <c r="BU20" s="201"/>
      <c r="BY20" s="201"/>
      <c r="CC20" s="201"/>
      <c r="CG20" s="201"/>
      <c r="CK20" s="201"/>
      <c r="CO20" s="201"/>
      <c r="CS20" s="201"/>
    </row>
    <row r="21" spans="1:97" ht="240" x14ac:dyDescent="0.25">
      <c r="A21" s="10" t="s">
        <v>55</v>
      </c>
      <c r="B21" s="10" t="s">
        <v>48</v>
      </c>
      <c r="C21" s="10" t="s">
        <v>2735</v>
      </c>
      <c r="D21" s="10">
        <v>242140000</v>
      </c>
      <c r="E21" s="10" t="s">
        <v>4323</v>
      </c>
      <c r="F21" s="50" t="s">
        <v>4324</v>
      </c>
      <c r="G21" s="10" t="s">
        <v>4325</v>
      </c>
      <c r="H21" s="10" t="s">
        <v>4326</v>
      </c>
      <c r="I21" s="10">
        <v>0</v>
      </c>
      <c r="J21" s="10">
        <v>0</v>
      </c>
      <c r="K21" s="201" t="s">
        <v>4327</v>
      </c>
      <c r="L21" s="10">
        <v>3</v>
      </c>
      <c r="M21" s="278">
        <v>1</v>
      </c>
      <c r="N21" s="579"/>
      <c r="O21" s="278">
        <v>1</v>
      </c>
      <c r="P21" s="278">
        <v>1</v>
      </c>
      <c r="Q21" s="18" t="s">
        <v>4328</v>
      </c>
      <c r="R21" s="16"/>
      <c r="U21" s="17"/>
      <c r="V21" s="8"/>
      <c r="W21" s="8"/>
      <c r="X21" s="8"/>
      <c r="Y21" s="8"/>
      <c r="Z21" s="8"/>
      <c r="AA21" s="8"/>
      <c r="AB21" s="8"/>
      <c r="AC21" s="8"/>
      <c r="AD21" s="8"/>
      <c r="AE21" s="8"/>
      <c r="AF21" s="8"/>
      <c r="AG21" s="8"/>
      <c r="AH21" s="8"/>
      <c r="AK21" s="9"/>
      <c r="AO21" s="9"/>
      <c r="AS21" s="9"/>
      <c r="AW21" s="9"/>
      <c r="BA21" s="9"/>
      <c r="BE21" s="9"/>
      <c r="BI21" s="9"/>
      <c r="BM21" s="9"/>
      <c r="BQ21" s="9"/>
      <c r="BU21" s="9"/>
      <c r="BY21" s="9"/>
      <c r="CC21" s="9"/>
      <c r="CG21" s="9"/>
      <c r="CK21" s="9"/>
      <c r="CO21" s="9"/>
      <c r="CS21" s="9"/>
    </row>
    <row r="22" spans="1:97" ht="240" x14ac:dyDescent="0.25">
      <c r="A22" s="10" t="s">
        <v>4329</v>
      </c>
      <c r="B22" s="10" t="s">
        <v>4330</v>
      </c>
      <c r="C22" s="10" t="s">
        <v>4331</v>
      </c>
      <c r="D22" s="10">
        <v>264110000</v>
      </c>
      <c r="E22" s="10" t="s">
        <v>4332</v>
      </c>
      <c r="F22" s="50" t="s">
        <v>4333</v>
      </c>
      <c r="G22" s="10" t="s">
        <v>4334</v>
      </c>
      <c r="H22" s="10" t="s">
        <v>4335</v>
      </c>
      <c r="I22" s="10"/>
      <c r="J22" s="10"/>
      <c r="K22" s="10" t="s">
        <v>4336</v>
      </c>
      <c r="L22" s="10"/>
      <c r="M22" s="10"/>
      <c r="N22" s="10"/>
      <c r="O22" s="10">
        <v>0.2</v>
      </c>
      <c r="P22" s="10">
        <v>6</v>
      </c>
      <c r="Q22" s="10" t="s">
        <v>4337</v>
      </c>
      <c r="R22" s="16"/>
      <c r="U22" s="17"/>
      <c r="V22" s="8"/>
      <c r="W22" s="8"/>
      <c r="X22" s="8"/>
      <c r="Y22" s="8"/>
      <c r="Z22" s="8"/>
      <c r="AA22" s="8"/>
      <c r="AB22" s="8"/>
      <c r="AC22" s="8"/>
      <c r="AD22" s="8"/>
      <c r="AE22" s="8"/>
      <c r="AF22" s="8"/>
      <c r="AG22" s="8"/>
      <c r="AH22" s="8"/>
      <c r="AK22" s="9"/>
      <c r="AO22" s="9"/>
      <c r="AS22" s="9"/>
      <c r="AW22" s="9"/>
      <c r="BA22" s="9"/>
      <c r="BE22" s="9"/>
      <c r="BI22" s="9"/>
      <c r="BM22" s="9"/>
      <c r="BQ22" s="9"/>
      <c r="BU22" s="9"/>
      <c r="BY22" s="9"/>
      <c r="CC22" s="9"/>
      <c r="CG22" s="9"/>
      <c r="CK22" s="9"/>
      <c r="CO22" s="9"/>
      <c r="CS22" s="9"/>
    </row>
    <row r="23" spans="1:97" ht="195" x14ac:dyDescent="0.25">
      <c r="A23" s="10" t="s">
        <v>4329</v>
      </c>
      <c r="B23" s="10" t="s">
        <v>4330</v>
      </c>
      <c r="C23" s="10" t="s">
        <v>4331</v>
      </c>
      <c r="D23" s="10">
        <v>264120000</v>
      </c>
      <c r="E23" s="10" t="s">
        <v>4338</v>
      </c>
      <c r="F23" s="50" t="s">
        <v>4339</v>
      </c>
      <c r="G23" s="10" t="s">
        <v>4340</v>
      </c>
      <c r="H23" s="10" t="s">
        <v>4341</v>
      </c>
      <c r="I23" s="10"/>
      <c r="J23" s="10"/>
      <c r="K23" s="10" t="s">
        <v>4342</v>
      </c>
      <c r="L23" s="10"/>
      <c r="M23" s="10"/>
      <c r="N23" s="10"/>
      <c r="O23" s="10">
        <v>0</v>
      </c>
      <c r="P23" s="10">
        <v>2</v>
      </c>
      <c r="Q23" s="10" t="s">
        <v>4343</v>
      </c>
      <c r="R23" s="16"/>
      <c r="U23" s="17"/>
      <c r="V23" s="8"/>
      <c r="W23" s="8"/>
      <c r="X23" s="8"/>
      <c r="Y23" s="8"/>
      <c r="Z23" s="8"/>
      <c r="AA23" s="8"/>
      <c r="AB23" s="8"/>
      <c r="AC23" s="8"/>
      <c r="AD23" s="8"/>
      <c r="AE23" s="8"/>
      <c r="AF23" s="8"/>
      <c r="AG23" s="8"/>
      <c r="AH23" s="8"/>
      <c r="AK23" s="9"/>
      <c r="AO23" s="9"/>
      <c r="AS23" s="9"/>
      <c r="AW23" s="9"/>
      <c r="BA23" s="9"/>
      <c r="BE23" s="9"/>
      <c r="BI23" s="9"/>
      <c r="BM23" s="9"/>
      <c r="BQ23" s="9"/>
      <c r="BU23" s="9"/>
      <c r="BY23" s="9"/>
      <c r="CC23" s="9"/>
      <c r="CG23" s="9"/>
      <c r="CK23" s="9"/>
      <c r="CO23" s="9"/>
      <c r="CS23" s="9"/>
    </row>
    <row r="24" spans="1:97" ht="180" x14ac:dyDescent="0.25">
      <c r="A24" s="10" t="s">
        <v>4329</v>
      </c>
      <c r="B24" s="10" t="s">
        <v>4330</v>
      </c>
      <c r="C24" s="10" t="s">
        <v>4331</v>
      </c>
      <c r="D24" s="10">
        <v>264130000</v>
      </c>
      <c r="E24" s="10" t="s">
        <v>4344</v>
      </c>
      <c r="F24" s="50" t="s">
        <v>4345</v>
      </c>
      <c r="G24" s="10" t="s">
        <v>4346</v>
      </c>
      <c r="H24" s="10" t="s">
        <v>4347</v>
      </c>
      <c r="I24" s="10"/>
      <c r="J24" s="10"/>
      <c r="K24" s="10" t="s">
        <v>4348</v>
      </c>
      <c r="L24" s="10"/>
      <c r="M24" s="10"/>
      <c r="N24" s="10"/>
      <c r="O24" s="10">
        <v>0.5</v>
      </c>
      <c r="P24" s="10">
        <v>1</v>
      </c>
      <c r="Q24" s="10" t="s">
        <v>4349</v>
      </c>
      <c r="R24" s="16"/>
      <c r="U24" s="17"/>
      <c r="V24" s="8"/>
      <c r="W24" s="8"/>
      <c r="X24" s="8"/>
      <c r="Y24" s="8"/>
      <c r="Z24" s="8"/>
      <c r="AA24" s="8"/>
      <c r="AB24" s="8"/>
      <c r="AC24" s="8"/>
      <c r="AD24" s="8"/>
      <c r="AE24" s="8"/>
      <c r="AF24" s="8"/>
      <c r="AG24" s="8"/>
      <c r="AH24" s="8"/>
      <c r="AK24" s="9"/>
      <c r="AO24" s="9"/>
      <c r="AS24" s="9"/>
      <c r="AW24" s="9"/>
      <c r="BA24" s="9"/>
      <c r="BE24" s="9"/>
      <c r="BI24" s="9"/>
      <c r="BM24" s="9"/>
      <c r="BQ24" s="9"/>
      <c r="BU24" s="9"/>
      <c r="BY24" s="9"/>
      <c r="CC24" s="9"/>
      <c r="CG24" s="9"/>
      <c r="CK24" s="9"/>
      <c r="CO24" s="9"/>
      <c r="CS24" s="9"/>
    </row>
    <row r="25" spans="1:97" ht="120" x14ac:dyDescent="0.25">
      <c r="A25" s="10">
        <v>0</v>
      </c>
      <c r="B25" s="10">
        <v>0</v>
      </c>
      <c r="C25" s="10" t="s">
        <v>4350</v>
      </c>
      <c r="D25" s="10">
        <v>0</v>
      </c>
      <c r="E25" s="10">
        <v>6421</v>
      </c>
      <c r="F25" s="50">
        <v>0</v>
      </c>
      <c r="G25" s="10">
        <v>0</v>
      </c>
      <c r="H25" s="10">
        <v>0</v>
      </c>
      <c r="I25" s="10"/>
      <c r="J25" s="10"/>
      <c r="K25" s="10" t="s">
        <v>4351</v>
      </c>
      <c r="L25" s="10"/>
      <c r="M25" s="10"/>
      <c r="N25" s="10"/>
      <c r="O25" s="10">
        <v>0</v>
      </c>
      <c r="P25" s="10">
        <v>2</v>
      </c>
      <c r="Q25" s="10" t="s">
        <v>4352</v>
      </c>
      <c r="R25" s="16"/>
      <c r="U25" s="17"/>
      <c r="V25" s="8"/>
      <c r="W25" s="8"/>
      <c r="X25" s="8"/>
      <c r="Y25" s="8"/>
      <c r="Z25" s="8"/>
      <c r="AA25" s="8"/>
      <c r="AB25" s="8"/>
      <c r="AC25" s="8"/>
      <c r="AD25" s="8"/>
      <c r="AE25" s="8"/>
      <c r="AF25" s="8"/>
      <c r="AG25" s="8"/>
      <c r="AH25" s="8"/>
      <c r="AK25" s="9"/>
      <c r="AO25" s="9"/>
      <c r="AS25" s="9"/>
      <c r="AW25" s="9"/>
      <c r="BA25" s="9"/>
      <c r="BE25" s="9"/>
      <c r="BI25" s="9"/>
      <c r="BM25" s="9"/>
      <c r="BQ25" s="9"/>
      <c r="BU25" s="9"/>
      <c r="BY25" s="9"/>
      <c r="CC25" s="9"/>
      <c r="CG25" s="9"/>
      <c r="CK25" s="9"/>
      <c r="CO25" s="9"/>
      <c r="CS25" s="9"/>
    </row>
    <row r="26" spans="1:97" ht="180" x14ac:dyDescent="0.25">
      <c r="A26" s="10" t="s">
        <v>4329</v>
      </c>
      <c r="B26" s="10" t="s">
        <v>4330</v>
      </c>
      <c r="C26" s="10" t="s">
        <v>4353</v>
      </c>
      <c r="D26" s="10">
        <v>264220000</v>
      </c>
      <c r="E26" s="10" t="s">
        <v>4354</v>
      </c>
      <c r="F26" s="50" t="s">
        <v>4355</v>
      </c>
      <c r="G26" s="10" t="s">
        <v>4356</v>
      </c>
      <c r="H26" s="10" t="s">
        <v>4357</v>
      </c>
      <c r="I26" s="10"/>
      <c r="J26" s="10"/>
      <c r="K26" s="10" t="s">
        <v>4358</v>
      </c>
      <c r="L26" s="10"/>
      <c r="M26" s="10"/>
      <c r="N26" s="10"/>
      <c r="O26" s="10">
        <v>1</v>
      </c>
      <c r="P26" s="10">
        <v>3</v>
      </c>
      <c r="Q26" s="10" t="s">
        <v>4359</v>
      </c>
      <c r="R26" s="16"/>
      <c r="U26" s="17"/>
      <c r="V26" s="8"/>
      <c r="W26" s="8"/>
      <c r="X26" s="8"/>
      <c r="Y26" s="8"/>
      <c r="Z26" s="8"/>
      <c r="AA26" s="8"/>
      <c r="AB26" s="8"/>
      <c r="AC26" s="8"/>
      <c r="AD26" s="8"/>
      <c r="AE26" s="8"/>
      <c r="AF26" s="8"/>
      <c r="AG26" s="8"/>
      <c r="AH26" s="8"/>
      <c r="AK26" s="9"/>
      <c r="AO26" s="9"/>
      <c r="AS26" s="9"/>
      <c r="AW26" s="9"/>
      <c r="BA26" s="9"/>
      <c r="BE26" s="9"/>
      <c r="BI26" s="9"/>
      <c r="BM26" s="9"/>
      <c r="BQ26" s="9"/>
      <c r="BU26" s="9"/>
      <c r="BY26" s="9"/>
      <c r="CC26" s="9"/>
      <c r="CG26" s="9"/>
      <c r="CK26" s="9"/>
      <c r="CO26" s="9"/>
      <c r="CS26" s="9"/>
    </row>
    <row r="27" spans="1:97" ht="165" x14ac:dyDescent="0.25">
      <c r="A27" s="10"/>
      <c r="B27" s="10"/>
      <c r="C27" s="10"/>
      <c r="D27" s="10"/>
      <c r="E27" s="10"/>
      <c r="F27" s="50"/>
      <c r="G27" s="10"/>
      <c r="H27" s="10"/>
      <c r="I27" s="10"/>
      <c r="J27" s="10"/>
      <c r="K27" s="10" t="s">
        <v>973</v>
      </c>
      <c r="L27" s="10"/>
      <c r="M27" s="10"/>
      <c r="N27" s="10"/>
      <c r="O27" s="10">
        <v>1</v>
      </c>
      <c r="P27" s="10">
        <v>3</v>
      </c>
      <c r="Q27" s="10" t="s">
        <v>4360</v>
      </c>
      <c r="R27" s="16"/>
      <c r="U27" s="17"/>
      <c r="V27" s="8"/>
      <c r="W27" s="8"/>
      <c r="X27" s="8"/>
      <c r="Y27" s="8"/>
      <c r="Z27" s="8"/>
      <c r="AA27" s="8"/>
      <c r="AB27" s="8"/>
      <c r="AC27" s="8"/>
      <c r="AD27" s="8"/>
      <c r="AE27" s="8"/>
      <c r="AF27" s="8"/>
      <c r="AG27" s="8"/>
      <c r="AH27" s="8"/>
      <c r="AK27" s="9"/>
      <c r="AO27" s="9"/>
      <c r="AS27" s="9"/>
      <c r="AW27" s="9"/>
      <c r="BA27" s="9"/>
      <c r="BE27" s="9"/>
      <c r="BI27" s="9"/>
      <c r="BM27" s="9"/>
      <c r="BQ27" s="9"/>
      <c r="BU27" s="9"/>
      <c r="BY27" s="9"/>
      <c r="CC27" s="9"/>
      <c r="CG27" s="9"/>
      <c r="CK27" s="9"/>
      <c r="CO27" s="9"/>
      <c r="CS27" s="9"/>
    </row>
    <row r="28" spans="1:97" ht="270" x14ac:dyDescent="0.25">
      <c r="A28" s="10"/>
      <c r="B28" s="10"/>
      <c r="C28" s="10"/>
      <c r="D28" s="10"/>
      <c r="E28" s="10"/>
      <c r="F28" s="50"/>
      <c r="G28" s="10"/>
      <c r="H28" s="10"/>
      <c r="I28" s="10"/>
      <c r="J28" s="10"/>
      <c r="K28" s="10" t="s">
        <v>4361</v>
      </c>
      <c r="L28" s="10"/>
      <c r="M28" s="10"/>
      <c r="N28" s="10"/>
      <c r="O28" s="10">
        <v>0</v>
      </c>
      <c r="P28" s="10">
        <v>4</v>
      </c>
      <c r="Q28" s="10" t="s">
        <v>4362</v>
      </c>
      <c r="R28" s="16"/>
      <c r="U28" s="17"/>
      <c r="V28" s="8"/>
      <c r="W28" s="8"/>
      <c r="X28" s="8"/>
      <c r="Y28" s="8"/>
      <c r="Z28" s="8"/>
      <c r="AA28" s="8"/>
      <c r="AB28" s="8"/>
      <c r="AC28" s="8"/>
      <c r="AD28" s="8"/>
      <c r="AE28" s="8"/>
      <c r="AF28" s="8"/>
      <c r="AG28" s="8"/>
      <c r="AH28" s="8"/>
      <c r="AK28" s="9"/>
      <c r="AO28" s="9"/>
      <c r="AS28" s="9"/>
      <c r="AW28" s="9"/>
      <c r="BA28" s="9"/>
      <c r="BE28" s="9"/>
      <c r="BI28" s="9"/>
      <c r="BM28" s="9"/>
      <c r="BQ28" s="9"/>
      <c r="BU28" s="9"/>
      <c r="BY28" s="9"/>
      <c r="CC28" s="9"/>
      <c r="CG28" s="9"/>
      <c r="CK28" s="9"/>
      <c r="CO28" s="9"/>
      <c r="CS28" s="9"/>
    </row>
    <row r="29" spans="1:97" ht="180" x14ac:dyDescent="0.25">
      <c r="A29" s="10" t="s">
        <v>1788</v>
      </c>
      <c r="B29" s="10" t="s">
        <v>4363</v>
      </c>
      <c r="C29" s="10" t="s">
        <v>4364</v>
      </c>
      <c r="D29" s="10">
        <v>272110000</v>
      </c>
      <c r="E29" s="10" t="s">
        <v>4365</v>
      </c>
      <c r="F29" s="50" t="s">
        <v>4366</v>
      </c>
      <c r="G29" s="10" t="s">
        <v>4367</v>
      </c>
      <c r="H29" s="10" t="s">
        <v>4368</v>
      </c>
      <c r="I29" s="10">
        <v>-100000000</v>
      </c>
      <c r="J29" s="10">
        <v>-1350000000</v>
      </c>
      <c r="K29" s="10" t="s">
        <v>4369</v>
      </c>
      <c r="L29" s="10">
        <v>2</v>
      </c>
      <c r="M29" s="10">
        <v>7</v>
      </c>
      <c r="N29" s="10">
        <v>7</v>
      </c>
      <c r="O29" s="10">
        <v>7</v>
      </c>
      <c r="P29" s="10">
        <v>9</v>
      </c>
      <c r="Q29" s="10" t="s">
        <v>4370</v>
      </c>
      <c r="R29" s="16"/>
      <c r="U29" s="17"/>
      <c r="V29" s="8"/>
      <c r="W29" s="8"/>
      <c r="X29" s="8"/>
      <c r="Y29" s="8"/>
      <c r="Z29" s="8"/>
      <c r="AA29" s="8"/>
      <c r="AB29" s="8"/>
      <c r="AC29" s="8"/>
      <c r="AD29" s="8"/>
      <c r="AE29" s="8"/>
      <c r="AF29" s="8"/>
      <c r="AG29" s="8"/>
      <c r="AH29" s="8"/>
      <c r="AK29" s="9"/>
      <c r="AO29" s="9"/>
      <c r="AS29" s="9"/>
      <c r="AW29" s="9"/>
      <c r="BA29" s="9"/>
      <c r="BE29" s="9"/>
      <c r="BI29" s="9"/>
      <c r="BM29" s="9"/>
      <c r="BQ29" s="9"/>
      <c r="BU29" s="9"/>
      <c r="BY29" s="9"/>
      <c r="CC29" s="9"/>
      <c r="CG29" s="9"/>
      <c r="CK29" s="9"/>
      <c r="CO29" s="9"/>
      <c r="CS29" s="9"/>
    </row>
    <row r="30" spans="1:97" ht="360" x14ac:dyDescent="0.25">
      <c r="A30" s="10" t="s">
        <v>1788</v>
      </c>
      <c r="B30" s="10" t="s">
        <v>4363</v>
      </c>
      <c r="C30" s="10" t="s">
        <v>4364</v>
      </c>
      <c r="D30" s="10">
        <v>272120000</v>
      </c>
      <c r="E30" s="10" t="s">
        <v>4371</v>
      </c>
      <c r="F30" s="50" t="s">
        <v>4372</v>
      </c>
      <c r="G30" s="10" t="s">
        <v>4373</v>
      </c>
      <c r="H30" s="10" t="s">
        <v>4374</v>
      </c>
      <c r="I30" s="39">
        <v>-100000000</v>
      </c>
      <c r="J30" s="10">
        <v>-100000000</v>
      </c>
      <c r="K30" s="10" t="s">
        <v>4375</v>
      </c>
      <c r="L30" s="10">
        <v>1</v>
      </c>
      <c r="M30" s="10"/>
      <c r="N30" s="10"/>
      <c r="O30" s="10">
        <v>0</v>
      </c>
      <c r="P30" s="10">
        <v>0</v>
      </c>
      <c r="Q30" s="10" t="s">
        <v>4376</v>
      </c>
      <c r="R30" s="16"/>
      <c r="U30" s="17"/>
      <c r="V30" s="8"/>
      <c r="W30" s="8"/>
      <c r="X30" s="8"/>
      <c r="Y30" s="8"/>
      <c r="Z30" s="8"/>
      <c r="AA30" s="8"/>
      <c r="AB30" s="8"/>
      <c r="AC30" s="8"/>
      <c r="AD30" s="8"/>
      <c r="AE30" s="8"/>
      <c r="AF30" s="8"/>
      <c r="AG30" s="8"/>
      <c r="AH30" s="8"/>
      <c r="AK30" s="9"/>
      <c r="AO30" s="9"/>
      <c r="AS30" s="9"/>
      <c r="AW30" s="9"/>
      <c r="BA30" s="9"/>
      <c r="BE30" s="9"/>
      <c r="BI30" s="9"/>
      <c r="BM30" s="9"/>
      <c r="BQ30" s="9"/>
      <c r="BU30" s="9"/>
      <c r="BY30" s="9"/>
      <c r="CC30" s="9"/>
      <c r="CG30" s="9"/>
      <c r="CK30" s="9"/>
      <c r="CO30" s="9"/>
      <c r="CS30" s="9"/>
    </row>
    <row r="31" spans="1:97" ht="30" x14ac:dyDescent="0.25">
      <c r="A31" s="10"/>
      <c r="B31" s="10"/>
      <c r="C31" s="10"/>
      <c r="D31" s="10"/>
      <c r="E31" s="10"/>
      <c r="F31" s="50"/>
      <c r="G31" s="10"/>
      <c r="H31" s="10"/>
      <c r="I31" s="10"/>
      <c r="J31" s="10"/>
      <c r="K31" s="10" t="s">
        <v>4377</v>
      </c>
      <c r="L31" s="10">
        <v>0</v>
      </c>
      <c r="M31" s="10"/>
      <c r="N31" s="10"/>
      <c r="O31" s="10">
        <v>0</v>
      </c>
      <c r="P31" s="10">
        <v>0</v>
      </c>
      <c r="Q31" s="10" t="s">
        <v>4378</v>
      </c>
      <c r="R31" s="16"/>
      <c r="U31" s="17"/>
      <c r="V31" s="8"/>
      <c r="W31" s="8"/>
      <c r="X31" s="8"/>
      <c r="Y31" s="8"/>
      <c r="Z31" s="8"/>
      <c r="AA31" s="8"/>
      <c r="AB31" s="8"/>
      <c r="AC31" s="8"/>
      <c r="AD31" s="8"/>
      <c r="AE31" s="8"/>
      <c r="AF31" s="8"/>
      <c r="AG31" s="8"/>
      <c r="AH31" s="8"/>
      <c r="AK31" s="9"/>
      <c r="AO31" s="9"/>
      <c r="AS31" s="9"/>
      <c r="AW31" s="9"/>
      <c r="BA31" s="9"/>
      <c r="BE31" s="9"/>
      <c r="BI31" s="9"/>
      <c r="BM31" s="9"/>
      <c r="BQ31" s="9"/>
      <c r="BU31" s="9"/>
      <c r="BY31" s="9"/>
      <c r="CC31" s="9"/>
      <c r="CG31" s="9"/>
      <c r="CK31" s="9"/>
      <c r="CO31" s="9"/>
      <c r="CS31" s="9"/>
    </row>
    <row r="32" spans="1:97" ht="315" x14ac:dyDescent="0.25">
      <c r="A32" s="10" t="s">
        <v>1788</v>
      </c>
      <c r="B32" s="10" t="s">
        <v>4363</v>
      </c>
      <c r="C32" s="10" t="s">
        <v>4379</v>
      </c>
      <c r="D32" s="10">
        <v>272210000</v>
      </c>
      <c r="E32" s="10" t="s">
        <v>4380</v>
      </c>
      <c r="F32" s="50" t="s">
        <v>2012</v>
      </c>
      <c r="G32" s="10" t="s">
        <v>4381</v>
      </c>
      <c r="H32" s="10" t="s">
        <v>4382</v>
      </c>
      <c r="I32" s="39">
        <f>M282-100000000</f>
        <v>-100000000</v>
      </c>
      <c r="J32" s="10">
        <v>-100000000</v>
      </c>
      <c r="K32" s="10" t="s">
        <v>4383</v>
      </c>
      <c r="L32" s="10">
        <v>2</v>
      </c>
      <c r="M32" s="10">
        <v>1</v>
      </c>
      <c r="N32" s="10"/>
      <c r="O32" s="10">
        <v>0.8</v>
      </c>
      <c r="P32" s="10">
        <v>3</v>
      </c>
      <c r="Q32" s="10" t="s">
        <v>4384</v>
      </c>
      <c r="R32" s="16"/>
      <c r="U32" s="17"/>
      <c r="V32" s="8"/>
      <c r="W32" s="8"/>
      <c r="X32" s="8"/>
      <c r="Y32" s="8"/>
      <c r="Z32" s="8"/>
      <c r="AA32" s="8"/>
      <c r="AB32" s="8"/>
      <c r="AC32" s="8"/>
      <c r="AD32" s="8"/>
      <c r="AE32" s="8"/>
      <c r="AF32" s="8"/>
      <c r="AG32" s="8"/>
      <c r="AH32" s="8"/>
      <c r="AK32" s="9"/>
      <c r="AO32" s="9"/>
      <c r="AS32" s="9"/>
      <c r="AW32" s="9"/>
      <c r="BA32" s="9"/>
      <c r="BE32" s="9"/>
      <c r="BI32" s="9"/>
      <c r="BM32" s="9"/>
      <c r="BQ32" s="9"/>
      <c r="BU32" s="9"/>
      <c r="BY32" s="9"/>
      <c r="CC32" s="9"/>
      <c r="CG32" s="9"/>
      <c r="CK32" s="9"/>
      <c r="CO32" s="9"/>
      <c r="CS32" s="9"/>
    </row>
    <row r="33" spans="1:98" ht="195" x14ac:dyDescent="0.25">
      <c r="A33" s="10" t="s">
        <v>1788</v>
      </c>
      <c r="B33" s="10" t="s">
        <v>4363</v>
      </c>
      <c r="C33" s="10" t="s">
        <v>4385</v>
      </c>
      <c r="D33" s="10">
        <v>272410000</v>
      </c>
      <c r="E33" s="10" t="s">
        <v>4386</v>
      </c>
      <c r="F33" s="50" t="s">
        <v>4387</v>
      </c>
      <c r="G33" s="10" t="s">
        <v>4388</v>
      </c>
      <c r="H33" s="10" t="s">
        <v>4389</v>
      </c>
      <c r="I33" s="577">
        <v>70000000</v>
      </c>
      <c r="J33" s="10">
        <v>-184400000</v>
      </c>
      <c r="K33" s="10" t="s">
        <v>4390</v>
      </c>
      <c r="L33" s="10">
        <v>60</v>
      </c>
      <c r="M33" s="580">
        <v>0.35</v>
      </c>
      <c r="N33" s="18"/>
      <c r="O33" s="580">
        <v>0.35</v>
      </c>
      <c r="P33" s="580">
        <v>0.36</v>
      </c>
      <c r="Q33" s="18" t="s">
        <v>4391</v>
      </c>
      <c r="R33" s="16"/>
      <c r="U33" s="17"/>
      <c r="V33" s="8"/>
      <c r="W33" s="8"/>
      <c r="X33" s="8"/>
      <c r="Y33" s="8"/>
      <c r="Z33" s="8"/>
      <c r="AA33" s="8"/>
      <c r="AB33" s="8"/>
      <c r="AC33" s="8"/>
      <c r="AD33" s="8"/>
      <c r="AE33" s="8"/>
      <c r="AF33" s="8"/>
      <c r="AG33" s="8"/>
      <c r="AH33" s="8"/>
      <c r="AK33" s="9"/>
      <c r="AO33" s="9"/>
      <c r="AS33" s="9"/>
      <c r="AW33" s="9"/>
      <c r="BA33" s="9"/>
      <c r="BE33" s="9"/>
      <c r="BI33" s="9"/>
      <c r="BM33" s="9"/>
      <c r="BQ33" s="9"/>
      <c r="BU33" s="9"/>
      <c r="BY33" s="9"/>
      <c r="CC33" s="9"/>
      <c r="CG33" s="9"/>
      <c r="CK33" s="9"/>
      <c r="CO33" s="9"/>
      <c r="CS33" s="9"/>
    </row>
    <row r="34" spans="1:98" ht="360" x14ac:dyDescent="0.25">
      <c r="A34" s="10" t="s">
        <v>1788</v>
      </c>
      <c r="B34" s="10" t="s">
        <v>4363</v>
      </c>
      <c r="C34" s="10" t="s">
        <v>4385</v>
      </c>
      <c r="D34" s="10">
        <v>272420000</v>
      </c>
      <c r="E34" s="10" t="s">
        <v>4392</v>
      </c>
      <c r="F34" s="50" t="s">
        <v>4393</v>
      </c>
      <c r="G34" s="10" t="s">
        <v>4394</v>
      </c>
      <c r="H34" s="10" t="s">
        <v>4395</v>
      </c>
      <c r="I34" s="377">
        <v>276472500</v>
      </c>
      <c r="J34" s="10">
        <v>-118621972</v>
      </c>
      <c r="K34" s="10" t="s">
        <v>4396</v>
      </c>
      <c r="L34" s="10">
        <v>13</v>
      </c>
      <c r="M34" s="278">
        <v>0</v>
      </c>
      <c r="N34" s="278"/>
      <c r="O34" s="278">
        <v>2</v>
      </c>
      <c r="P34" s="278">
        <v>8</v>
      </c>
      <c r="Q34" s="18" t="s">
        <v>4397</v>
      </c>
      <c r="R34" s="16"/>
      <c r="U34" s="17"/>
      <c r="V34" s="8"/>
      <c r="W34" s="8"/>
      <c r="X34" s="8"/>
      <c r="Y34" s="8"/>
      <c r="Z34" s="8"/>
      <c r="AA34" s="8"/>
      <c r="AB34" s="8"/>
      <c r="AC34" s="8"/>
      <c r="AD34" s="8"/>
      <c r="AE34" s="8"/>
      <c r="AF34" s="8"/>
      <c r="AG34" s="8"/>
      <c r="AH34" s="8"/>
      <c r="AK34" s="9"/>
      <c r="AO34" s="9"/>
      <c r="AS34" s="9"/>
      <c r="AW34" s="9"/>
      <c r="BA34" s="9"/>
      <c r="BE34" s="9"/>
      <c r="BI34" s="9"/>
      <c r="BM34" s="9"/>
      <c r="BQ34" s="9"/>
      <c r="BU34" s="9"/>
      <c r="BY34" s="9"/>
      <c r="CC34" s="9"/>
      <c r="CG34" s="9"/>
      <c r="CK34" s="9"/>
      <c r="CO34" s="9"/>
      <c r="CS34" s="9"/>
    </row>
    <row r="35" spans="1:98" ht="150" x14ac:dyDescent="0.25">
      <c r="A35" s="10" t="s">
        <v>1788</v>
      </c>
      <c r="B35" s="10" t="s">
        <v>4363</v>
      </c>
      <c r="C35" s="10" t="s">
        <v>4385</v>
      </c>
      <c r="D35" s="10">
        <v>272440000</v>
      </c>
      <c r="E35" s="10" t="s">
        <v>4398</v>
      </c>
      <c r="F35" s="50" t="s">
        <v>4399</v>
      </c>
      <c r="G35" s="10" t="s">
        <v>4400</v>
      </c>
      <c r="H35" s="10" t="s">
        <v>4401</v>
      </c>
      <c r="I35" s="377">
        <v>-200000000</v>
      </c>
      <c r="J35" s="577">
        <v>-200000000</v>
      </c>
      <c r="K35" s="10" t="s">
        <v>4402</v>
      </c>
      <c r="L35" s="44">
        <v>1</v>
      </c>
      <c r="M35" s="278">
        <v>0</v>
      </c>
      <c r="N35" s="311"/>
      <c r="O35" s="278">
        <v>0</v>
      </c>
      <c r="P35" s="581">
        <v>0</v>
      </c>
      <c r="Q35" s="18" t="s">
        <v>4403</v>
      </c>
      <c r="R35" s="16"/>
      <c r="U35" s="17"/>
      <c r="V35" s="8"/>
      <c r="W35" s="8"/>
      <c r="X35" s="8"/>
      <c r="Y35" s="8"/>
      <c r="Z35" s="8"/>
      <c r="AA35" s="8"/>
      <c r="AB35" s="8"/>
      <c r="AC35" s="8"/>
      <c r="AD35" s="8"/>
      <c r="AE35" s="8"/>
      <c r="AF35" s="8"/>
      <c r="AG35" s="8"/>
      <c r="AH35" s="8"/>
      <c r="AK35" s="9"/>
      <c r="AO35" s="9"/>
      <c r="AS35" s="9"/>
      <c r="AW35" s="9"/>
      <c r="BA35" s="9"/>
      <c r="BE35" s="9"/>
      <c r="BI35" s="9"/>
      <c r="BM35" s="9"/>
      <c r="BQ35" s="9"/>
      <c r="BU35" s="9"/>
      <c r="BY35" s="9"/>
      <c r="CC35" s="9"/>
      <c r="CG35" s="9"/>
      <c r="CK35" s="9"/>
      <c r="CO35" s="9"/>
      <c r="CS35" s="9"/>
    </row>
    <row r="36" spans="1:98" ht="285" x14ac:dyDescent="0.25">
      <c r="A36" s="10" t="s">
        <v>1788</v>
      </c>
      <c r="B36" s="10" t="s">
        <v>4363</v>
      </c>
      <c r="C36" s="10" t="s">
        <v>4385</v>
      </c>
      <c r="D36" s="10">
        <v>272450000</v>
      </c>
      <c r="E36" s="10" t="s">
        <v>4404</v>
      </c>
      <c r="F36" s="50" t="s">
        <v>4405</v>
      </c>
      <c r="G36" s="10" t="s">
        <v>4406</v>
      </c>
      <c r="H36" s="10" t="s">
        <v>4407</v>
      </c>
      <c r="I36" s="10">
        <v>305450000</v>
      </c>
      <c r="J36" s="10">
        <v>-294750000</v>
      </c>
      <c r="K36" s="10" t="s">
        <v>4408</v>
      </c>
      <c r="L36" s="10">
        <v>1</v>
      </c>
      <c r="M36" s="10"/>
      <c r="N36" s="10"/>
      <c r="O36" s="10">
        <v>0.7</v>
      </c>
      <c r="P36" s="10">
        <v>0.7</v>
      </c>
      <c r="Q36" s="10" t="s">
        <v>4409</v>
      </c>
      <c r="R36" s="16"/>
      <c r="U36" s="17"/>
      <c r="V36" s="8"/>
      <c r="W36" s="8"/>
      <c r="X36" s="8"/>
      <c r="Y36" s="8"/>
      <c r="Z36" s="8"/>
      <c r="AA36" s="8"/>
      <c r="AB36" s="8"/>
      <c r="AC36" s="8"/>
      <c r="AD36" s="8"/>
      <c r="AE36" s="8"/>
      <c r="AF36" s="8"/>
      <c r="AG36" s="8"/>
      <c r="AH36" s="8"/>
      <c r="AK36" s="9"/>
      <c r="AO36" s="9"/>
      <c r="AS36" s="9"/>
      <c r="AW36" s="9"/>
      <c r="BA36" s="9"/>
      <c r="BE36" s="9"/>
      <c r="BI36" s="9"/>
      <c r="BM36" s="9"/>
      <c r="BQ36" s="9"/>
      <c r="BU36" s="9"/>
      <c r="BY36" s="9"/>
      <c r="CC36" s="9"/>
      <c r="CG36" s="9"/>
      <c r="CK36" s="9"/>
      <c r="CO36" s="9"/>
      <c r="CS36" s="9"/>
    </row>
    <row r="37" spans="1:98" x14ac:dyDescent="0.25">
      <c r="S37" s="8"/>
      <c r="T37" s="8"/>
      <c r="U37" s="8"/>
      <c r="V37" s="8"/>
      <c r="W37" s="8" t="e">
        <f ca="1">MATCH($E37,OFFSET([4]Hoja1!$X$4,V37-3,0,500-V37,1),0)+V37</f>
        <v>#VALUE!</v>
      </c>
      <c r="X37" s="8" t="e">
        <f ca="1">MATCH($E37,OFFSET([4]Hoja1!$X$4,W37-3,0,500-W37,1),0)+W37</f>
        <v>#VALUE!</v>
      </c>
      <c r="Y37" s="8" t="e">
        <f ca="1">MATCH($E37,OFFSET([4]Hoja1!$X$4,X37-3,0,500-X37,1),0)+X37</f>
        <v>#VALUE!</v>
      </c>
      <c r="Z37" s="8" t="e">
        <f ca="1">MATCH($E37,OFFSET([4]Hoja1!$X$4,Y37-3,0,500-Y37,1),0)+Y37</f>
        <v>#VALUE!</v>
      </c>
      <c r="AA37" s="8" t="e">
        <f ca="1">MATCH($E37,OFFSET([4]Hoja1!$X$4,Z37-3,0,500-Z37,1),0)+Z37</f>
        <v>#VALUE!</v>
      </c>
      <c r="AB37" s="8" t="e">
        <f ca="1">MATCH($E37,OFFSET([4]Hoja1!$X$4,AA37-3,0,500-AA37,1),0)+AA37</f>
        <v>#VALUE!</v>
      </c>
      <c r="AC37" s="8" t="e">
        <f ca="1">MATCH($E37,OFFSET([4]Hoja1!$X$4,AB37-3,0,500-AB37,1),0)+AB37</f>
        <v>#VALUE!</v>
      </c>
      <c r="AD37" s="8" t="e">
        <f ca="1">MATCH($E37,OFFSET([4]Hoja1!$X$4,AC37-3,0,500-AC37,1),0)+AC37</f>
        <v>#VALUE!</v>
      </c>
      <c r="AE37" s="8" t="e">
        <f ca="1">MATCH($E37,OFFSET([4]Hoja1!$X$4,AD37-3,0,500-AD37,1),0)+AD37</f>
        <v>#VALUE!</v>
      </c>
      <c r="AF37" s="8" t="e">
        <f ca="1">MATCH($E37,OFFSET([4]Hoja1!$X$4,AE37-3,0,500-AE37,1),0)+AE37</f>
        <v>#VALUE!</v>
      </c>
      <c r="AG37" s="8" t="e">
        <f ca="1">MATCH($E37,OFFSET([4]Hoja1!$X$4,AF37-3,0,500-AF37,1),0)+AF37</f>
        <v>#VALUE!</v>
      </c>
      <c r="AH37" s="8" t="e">
        <f ca="1">MATCH($E37,OFFSET([4]Hoja1!$X$4,AG37-3,0,500-AG37,1),0)+AG37</f>
        <v>#VALUE!</v>
      </c>
      <c r="AI37" s="1" t="str">
        <f t="shared" ref="AI37:AI58" si="0">CONCATENATE("'[Archivo con planillas totales y estandarizadas.xlsx]Hoja1'!$F",S37)</f>
        <v>'[Archivo con planillas totales y estandarizadas.xlsx]Hoja1'!$F</v>
      </c>
      <c r="AJ37" s="1" t="str">
        <f t="shared" ref="AJ37:AJ58" si="1">CONCATENATE("'[Archivo con planillas totales y estandarizadas.xlsx]Hoja1'!$M",S37)</f>
        <v>'[Archivo con planillas totales y estandarizadas.xlsx]Hoja1'!$M</v>
      </c>
      <c r="AK37" s="9" t="e">
        <f t="shared" ref="AK37:AL58" ca="1" si="2">INDIRECT(AI37)</f>
        <v>#REF!</v>
      </c>
      <c r="AL37" s="1" t="e">
        <f t="shared" ca="1" si="2"/>
        <v>#REF!</v>
      </c>
      <c r="AM37" s="1" t="str">
        <f t="shared" ref="AM37:AM58" si="3">CONCATENATE("'[Archivo con planillas totales y estandarizadas.xlsx]Hoja1'!$F",T37)</f>
        <v>'[Archivo con planillas totales y estandarizadas.xlsx]Hoja1'!$F</v>
      </c>
      <c r="AN37" s="1" t="str">
        <f t="shared" ref="AN37:AN58" si="4">CONCATENATE("'[Archivo con planillas totales y estandarizadas.xlsx]Hoja1'!$M",T37)</f>
        <v>'[Archivo con planillas totales y estandarizadas.xlsx]Hoja1'!$M</v>
      </c>
      <c r="AO37" s="9" t="e">
        <f t="shared" ref="AO37:AP58" ca="1" si="5">INDIRECT(AM37)</f>
        <v>#REF!</v>
      </c>
      <c r="AP37" s="1" t="e">
        <f t="shared" ca="1" si="5"/>
        <v>#REF!</v>
      </c>
      <c r="AQ37" s="1" t="str">
        <f t="shared" ref="AQ37:AQ58" si="6">CONCATENATE("'[Archivo con planillas totales y estandarizadas.xlsx]Hoja1'!$F",U37)</f>
        <v>'[Archivo con planillas totales y estandarizadas.xlsx]Hoja1'!$F</v>
      </c>
      <c r="AR37" s="1" t="str">
        <f t="shared" ref="AR37:AR58" si="7">CONCATENATE("'[Archivo con planillas totales y estandarizadas.xlsx]Hoja1'!$M",U37)</f>
        <v>'[Archivo con planillas totales y estandarizadas.xlsx]Hoja1'!$M</v>
      </c>
      <c r="AS37" s="9" t="e">
        <f t="shared" ref="AS37:AT58" ca="1" si="8">INDIRECT(AQ37)</f>
        <v>#REF!</v>
      </c>
      <c r="AT37" s="1" t="e">
        <f t="shared" ca="1" si="8"/>
        <v>#REF!</v>
      </c>
      <c r="AU37" s="1" t="str">
        <f t="shared" ref="AU37:AU58" si="9">CONCATENATE("'[Archivo con planillas totales y estandarizadas.xlsx]Hoja1'!$F",V37)</f>
        <v>'[Archivo con planillas totales y estandarizadas.xlsx]Hoja1'!$F</v>
      </c>
      <c r="AV37" s="1" t="str">
        <f t="shared" ref="AV37:AV58" si="10">CONCATENATE("'[Archivo con planillas totales y estandarizadas.xlsx]Hoja1'!$M",V37)</f>
        <v>'[Archivo con planillas totales y estandarizadas.xlsx]Hoja1'!$M</v>
      </c>
      <c r="AW37" s="9" t="e">
        <f t="shared" ref="AW37:AX58" ca="1" si="11">INDIRECT(AU37)</f>
        <v>#REF!</v>
      </c>
      <c r="AX37" s="1" t="e">
        <f t="shared" ca="1" si="11"/>
        <v>#REF!</v>
      </c>
      <c r="AY37" s="1" t="e">
        <f t="shared" ref="AY37:AY58" ca="1" si="12">CONCATENATE("'[Archivo con planillas totales y estandarizadas.xlsx]Hoja1'!$F",W37)</f>
        <v>#VALUE!</v>
      </c>
      <c r="AZ37" s="1" t="e">
        <f t="shared" ref="AZ37:AZ58" ca="1" si="13">CONCATENATE("'[Archivo con planillas totales y estandarizadas.xlsx]Hoja1'!$M",W37)</f>
        <v>#VALUE!</v>
      </c>
      <c r="BA37" s="9" t="e">
        <f t="shared" ref="BA37:BB58" ca="1" si="14">INDIRECT(AY37)</f>
        <v>#VALUE!</v>
      </c>
      <c r="BB37" s="1" t="e">
        <f t="shared" ca="1" si="14"/>
        <v>#VALUE!</v>
      </c>
      <c r="BC37" s="1" t="e">
        <f t="shared" ref="BC37:BC58" ca="1" si="15">CONCATENATE("'[Archivo con planillas totales y estandarizadas.xlsx]Hoja1'!$F",X37)</f>
        <v>#VALUE!</v>
      </c>
      <c r="BD37" s="1" t="e">
        <f t="shared" ref="BD37:BD58" ca="1" si="16">CONCATENATE("'[Archivo con planillas totales y estandarizadas.xlsx]Hoja1'!$M",X37)</f>
        <v>#VALUE!</v>
      </c>
      <c r="BE37" s="9" t="e">
        <f t="shared" ref="BE37:BF58" ca="1" si="17">INDIRECT(BC37)</f>
        <v>#VALUE!</v>
      </c>
      <c r="BF37" s="1" t="e">
        <f t="shared" ca="1" si="17"/>
        <v>#VALUE!</v>
      </c>
      <c r="BG37" s="1" t="e">
        <f t="shared" ref="BG37:BG58" ca="1" si="18">CONCATENATE("'[Archivo con planillas totales y estandarizadas.xlsx]Hoja1'!$F",Y37)</f>
        <v>#VALUE!</v>
      </c>
      <c r="BH37" s="1" t="e">
        <f t="shared" ref="BH37:BH58" ca="1" si="19">CONCATENATE("'[Archivo con planillas totales y estandarizadas.xlsx]Hoja1'!$M",Y37)</f>
        <v>#VALUE!</v>
      </c>
      <c r="BI37" s="9" t="e">
        <f t="shared" ref="BI37:BJ58" ca="1" si="20">INDIRECT(BG37)</f>
        <v>#VALUE!</v>
      </c>
      <c r="BJ37" s="1" t="e">
        <f t="shared" ca="1" si="20"/>
        <v>#VALUE!</v>
      </c>
      <c r="BK37" s="1" t="e">
        <f t="shared" ref="BK37:BK58" ca="1" si="21">CONCATENATE("'[Archivo con planillas totales y estandarizadas.xlsx]Hoja1'!$F",Z37)</f>
        <v>#VALUE!</v>
      </c>
      <c r="BL37" s="1" t="e">
        <f t="shared" ref="BL37:BL58" ca="1" si="22">CONCATENATE("'[Archivo con planillas totales y estandarizadas.xlsx]Hoja1'!$M",Z37)</f>
        <v>#VALUE!</v>
      </c>
      <c r="BM37" s="9" t="e">
        <f t="shared" ref="BM37:BN58" ca="1" si="23">INDIRECT(BK37)</f>
        <v>#VALUE!</v>
      </c>
      <c r="BN37" s="1" t="e">
        <f t="shared" ca="1" si="23"/>
        <v>#VALUE!</v>
      </c>
      <c r="BO37" s="1" t="e">
        <f t="shared" ref="BO37:BO58" ca="1" si="24">CONCATENATE("'[Archivo con planillas totales y estandarizadas.xlsx]Hoja1'!$F",AA37)</f>
        <v>#VALUE!</v>
      </c>
      <c r="BP37" s="1" t="e">
        <f t="shared" ref="BP37:BP58" ca="1" si="25">CONCATENATE("'[Archivo con planillas totales y estandarizadas.xlsx]Hoja1'!$M",AA37)</f>
        <v>#VALUE!</v>
      </c>
      <c r="BQ37" s="9" t="e">
        <f t="shared" ref="BQ37:BR58" ca="1" si="26">INDIRECT(BO37)</f>
        <v>#VALUE!</v>
      </c>
      <c r="BR37" s="1" t="e">
        <f t="shared" ca="1" si="26"/>
        <v>#VALUE!</v>
      </c>
      <c r="BS37" s="1" t="e">
        <f t="shared" ref="BS37:BS58" ca="1" si="27">CONCATENATE("'[Archivo con planillas totales y estandarizadas.xlsx]Hoja1'!$F",AB37)</f>
        <v>#VALUE!</v>
      </c>
      <c r="BT37" s="1" t="e">
        <f t="shared" ref="BT37:BT58" ca="1" si="28">CONCATENATE("'[Archivo con planillas totales y estandarizadas.xlsx]Hoja1'!$M",AB37)</f>
        <v>#VALUE!</v>
      </c>
      <c r="BU37" s="9" t="e">
        <f t="shared" ref="BU37:BV58" ca="1" si="29">INDIRECT(BS37)</f>
        <v>#VALUE!</v>
      </c>
      <c r="BV37" s="1" t="e">
        <f t="shared" ca="1" si="29"/>
        <v>#VALUE!</v>
      </c>
      <c r="BW37" s="1" t="e">
        <f t="shared" ref="BW37:BW58" ca="1" si="30">CONCATENATE("'[Archivo con planillas totales y estandarizadas.xlsx]Hoja1'!$F",AC37)</f>
        <v>#VALUE!</v>
      </c>
      <c r="BX37" s="1" t="e">
        <f t="shared" ref="BX37:BX58" ca="1" si="31">CONCATENATE("'[Archivo con planillas totales y estandarizadas.xlsx]Hoja1'!$M",AC37)</f>
        <v>#VALUE!</v>
      </c>
      <c r="BY37" s="9" t="e">
        <f t="shared" ref="BY37:BZ58" ca="1" si="32">INDIRECT(BW37)</f>
        <v>#VALUE!</v>
      </c>
      <c r="BZ37" s="1" t="e">
        <f t="shared" ca="1" si="32"/>
        <v>#VALUE!</v>
      </c>
      <c r="CA37" s="1" t="e">
        <f t="shared" ref="CA37:CA58" ca="1" si="33">CONCATENATE("'[Archivo con planillas totales y estandarizadas.xlsx]Hoja1'!$F",AD37)</f>
        <v>#VALUE!</v>
      </c>
      <c r="CB37" s="1" t="e">
        <f t="shared" ref="CB37:CB58" ca="1" si="34">CONCATENATE("'[Archivo con planillas totales y estandarizadas.xlsx]Hoja1'!$M",AD37)</f>
        <v>#VALUE!</v>
      </c>
      <c r="CC37" s="9" t="e">
        <f t="shared" ref="CC37:CD58" ca="1" si="35">INDIRECT(CA37)</f>
        <v>#VALUE!</v>
      </c>
      <c r="CD37" s="1" t="e">
        <f t="shared" ca="1" si="35"/>
        <v>#VALUE!</v>
      </c>
      <c r="CE37" s="1" t="e">
        <f t="shared" ref="CE37:CE58" ca="1" si="36">CONCATENATE("'[Archivo con planillas totales y estandarizadas.xlsx]Hoja1'!$F",AE37)</f>
        <v>#VALUE!</v>
      </c>
      <c r="CF37" s="1" t="e">
        <f t="shared" ref="CF37:CF58" ca="1" si="37">CONCATENATE("'[Archivo con planillas totales y estandarizadas.xlsx]Hoja1'!$M",AE37)</f>
        <v>#VALUE!</v>
      </c>
      <c r="CG37" s="9" t="e">
        <f t="shared" ref="CG37:CH58" ca="1" si="38">INDIRECT(CE37)</f>
        <v>#VALUE!</v>
      </c>
      <c r="CH37" s="1" t="e">
        <f t="shared" ca="1" si="38"/>
        <v>#VALUE!</v>
      </c>
      <c r="CI37" s="1" t="e">
        <f t="shared" ref="CI37:CI58" ca="1" si="39">CONCATENATE("'[Archivo con planillas totales y estandarizadas.xlsx]Hoja1'!$F",AF37)</f>
        <v>#VALUE!</v>
      </c>
      <c r="CJ37" s="1" t="e">
        <f t="shared" ref="CJ37:CJ58" ca="1" si="40">CONCATENATE("'[Archivo con planillas totales y estandarizadas.xlsx]Hoja1'!$M",AF37)</f>
        <v>#VALUE!</v>
      </c>
      <c r="CK37" s="9" t="e">
        <f t="shared" ref="CK37:CL58" ca="1" si="41">INDIRECT(CI37)</f>
        <v>#VALUE!</v>
      </c>
      <c r="CL37" s="1" t="e">
        <f t="shared" ca="1" si="41"/>
        <v>#VALUE!</v>
      </c>
      <c r="CM37" s="1" t="e">
        <f t="shared" ref="CM37:CM58" ca="1" si="42">CONCATENATE("'[Archivo con planillas totales y estandarizadas.xlsx]Hoja1'!$F",AG37)</f>
        <v>#VALUE!</v>
      </c>
      <c r="CN37" s="1" t="e">
        <f t="shared" ref="CN37:CN58" ca="1" si="43">CONCATENATE("'[Archivo con planillas totales y estandarizadas.xlsx]Hoja1'!$M",AG37)</f>
        <v>#VALUE!</v>
      </c>
      <c r="CO37" s="9" t="e">
        <f t="shared" ref="CO37:CP58" ca="1" si="44">INDIRECT(CM37)</f>
        <v>#VALUE!</v>
      </c>
      <c r="CP37" s="1" t="e">
        <f t="shared" ca="1" si="44"/>
        <v>#VALUE!</v>
      </c>
      <c r="CQ37" s="1" t="e">
        <f t="shared" ref="CQ37:CQ58" ca="1" si="45">CONCATENATE("'[Archivo con planillas totales y estandarizadas.xlsx]Hoja1'!$F",AH37)</f>
        <v>#VALUE!</v>
      </c>
      <c r="CR37" s="1" t="e">
        <f t="shared" ref="CR37:CR58" ca="1" si="46">CONCATENATE("'[Archivo con planillas totales y estandarizadas.xlsx]Hoja1'!$M",AH37)</f>
        <v>#VALUE!</v>
      </c>
      <c r="CS37" s="9" t="e">
        <f t="shared" ref="CS37:CT58" ca="1" si="47">INDIRECT(CQ37)</f>
        <v>#VALUE!</v>
      </c>
      <c r="CT37" s="1" t="e">
        <f t="shared" ca="1" si="47"/>
        <v>#VALUE!</v>
      </c>
    </row>
    <row r="38" spans="1:98" x14ac:dyDescent="0.25">
      <c r="S38" s="8"/>
      <c r="T38" s="8"/>
      <c r="U38" s="8"/>
      <c r="V38" s="8"/>
      <c r="W38" s="8" t="e">
        <f ca="1">MATCH($E38,OFFSET([4]Hoja1!$X$4,V38-3,0,500-V38,1),0)+V38</f>
        <v>#VALUE!</v>
      </c>
      <c r="X38" s="8" t="e">
        <f ca="1">MATCH($E38,OFFSET([4]Hoja1!$X$4,W38-3,0,500-W38,1),0)+W38</f>
        <v>#VALUE!</v>
      </c>
      <c r="Y38" s="8" t="e">
        <f ca="1">MATCH($E38,OFFSET([4]Hoja1!$X$4,X38-3,0,500-X38,1),0)+X38</f>
        <v>#VALUE!</v>
      </c>
      <c r="Z38" s="8" t="e">
        <f ca="1">MATCH($E38,OFFSET([4]Hoja1!$X$4,Y38-3,0,500-Y38,1),0)+Y38</f>
        <v>#VALUE!</v>
      </c>
      <c r="AA38" s="8" t="e">
        <f ca="1">MATCH($E38,OFFSET([4]Hoja1!$X$4,Z38-3,0,500-Z38,1),0)+Z38</f>
        <v>#VALUE!</v>
      </c>
      <c r="AB38" s="8" t="e">
        <f ca="1">MATCH($E38,OFFSET([4]Hoja1!$X$4,AA38-3,0,500-AA38,1),0)+AA38</f>
        <v>#VALUE!</v>
      </c>
      <c r="AC38" s="8" t="e">
        <f ca="1">MATCH($E38,OFFSET([4]Hoja1!$X$4,AB38-3,0,500-AB38,1),0)+AB38</f>
        <v>#VALUE!</v>
      </c>
      <c r="AD38" s="8" t="e">
        <f ca="1">MATCH($E38,OFFSET([4]Hoja1!$X$4,AC38-3,0,500-AC38,1),0)+AC38</f>
        <v>#VALUE!</v>
      </c>
      <c r="AE38" s="8" t="e">
        <f ca="1">MATCH($E38,OFFSET([4]Hoja1!$X$4,AD38-3,0,500-AD38,1),0)+AD38</f>
        <v>#VALUE!</v>
      </c>
      <c r="AF38" s="8" t="e">
        <f ca="1">MATCH($E38,OFFSET([4]Hoja1!$X$4,AE38-3,0,500-AE38,1),0)+AE38</f>
        <v>#VALUE!</v>
      </c>
      <c r="AG38" s="8" t="e">
        <f ca="1">MATCH($E38,OFFSET([4]Hoja1!$X$4,AF38-3,0,500-AF38,1),0)+AF38</f>
        <v>#VALUE!</v>
      </c>
      <c r="AH38" s="8" t="e">
        <f ca="1">MATCH($E38,OFFSET([4]Hoja1!$X$4,AG38-3,0,500-AG38,1),0)+AG38</f>
        <v>#VALUE!</v>
      </c>
      <c r="AI38" s="1" t="str">
        <f t="shared" si="0"/>
        <v>'[Archivo con planillas totales y estandarizadas.xlsx]Hoja1'!$F</v>
      </c>
      <c r="AJ38" s="1" t="str">
        <f t="shared" si="1"/>
        <v>'[Archivo con planillas totales y estandarizadas.xlsx]Hoja1'!$M</v>
      </c>
      <c r="AK38" s="9" t="e">
        <f t="shared" ca="1" si="2"/>
        <v>#REF!</v>
      </c>
      <c r="AL38" s="1" t="e">
        <f t="shared" ca="1" si="2"/>
        <v>#REF!</v>
      </c>
      <c r="AM38" s="1" t="str">
        <f t="shared" si="3"/>
        <v>'[Archivo con planillas totales y estandarizadas.xlsx]Hoja1'!$F</v>
      </c>
      <c r="AN38" s="1" t="str">
        <f t="shared" si="4"/>
        <v>'[Archivo con planillas totales y estandarizadas.xlsx]Hoja1'!$M</v>
      </c>
      <c r="AO38" s="9" t="e">
        <f t="shared" ca="1" si="5"/>
        <v>#REF!</v>
      </c>
      <c r="AP38" s="1" t="e">
        <f t="shared" ca="1" si="5"/>
        <v>#REF!</v>
      </c>
      <c r="AQ38" s="1" t="str">
        <f t="shared" si="6"/>
        <v>'[Archivo con planillas totales y estandarizadas.xlsx]Hoja1'!$F</v>
      </c>
      <c r="AR38" s="1" t="str">
        <f t="shared" si="7"/>
        <v>'[Archivo con planillas totales y estandarizadas.xlsx]Hoja1'!$M</v>
      </c>
      <c r="AS38" s="9" t="e">
        <f t="shared" ca="1" si="8"/>
        <v>#REF!</v>
      </c>
      <c r="AT38" s="1" t="e">
        <f t="shared" ca="1" si="8"/>
        <v>#REF!</v>
      </c>
      <c r="AU38" s="1" t="str">
        <f t="shared" si="9"/>
        <v>'[Archivo con planillas totales y estandarizadas.xlsx]Hoja1'!$F</v>
      </c>
      <c r="AV38" s="1" t="str">
        <f t="shared" si="10"/>
        <v>'[Archivo con planillas totales y estandarizadas.xlsx]Hoja1'!$M</v>
      </c>
      <c r="AW38" s="9" t="e">
        <f t="shared" ca="1" si="11"/>
        <v>#REF!</v>
      </c>
      <c r="AX38" s="1" t="e">
        <f t="shared" ca="1" si="11"/>
        <v>#REF!</v>
      </c>
      <c r="AY38" s="1" t="e">
        <f t="shared" ca="1" si="12"/>
        <v>#VALUE!</v>
      </c>
      <c r="AZ38" s="1" t="e">
        <f t="shared" ca="1" si="13"/>
        <v>#VALUE!</v>
      </c>
      <c r="BA38" s="9" t="e">
        <f t="shared" ca="1" si="14"/>
        <v>#VALUE!</v>
      </c>
      <c r="BB38" s="1" t="e">
        <f t="shared" ca="1" si="14"/>
        <v>#VALUE!</v>
      </c>
      <c r="BC38" s="1" t="e">
        <f t="shared" ca="1" si="15"/>
        <v>#VALUE!</v>
      </c>
      <c r="BD38" s="1" t="e">
        <f t="shared" ca="1" si="16"/>
        <v>#VALUE!</v>
      </c>
      <c r="BE38" s="9" t="e">
        <f t="shared" ca="1" si="17"/>
        <v>#VALUE!</v>
      </c>
      <c r="BF38" s="1" t="e">
        <f t="shared" ca="1" si="17"/>
        <v>#VALUE!</v>
      </c>
      <c r="BG38" s="1" t="e">
        <f t="shared" ca="1" si="18"/>
        <v>#VALUE!</v>
      </c>
      <c r="BH38" s="1" t="e">
        <f t="shared" ca="1" si="19"/>
        <v>#VALUE!</v>
      </c>
      <c r="BI38" s="9" t="e">
        <f t="shared" ca="1" si="20"/>
        <v>#VALUE!</v>
      </c>
      <c r="BJ38" s="1" t="e">
        <f t="shared" ca="1" si="20"/>
        <v>#VALUE!</v>
      </c>
      <c r="BK38" s="1" t="e">
        <f t="shared" ca="1" si="21"/>
        <v>#VALUE!</v>
      </c>
      <c r="BL38" s="1" t="e">
        <f t="shared" ca="1" si="22"/>
        <v>#VALUE!</v>
      </c>
      <c r="BM38" s="9" t="e">
        <f t="shared" ca="1" si="23"/>
        <v>#VALUE!</v>
      </c>
      <c r="BN38" s="1" t="e">
        <f t="shared" ca="1" si="23"/>
        <v>#VALUE!</v>
      </c>
      <c r="BO38" s="1" t="e">
        <f t="shared" ca="1" si="24"/>
        <v>#VALUE!</v>
      </c>
      <c r="BP38" s="1" t="e">
        <f t="shared" ca="1" si="25"/>
        <v>#VALUE!</v>
      </c>
      <c r="BQ38" s="9" t="e">
        <f t="shared" ca="1" si="26"/>
        <v>#VALUE!</v>
      </c>
      <c r="BR38" s="1" t="e">
        <f t="shared" ca="1" si="26"/>
        <v>#VALUE!</v>
      </c>
      <c r="BS38" s="1" t="e">
        <f t="shared" ca="1" si="27"/>
        <v>#VALUE!</v>
      </c>
      <c r="BT38" s="1" t="e">
        <f t="shared" ca="1" si="28"/>
        <v>#VALUE!</v>
      </c>
      <c r="BU38" s="9" t="e">
        <f t="shared" ca="1" si="29"/>
        <v>#VALUE!</v>
      </c>
      <c r="BV38" s="1" t="e">
        <f t="shared" ca="1" si="29"/>
        <v>#VALUE!</v>
      </c>
      <c r="BW38" s="1" t="e">
        <f t="shared" ca="1" si="30"/>
        <v>#VALUE!</v>
      </c>
      <c r="BX38" s="1" t="e">
        <f t="shared" ca="1" si="31"/>
        <v>#VALUE!</v>
      </c>
      <c r="BY38" s="9" t="e">
        <f t="shared" ca="1" si="32"/>
        <v>#VALUE!</v>
      </c>
      <c r="BZ38" s="1" t="e">
        <f t="shared" ca="1" si="32"/>
        <v>#VALUE!</v>
      </c>
      <c r="CA38" s="1" t="e">
        <f t="shared" ca="1" si="33"/>
        <v>#VALUE!</v>
      </c>
      <c r="CB38" s="1" t="e">
        <f t="shared" ca="1" si="34"/>
        <v>#VALUE!</v>
      </c>
      <c r="CC38" s="9" t="e">
        <f t="shared" ca="1" si="35"/>
        <v>#VALUE!</v>
      </c>
      <c r="CD38" s="1" t="e">
        <f t="shared" ca="1" si="35"/>
        <v>#VALUE!</v>
      </c>
      <c r="CE38" s="1" t="e">
        <f t="shared" ca="1" si="36"/>
        <v>#VALUE!</v>
      </c>
      <c r="CF38" s="1" t="e">
        <f t="shared" ca="1" si="37"/>
        <v>#VALUE!</v>
      </c>
      <c r="CG38" s="9" t="e">
        <f t="shared" ca="1" si="38"/>
        <v>#VALUE!</v>
      </c>
      <c r="CH38" s="1" t="e">
        <f t="shared" ca="1" si="38"/>
        <v>#VALUE!</v>
      </c>
      <c r="CI38" s="1" t="e">
        <f t="shared" ca="1" si="39"/>
        <v>#VALUE!</v>
      </c>
      <c r="CJ38" s="1" t="e">
        <f t="shared" ca="1" si="40"/>
        <v>#VALUE!</v>
      </c>
      <c r="CK38" s="9" t="e">
        <f t="shared" ca="1" si="41"/>
        <v>#VALUE!</v>
      </c>
      <c r="CL38" s="1" t="e">
        <f t="shared" ca="1" si="41"/>
        <v>#VALUE!</v>
      </c>
      <c r="CM38" s="1" t="e">
        <f t="shared" ca="1" si="42"/>
        <v>#VALUE!</v>
      </c>
      <c r="CN38" s="1" t="e">
        <f t="shared" ca="1" si="43"/>
        <v>#VALUE!</v>
      </c>
      <c r="CO38" s="9" t="e">
        <f t="shared" ca="1" si="44"/>
        <v>#VALUE!</v>
      </c>
      <c r="CP38" s="1" t="e">
        <f t="shared" ca="1" si="44"/>
        <v>#VALUE!</v>
      </c>
      <c r="CQ38" s="1" t="e">
        <f t="shared" ca="1" si="45"/>
        <v>#VALUE!</v>
      </c>
      <c r="CR38" s="1" t="e">
        <f t="shared" ca="1" si="46"/>
        <v>#VALUE!</v>
      </c>
      <c r="CS38" s="9" t="e">
        <f t="shared" ca="1" si="47"/>
        <v>#VALUE!</v>
      </c>
      <c r="CT38" s="1" t="e">
        <f t="shared" ca="1" si="47"/>
        <v>#VALUE!</v>
      </c>
    </row>
    <row r="39" spans="1:98" x14ac:dyDescent="0.25">
      <c r="S39" s="8"/>
      <c r="T39" s="8"/>
      <c r="U39" s="8"/>
      <c r="V39" s="8"/>
      <c r="W39" s="8" t="e">
        <f ca="1">MATCH($E39,OFFSET([4]Hoja1!$X$4,V39-3,0,500-V39,1),0)+V39</f>
        <v>#VALUE!</v>
      </c>
      <c r="X39" s="8" t="e">
        <f ca="1">MATCH($E39,OFFSET([4]Hoja1!$X$4,W39-3,0,500-W39,1),0)+W39</f>
        <v>#VALUE!</v>
      </c>
      <c r="Y39" s="8" t="e">
        <f ca="1">MATCH($E39,OFFSET([4]Hoja1!$X$4,X39-3,0,500-X39,1),0)+X39</f>
        <v>#VALUE!</v>
      </c>
      <c r="Z39" s="8" t="e">
        <f ca="1">MATCH($E39,OFFSET([4]Hoja1!$X$4,Y39-3,0,500-Y39,1),0)+Y39</f>
        <v>#VALUE!</v>
      </c>
      <c r="AA39" s="8" t="e">
        <f ca="1">MATCH($E39,OFFSET([4]Hoja1!$X$4,Z39-3,0,500-Z39,1),0)+Z39</f>
        <v>#VALUE!</v>
      </c>
      <c r="AB39" s="8" t="e">
        <f ca="1">MATCH($E39,OFFSET([4]Hoja1!$X$4,AA39-3,0,500-AA39,1),0)+AA39</f>
        <v>#VALUE!</v>
      </c>
      <c r="AC39" s="8" t="e">
        <f ca="1">MATCH($E39,OFFSET([4]Hoja1!$X$4,AB39-3,0,500-AB39,1),0)+AB39</f>
        <v>#VALUE!</v>
      </c>
      <c r="AD39" s="8" t="e">
        <f ca="1">MATCH($E39,OFFSET([4]Hoja1!$X$4,AC39-3,0,500-AC39,1),0)+AC39</f>
        <v>#VALUE!</v>
      </c>
      <c r="AE39" s="8" t="e">
        <f ca="1">MATCH($E39,OFFSET([4]Hoja1!$X$4,AD39-3,0,500-AD39,1),0)+AD39</f>
        <v>#VALUE!</v>
      </c>
      <c r="AF39" s="8" t="e">
        <f ca="1">MATCH($E39,OFFSET([4]Hoja1!$X$4,AE39-3,0,500-AE39,1),0)+AE39</f>
        <v>#VALUE!</v>
      </c>
      <c r="AG39" s="8" t="e">
        <f ca="1">MATCH($E39,OFFSET([4]Hoja1!$X$4,AF39-3,0,500-AF39,1),0)+AF39</f>
        <v>#VALUE!</v>
      </c>
      <c r="AH39" s="8" t="e">
        <f ca="1">MATCH($E39,OFFSET([4]Hoja1!$X$4,AG39-3,0,500-AG39,1),0)+AG39</f>
        <v>#VALUE!</v>
      </c>
      <c r="AI39" s="1" t="str">
        <f t="shared" si="0"/>
        <v>'[Archivo con planillas totales y estandarizadas.xlsx]Hoja1'!$F</v>
      </c>
      <c r="AJ39" s="1" t="str">
        <f t="shared" si="1"/>
        <v>'[Archivo con planillas totales y estandarizadas.xlsx]Hoja1'!$M</v>
      </c>
      <c r="AK39" s="9" t="e">
        <f t="shared" ca="1" si="2"/>
        <v>#REF!</v>
      </c>
      <c r="AL39" s="1" t="e">
        <f t="shared" ca="1" si="2"/>
        <v>#REF!</v>
      </c>
      <c r="AM39" s="1" t="str">
        <f t="shared" si="3"/>
        <v>'[Archivo con planillas totales y estandarizadas.xlsx]Hoja1'!$F</v>
      </c>
      <c r="AN39" s="1" t="str">
        <f t="shared" si="4"/>
        <v>'[Archivo con planillas totales y estandarizadas.xlsx]Hoja1'!$M</v>
      </c>
      <c r="AO39" s="9" t="e">
        <f t="shared" ca="1" si="5"/>
        <v>#REF!</v>
      </c>
      <c r="AP39" s="1" t="e">
        <f t="shared" ca="1" si="5"/>
        <v>#REF!</v>
      </c>
      <c r="AQ39" s="1" t="str">
        <f t="shared" si="6"/>
        <v>'[Archivo con planillas totales y estandarizadas.xlsx]Hoja1'!$F</v>
      </c>
      <c r="AR39" s="1" t="str">
        <f t="shared" si="7"/>
        <v>'[Archivo con planillas totales y estandarizadas.xlsx]Hoja1'!$M</v>
      </c>
      <c r="AS39" s="9" t="e">
        <f t="shared" ca="1" si="8"/>
        <v>#REF!</v>
      </c>
      <c r="AT39" s="1" t="e">
        <f t="shared" ca="1" si="8"/>
        <v>#REF!</v>
      </c>
      <c r="AU39" s="1" t="str">
        <f t="shared" si="9"/>
        <v>'[Archivo con planillas totales y estandarizadas.xlsx]Hoja1'!$F</v>
      </c>
      <c r="AV39" s="1" t="str">
        <f t="shared" si="10"/>
        <v>'[Archivo con planillas totales y estandarizadas.xlsx]Hoja1'!$M</v>
      </c>
      <c r="AW39" s="9" t="e">
        <f t="shared" ca="1" si="11"/>
        <v>#REF!</v>
      </c>
      <c r="AX39" s="1" t="e">
        <f t="shared" ca="1" si="11"/>
        <v>#REF!</v>
      </c>
      <c r="AY39" s="1" t="e">
        <f t="shared" ca="1" si="12"/>
        <v>#VALUE!</v>
      </c>
      <c r="AZ39" s="1" t="e">
        <f t="shared" ca="1" si="13"/>
        <v>#VALUE!</v>
      </c>
      <c r="BA39" s="9" t="e">
        <f t="shared" ca="1" si="14"/>
        <v>#VALUE!</v>
      </c>
      <c r="BB39" s="1" t="e">
        <f t="shared" ca="1" si="14"/>
        <v>#VALUE!</v>
      </c>
      <c r="BC39" s="1" t="e">
        <f t="shared" ca="1" si="15"/>
        <v>#VALUE!</v>
      </c>
      <c r="BD39" s="1" t="e">
        <f t="shared" ca="1" si="16"/>
        <v>#VALUE!</v>
      </c>
      <c r="BE39" s="9" t="e">
        <f t="shared" ca="1" si="17"/>
        <v>#VALUE!</v>
      </c>
      <c r="BF39" s="1" t="e">
        <f t="shared" ca="1" si="17"/>
        <v>#VALUE!</v>
      </c>
      <c r="BG39" s="1" t="e">
        <f t="shared" ca="1" si="18"/>
        <v>#VALUE!</v>
      </c>
      <c r="BH39" s="1" t="e">
        <f t="shared" ca="1" si="19"/>
        <v>#VALUE!</v>
      </c>
      <c r="BI39" s="9" t="e">
        <f t="shared" ca="1" si="20"/>
        <v>#VALUE!</v>
      </c>
      <c r="BJ39" s="1" t="e">
        <f t="shared" ca="1" si="20"/>
        <v>#VALUE!</v>
      </c>
      <c r="BK39" s="1" t="e">
        <f t="shared" ca="1" si="21"/>
        <v>#VALUE!</v>
      </c>
      <c r="BL39" s="1" t="e">
        <f t="shared" ca="1" si="22"/>
        <v>#VALUE!</v>
      </c>
      <c r="BM39" s="9" t="e">
        <f t="shared" ca="1" si="23"/>
        <v>#VALUE!</v>
      </c>
      <c r="BN39" s="1" t="e">
        <f t="shared" ca="1" si="23"/>
        <v>#VALUE!</v>
      </c>
      <c r="BO39" s="1" t="e">
        <f t="shared" ca="1" si="24"/>
        <v>#VALUE!</v>
      </c>
      <c r="BP39" s="1" t="e">
        <f t="shared" ca="1" si="25"/>
        <v>#VALUE!</v>
      </c>
      <c r="BQ39" s="9" t="e">
        <f t="shared" ca="1" si="26"/>
        <v>#VALUE!</v>
      </c>
      <c r="BR39" s="1" t="e">
        <f t="shared" ca="1" si="26"/>
        <v>#VALUE!</v>
      </c>
      <c r="BS39" s="1" t="e">
        <f t="shared" ca="1" si="27"/>
        <v>#VALUE!</v>
      </c>
      <c r="BT39" s="1" t="e">
        <f t="shared" ca="1" si="28"/>
        <v>#VALUE!</v>
      </c>
      <c r="BU39" s="9" t="e">
        <f t="shared" ca="1" si="29"/>
        <v>#VALUE!</v>
      </c>
      <c r="BV39" s="1" t="e">
        <f t="shared" ca="1" si="29"/>
        <v>#VALUE!</v>
      </c>
      <c r="BW39" s="1" t="e">
        <f t="shared" ca="1" si="30"/>
        <v>#VALUE!</v>
      </c>
      <c r="BX39" s="1" t="e">
        <f t="shared" ca="1" si="31"/>
        <v>#VALUE!</v>
      </c>
      <c r="BY39" s="9" t="e">
        <f t="shared" ca="1" si="32"/>
        <v>#VALUE!</v>
      </c>
      <c r="BZ39" s="1" t="e">
        <f t="shared" ca="1" si="32"/>
        <v>#VALUE!</v>
      </c>
      <c r="CA39" s="1" t="e">
        <f t="shared" ca="1" si="33"/>
        <v>#VALUE!</v>
      </c>
      <c r="CB39" s="1" t="e">
        <f t="shared" ca="1" si="34"/>
        <v>#VALUE!</v>
      </c>
      <c r="CC39" s="9" t="e">
        <f t="shared" ca="1" si="35"/>
        <v>#VALUE!</v>
      </c>
      <c r="CD39" s="1" t="e">
        <f t="shared" ca="1" si="35"/>
        <v>#VALUE!</v>
      </c>
      <c r="CE39" s="1" t="e">
        <f t="shared" ca="1" si="36"/>
        <v>#VALUE!</v>
      </c>
      <c r="CF39" s="1" t="e">
        <f t="shared" ca="1" si="37"/>
        <v>#VALUE!</v>
      </c>
      <c r="CG39" s="9" t="e">
        <f t="shared" ca="1" si="38"/>
        <v>#VALUE!</v>
      </c>
      <c r="CH39" s="1" t="e">
        <f t="shared" ca="1" si="38"/>
        <v>#VALUE!</v>
      </c>
      <c r="CI39" s="1" t="e">
        <f t="shared" ca="1" si="39"/>
        <v>#VALUE!</v>
      </c>
      <c r="CJ39" s="1" t="e">
        <f t="shared" ca="1" si="40"/>
        <v>#VALUE!</v>
      </c>
      <c r="CK39" s="9" t="e">
        <f t="shared" ca="1" si="41"/>
        <v>#VALUE!</v>
      </c>
      <c r="CL39" s="1" t="e">
        <f t="shared" ca="1" si="41"/>
        <v>#VALUE!</v>
      </c>
      <c r="CM39" s="1" t="e">
        <f t="shared" ca="1" si="42"/>
        <v>#VALUE!</v>
      </c>
      <c r="CN39" s="1" t="e">
        <f t="shared" ca="1" si="43"/>
        <v>#VALUE!</v>
      </c>
      <c r="CO39" s="9" t="e">
        <f t="shared" ca="1" si="44"/>
        <v>#VALUE!</v>
      </c>
      <c r="CP39" s="1" t="e">
        <f t="shared" ca="1" si="44"/>
        <v>#VALUE!</v>
      </c>
      <c r="CQ39" s="1" t="e">
        <f t="shared" ca="1" si="45"/>
        <v>#VALUE!</v>
      </c>
      <c r="CR39" s="1" t="e">
        <f t="shared" ca="1" si="46"/>
        <v>#VALUE!</v>
      </c>
      <c r="CS39" s="9" t="e">
        <f t="shared" ca="1" si="47"/>
        <v>#VALUE!</v>
      </c>
      <c r="CT39" s="1" t="e">
        <f t="shared" ca="1" si="47"/>
        <v>#VALUE!</v>
      </c>
    </row>
    <row r="40" spans="1:98" x14ac:dyDescent="0.25">
      <c r="S40" s="8"/>
      <c r="T40" s="8"/>
      <c r="U40" s="8"/>
      <c r="V40" s="8"/>
      <c r="W40" s="8" t="e">
        <f ca="1">MATCH($E40,OFFSET([4]Hoja1!$X$4,V40-3,0,500-V40,1),0)+V40</f>
        <v>#VALUE!</v>
      </c>
      <c r="X40" s="8" t="e">
        <f ca="1">MATCH($E40,OFFSET([4]Hoja1!$X$4,W40-3,0,500-W40,1),0)+W40</f>
        <v>#VALUE!</v>
      </c>
      <c r="Y40" s="8" t="e">
        <f ca="1">MATCH($E40,OFFSET([4]Hoja1!$X$4,X40-3,0,500-X40,1),0)+X40</f>
        <v>#VALUE!</v>
      </c>
      <c r="Z40" s="8" t="e">
        <f ca="1">MATCH($E40,OFFSET([4]Hoja1!$X$4,Y40-3,0,500-Y40,1),0)+Y40</f>
        <v>#VALUE!</v>
      </c>
      <c r="AA40" s="8" t="e">
        <f ca="1">MATCH($E40,OFFSET([4]Hoja1!$X$4,Z40-3,0,500-Z40,1),0)+Z40</f>
        <v>#VALUE!</v>
      </c>
      <c r="AB40" s="8" t="e">
        <f ca="1">MATCH($E40,OFFSET([4]Hoja1!$X$4,AA40-3,0,500-AA40,1),0)+AA40</f>
        <v>#VALUE!</v>
      </c>
      <c r="AC40" s="8" t="e">
        <f ca="1">MATCH($E40,OFFSET([4]Hoja1!$X$4,AB40-3,0,500-AB40,1),0)+AB40</f>
        <v>#VALUE!</v>
      </c>
      <c r="AD40" s="8" t="e">
        <f ca="1">MATCH($E40,OFFSET([4]Hoja1!$X$4,AC40-3,0,500-AC40,1),0)+AC40</f>
        <v>#VALUE!</v>
      </c>
      <c r="AE40" s="8" t="e">
        <f ca="1">MATCH($E40,OFFSET([4]Hoja1!$X$4,AD40-3,0,500-AD40,1),0)+AD40</f>
        <v>#VALUE!</v>
      </c>
      <c r="AF40" s="8" t="e">
        <f ca="1">MATCH($E40,OFFSET([4]Hoja1!$X$4,AE40-3,0,500-AE40,1),0)+AE40</f>
        <v>#VALUE!</v>
      </c>
      <c r="AG40" s="8" t="e">
        <f ca="1">MATCH($E40,OFFSET([4]Hoja1!$X$4,AF40-3,0,500-AF40,1),0)+AF40</f>
        <v>#VALUE!</v>
      </c>
      <c r="AH40" s="8" t="e">
        <f ca="1">MATCH($E40,OFFSET([4]Hoja1!$X$4,AG40-3,0,500-AG40,1),0)+AG40</f>
        <v>#VALUE!</v>
      </c>
      <c r="AI40" s="1" t="str">
        <f t="shared" si="0"/>
        <v>'[Archivo con planillas totales y estandarizadas.xlsx]Hoja1'!$F</v>
      </c>
      <c r="AJ40" s="1" t="str">
        <f t="shared" si="1"/>
        <v>'[Archivo con planillas totales y estandarizadas.xlsx]Hoja1'!$M</v>
      </c>
      <c r="AK40" s="9" t="e">
        <f t="shared" ca="1" si="2"/>
        <v>#REF!</v>
      </c>
      <c r="AL40" s="1" t="e">
        <f t="shared" ca="1" si="2"/>
        <v>#REF!</v>
      </c>
      <c r="AM40" s="1" t="str">
        <f t="shared" si="3"/>
        <v>'[Archivo con planillas totales y estandarizadas.xlsx]Hoja1'!$F</v>
      </c>
      <c r="AN40" s="1" t="str">
        <f t="shared" si="4"/>
        <v>'[Archivo con planillas totales y estandarizadas.xlsx]Hoja1'!$M</v>
      </c>
      <c r="AO40" s="9" t="e">
        <f t="shared" ca="1" si="5"/>
        <v>#REF!</v>
      </c>
      <c r="AP40" s="1" t="e">
        <f t="shared" ca="1" si="5"/>
        <v>#REF!</v>
      </c>
      <c r="AQ40" s="1" t="str">
        <f t="shared" si="6"/>
        <v>'[Archivo con planillas totales y estandarizadas.xlsx]Hoja1'!$F</v>
      </c>
      <c r="AR40" s="1" t="str">
        <f t="shared" si="7"/>
        <v>'[Archivo con planillas totales y estandarizadas.xlsx]Hoja1'!$M</v>
      </c>
      <c r="AS40" s="9" t="e">
        <f t="shared" ca="1" si="8"/>
        <v>#REF!</v>
      </c>
      <c r="AT40" s="1" t="e">
        <f t="shared" ca="1" si="8"/>
        <v>#REF!</v>
      </c>
      <c r="AU40" s="1" t="str">
        <f t="shared" si="9"/>
        <v>'[Archivo con planillas totales y estandarizadas.xlsx]Hoja1'!$F</v>
      </c>
      <c r="AV40" s="1" t="str">
        <f t="shared" si="10"/>
        <v>'[Archivo con planillas totales y estandarizadas.xlsx]Hoja1'!$M</v>
      </c>
      <c r="AW40" s="9" t="e">
        <f t="shared" ca="1" si="11"/>
        <v>#REF!</v>
      </c>
      <c r="AX40" s="1" t="e">
        <f t="shared" ca="1" si="11"/>
        <v>#REF!</v>
      </c>
      <c r="AY40" s="1" t="e">
        <f t="shared" ca="1" si="12"/>
        <v>#VALUE!</v>
      </c>
      <c r="AZ40" s="1" t="e">
        <f t="shared" ca="1" si="13"/>
        <v>#VALUE!</v>
      </c>
      <c r="BA40" s="9" t="e">
        <f t="shared" ca="1" si="14"/>
        <v>#VALUE!</v>
      </c>
      <c r="BB40" s="1" t="e">
        <f t="shared" ca="1" si="14"/>
        <v>#VALUE!</v>
      </c>
      <c r="BC40" s="1" t="e">
        <f t="shared" ca="1" si="15"/>
        <v>#VALUE!</v>
      </c>
      <c r="BD40" s="1" t="e">
        <f t="shared" ca="1" si="16"/>
        <v>#VALUE!</v>
      </c>
      <c r="BE40" s="9" t="e">
        <f t="shared" ca="1" si="17"/>
        <v>#VALUE!</v>
      </c>
      <c r="BF40" s="1" t="e">
        <f t="shared" ca="1" si="17"/>
        <v>#VALUE!</v>
      </c>
      <c r="BG40" s="1" t="e">
        <f t="shared" ca="1" si="18"/>
        <v>#VALUE!</v>
      </c>
      <c r="BH40" s="1" t="e">
        <f t="shared" ca="1" si="19"/>
        <v>#VALUE!</v>
      </c>
      <c r="BI40" s="9" t="e">
        <f t="shared" ca="1" si="20"/>
        <v>#VALUE!</v>
      </c>
      <c r="BJ40" s="1" t="e">
        <f t="shared" ca="1" si="20"/>
        <v>#VALUE!</v>
      </c>
      <c r="BK40" s="1" t="e">
        <f t="shared" ca="1" si="21"/>
        <v>#VALUE!</v>
      </c>
      <c r="BL40" s="1" t="e">
        <f t="shared" ca="1" si="22"/>
        <v>#VALUE!</v>
      </c>
      <c r="BM40" s="9" t="e">
        <f t="shared" ca="1" si="23"/>
        <v>#VALUE!</v>
      </c>
      <c r="BN40" s="1" t="e">
        <f t="shared" ca="1" si="23"/>
        <v>#VALUE!</v>
      </c>
      <c r="BO40" s="1" t="e">
        <f t="shared" ca="1" si="24"/>
        <v>#VALUE!</v>
      </c>
      <c r="BP40" s="1" t="e">
        <f t="shared" ca="1" si="25"/>
        <v>#VALUE!</v>
      </c>
      <c r="BQ40" s="9" t="e">
        <f t="shared" ca="1" si="26"/>
        <v>#VALUE!</v>
      </c>
      <c r="BR40" s="1" t="e">
        <f t="shared" ca="1" si="26"/>
        <v>#VALUE!</v>
      </c>
      <c r="BS40" s="1" t="e">
        <f t="shared" ca="1" si="27"/>
        <v>#VALUE!</v>
      </c>
      <c r="BT40" s="1" t="e">
        <f t="shared" ca="1" si="28"/>
        <v>#VALUE!</v>
      </c>
      <c r="BU40" s="9" t="e">
        <f t="shared" ca="1" si="29"/>
        <v>#VALUE!</v>
      </c>
      <c r="BV40" s="1" t="e">
        <f t="shared" ca="1" si="29"/>
        <v>#VALUE!</v>
      </c>
      <c r="BW40" s="1" t="e">
        <f t="shared" ca="1" si="30"/>
        <v>#VALUE!</v>
      </c>
      <c r="BX40" s="1" t="e">
        <f t="shared" ca="1" si="31"/>
        <v>#VALUE!</v>
      </c>
      <c r="BY40" s="9" t="e">
        <f t="shared" ca="1" si="32"/>
        <v>#VALUE!</v>
      </c>
      <c r="BZ40" s="1" t="e">
        <f t="shared" ca="1" si="32"/>
        <v>#VALUE!</v>
      </c>
      <c r="CA40" s="1" t="e">
        <f t="shared" ca="1" si="33"/>
        <v>#VALUE!</v>
      </c>
      <c r="CB40" s="1" t="e">
        <f t="shared" ca="1" si="34"/>
        <v>#VALUE!</v>
      </c>
      <c r="CC40" s="9" t="e">
        <f t="shared" ca="1" si="35"/>
        <v>#VALUE!</v>
      </c>
      <c r="CD40" s="1" t="e">
        <f t="shared" ca="1" si="35"/>
        <v>#VALUE!</v>
      </c>
      <c r="CE40" s="1" t="e">
        <f t="shared" ca="1" si="36"/>
        <v>#VALUE!</v>
      </c>
      <c r="CF40" s="1" t="e">
        <f t="shared" ca="1" si="37"/>
        <v>#VALUE!</v>
      </c>
      <c r="CG40" s="9" t="e">
        <f t="shared" ca="1" si="38"/>
        <v>#VALUE!</v>
      </c>
      <c r="CH40" s="1" t="e">
        <f t="shared" ca="1" si="38"/>
        <v>#VALUE!</v>
      </c>
      <c r="CI40" s="1" t="e">
        <f t="shared" ca="1" si="39"/>
        <v>#VALUE!</v>
      </c>
      <c r="CJ40" s="1" t="e">
        <f t="shared" ca="1" si="40"/>
        <v>#VALUE!</v>
      </c>
      <c r="CK40" s="9" t="e">
        <f t="shared" ca="1" si="41"/>
        <v>#VALUE!</v>
      </c>
      <c r="CL40" s="1" t="e">
        <f t="shared" ca="1" si="41"/>
        <v>#VALUE!</v>
      </c>
      <c r="CM40" s="1" t="e">
        <f t="shared" ca="1" si="42"/>
        <v>#VALUE!</v>
      </c>
      <c r="CN40" s="1" t="e">
        <f t="shared" ca="1" si="43"/>
        <v>#VALUE!</v>
      </c>
      <c r="CO40" s="9" t="e">
        <f t="shared" ca="1" si="44"/>
        <v>#VALUE!</v>
      </c>
      <c r="CP40" s="1" t="e">
        <f t="shared" ca="1" si="44"/>
        <v>#VALUE!</v>
      </c>
      <c r="CQ40" s="1" t="e">
        <f t="shared" ca="1" si="45"/>
        <v>#VALUE!</v>
      </c>
      <c r="CR40" s="1" t="e">
        <f t="shared" ca="1" si="46"/>
        <v>#VALUE!</v>
      </c>
      <c r="CS40" s="9" t="e">
        <f t="shared" ca="1" si="47"/>
        <v>#VALUE!</v>
      </c>
      <c r="CT40" s="1" t="e">
        <f t="shared" ca="1" si="47"/>
        <v>#VALUE!</v>
      </c>
    </row>
    <row r="41" spans="1:98" x14ac:dyDescent="0.25">
      <c r="S41" s="8"/>
      <c r="T41" s="8"/>
      <c r="U41" s="8"/>
      <c r="V41" s="8"/>
      <c r="W41" s="8" t="e">
        <f ca="1">MATCH($E41,OFFSET([4]Hoja1!$X$4,V41-3,0,500-V41,1),0)+V41</f>
        <v>#VALUE!</v>
      </c>
      <c r="X41" s="8" t="e">
        <f ca="1">MATCH($E41,OFFSET([4]Hoja1!$X$4,W41-3,0,500-W41,1),0)+W41</f>
        <v>#VALUE!</v>
      </c>
      <c r="Y41" s="8" t="e">
        <f ca="1">MATCH($E41,OFFSET([4]Hoja1!$X$4,X41-3,0,500-X41,1),0)+X41</f>
        <v>#VALUE!</v>
      </c>
      <c r="Z41" s="8" t="e">
        <f ca="1">MATCH($E41,OFFSET([4]Hoja1!$X$4,Y41-3,0,500-Y41,1),0)+Y41</f>
        <v>#VALUE!</v>
      </c>
      <c r="AA41" s="8" t="e">
        <f ca="1">MATCH($E41,OFFSET([4]Hoja1!$X$4,Z41-3,0,500-Z41,1),0)+Z41</f>
        <v>#VALUE!</v>
      </c>
      <c r="AB41" s="8" t="e">
        <f ca="1">MATCH($E41,OFFSET([4]Hoja1!$X$4,AA41-3,0,500-AA41,1),0)+AA41</f>
        <v>#VALUE!</v>
      </c>
      <c r="AC41" s="8" t="e">
        <f ca="1">MATCH($E41,OFFSET([4]Hoja1!$X$4,AB41-3,0,500-AB41,1),0)+AB41</f>
        <v>#VALUE!</v>
      </c>
      <c r="AD41" s="8" t="e">
        <f ca="1">MATCH($E41,OFFSET([4]Hoja1!$X$4,AC41-3,0,500-AC41,1),0)+AC41</f>
        <v>#VALUE!</v>
      </c>
      <c r="AE41" s="8" t="e">
        <f ca="1">MATCH($E41,OFFSET([4]Hoja1!$X$4,AD41-3,0,500-AD41,1),0)+AD41</f>
        <v>#VALUE!</v>
      </c>
      <c r="AF41" s="8" t="e">
        <f ca="1">MATCH($E41,OFFSET([4]Hoja1!$X$4,AE41-3,0,500-AE41,1),0)+AE41</f>
        <v>#VALUE!</v>
      </c>
      <c r="AG41" s="8" t="e">
        <f ca="1">MATCH($E41,OFFSET([4]Hoja1!$X$4,AF41-3,0,500-AF41,1),0)+AF41</f>
        <v>#VALUE!</v>
      </c>
      <c r="AH41" s="8" t="e">
        <f ca="1">MATCH($E41,OFFSET([4]Hoja1!$X$4,AG41-3,0,500-AG41,1),0)+AG41</f>
        <v>#VALUE!</v>
      </c>
      <c r="AI41" s="1" t="str">
        <f t="shared" si="0"/>
        <v>'[Archivo con planillas totales y estandarizadas.xlsx]Hoja1'!$F</v>
      </c>
      <c r="AJ41" s="1" t="str">
        <f t="shared" si="1"/>
        <v>'[Archivo con planillas totales y estandarizadas.xlsx]Hoja1'!$M</v>
      </c>
      <c r="AK41" s="9" t="e">
        <f t="shared" ca="1" si="2"/>
        <v>#REF!</v>
      </c>
      <c r="AL41" s="1" t="e">
        <f t="shared" ca="1" si="2"/>
        <v>#REF!</v>
      </c>
      <c r="AM41" s="1" t="str">
        <f t="shared" si="3"/>
        <v>'[Archivo con planillas totales y estandarizadas.xlsx]Hoja1'!$F</v>
      </c>
      <c r="AN41" s="1" t="str">
        <f t="shared" si="4"/>
        <v>'[Archivo con planillas totales y estandarizadas.xlsx]Hoja1'!$M</v>
      </c>
      <c r="AO41" s="9" t="e">
        <f t="shared" ca="1" si="5"/>
        <v>#REF!</v>
      </c>
      <c r="AP41" s="1" t="e">
        <f t="shared" ca="1" si="5"/>
        <v>#REF!</v>
      </c>
      <c r="AQ41" s="1" t="str">
        <f t="shared" si="6"/>
        <v>'[Archivo con planillas totales y estandarizadas.xlsx]Hoja1'!$F</v>
      </c>
      <c r="AR41" s="1" t="str">
        <f t="shared" si="7"/>
        <v>'[Archivo con planillas totales y estandarizadas.xlsx]Hoja1'!$M</v>
      </c>
      <c r="AS41" s="9" t="e">
        <f t="shared" ca="1" si="8"/>
        <v>#REF!</v>
      </c>
      <c r="AT41" s="1" t="e">
        <f t="shared" ca="1" si="8"/>
        <v>#REF!</v>
      </c>
      <c r="AU41" s="1" t="str">
        <f t="shared" si="9"/>
        <v>'[Archivo con planillas totales y estandarizadas.xlsx]Hoja1'!$F</v>
      </c>
      <c r="AV41" s="1" t="str">
        <f t="shared" si="10"/>
        <v>'[Archivo con planillas totales y estandarizadas.xlsx]Hoja1'!$M</v>
      </c>
      <c r="AW41" s="9" t="e">
        <f t="shared" ca="1" si="11"/>
        <v>#REF!</v>
      </c>
      <c r="AX41" s="1" t="e">
        <f t="shared" ca="1" si="11"/>
        <v>#REF!</v>
      </c>
      <c r="AY41" s="1" t="e">
        <f t="shared" ca="1" si="12"/>
        <v>#VALUE!</v>
      </c>
      <c r="AZ41" s="1" t="e">
        <f t="shared" ca="1" si="13"/>
        <v>#VALUE!</v>
      </c>
      <c r="BA41" s="9" t="e">
        <f t="shared" ca="1" si="14"/>
        <v>#VALUE!</v>
      </c>
      <c r="BB41" s="1" t="e">
        <f t="shared" ca="1" si="14"/>
        <v>#VALUE!</v>
      </c>
      <c r="BC41" s="1" t="e">
        <f t="shared" ca="1" si="15"/>
        <v>#VALUE!</v>
      </c>
      <c r="BD41" s="1" t="e">
        <f t="shared" ca="1" si="16"/>
        <v>#VALUE!</v>
      </c>
      <c r="BE41" s="9" t="e">
        <f t="shared" ca="1" si="17"/>
        <v>#VALUE!</v>
      </c>
      <c r="BF41" s="1" t="e">
        <f t="shared" ca="1" si="17"/>
        <v>#VALUE!</v>
      </c>
      <c r="BG41" s="1" t="e">
        <f t="shared" ca="1" si="18"/>
        <v>#VALUE!</v>
      </c>
      <c r="BH41" s="1" t="e">
        <f t="shared" ca="1" si="19"/>
        <v>#VALUE!</v>
      </c>
      <c r="BI41" s="9" t="e">
        <f t="shared" ca="1" si="20"/>
        <v>#VALUE!</v>
      </c>
      <c r="BJ41" s="1" t="e">
        <f t="shared" ca="1" si="20"/>
        <v>#VALUE!</v>
      </c>
      <c r="BK41" s="1" t="e">
        <f t="shared" ca="1" si="21"/>
        <v>#VALUE!</v>
      </c>
      <c r="BL41" s="1" t="e">
        <f t="shared" ca="1" si="22"/>
        <v>#VALUE!</v>
      </c>
      <c r="BM41" s="9" t="e">
        <f t="shared" ca="1" si="23"/>
        <v>#VALUE!</v>
      </c>
      <c r="BN41" s="1" t="e">
        <f t="shared" ca="1" si="23"/>
        <v>#VALUE!</v>
      </c>
      <c r="BO41" s="1" t="e">
        <f t="shared" ca="1" si="24"/>
        <v>#VALUE!</v>
      </c>
      <c r="BP41" s="1" t="e">
        <f t="shared" ca="1" si="25"/>
        <v>#VALUE!</v>
      </c>
      <c r="BQ41" s="9" t="e">
        <f t="shared" ca="1" si="26"/>
        <v>#VALUE!</v>
      </c>
      <c r="BR41" s="1" t="e">
        <f t="shared" ca="1" si="26"/>
        <v>#VALUE!</v>
      </c>
      <c r="BS41" s="1" t="e">
        <f t="shared" ca="1" si="27"/>
        <v>#VALUE!</v>
      </c>
      <c r="BT41" s="1" t="e">
        <f t="shared" ca="1" si="28"/>
        <v>#VALUE!</v>
      </c>
      <c r="BU41" s="9" t="e">
        <f t="shared" ca="1" si="29"/>
        <v>#VALUE!</v>
      </c>
      <c r="BV41" s="1" t="e">
        <f t="shared" ca="1" si="29"/>
        <v>#VALUE!</v>
      </c>
      <c r="BW41" s="1" t="e">
        <f t="shared" ca="1" si="30"/>
        <v>#VALUE!</v>
      </c>
      <c r="BX41" s="1" t="e">
        <f t="shared" ca="1" si="31"/>
        <v>#VALUE!</v>
      </c>
      <c r="BY41" s="9" t="e">
        <f t="shared" ca="1" si="32"/>
        <v>#VALUE!</v>
      </c>
      <c r="BZ41" s="1" t="e">
        <f t="shared" ca="1" si="32"/>
        <v>#VALUE!</v>
      </c>
      <c r="CA41" s="1" t="e">
        <f t="shared" ca="1" si="33"/>
        <v>#VALUE!</v>
      </c>
      <c r="CB41" s="1" t="e">
        <f t="shared" ca="1" si="34"/>
        <v>#VALUE!</v>
      </c>
      <c r="CC41" s="9" t="e">
        <f t="shared" ca="1" si="35"/>
        <v>#VALUE!</v>
      </c>
      <c r="CD41" s="1" t="e">
        <f t="shared" ca="1" si="35"/>
        <v>#VALUE!</v>
      </c>
      <c r="CE41" s="1" t="e">
        <f t="shared" ca="1" si="36"/>
        <v>#VALUE!</v>
      </c>
      <c r="CF41" s="1" t="e">
        <f t="shared" ca="1" si="37"/>
        <v>#VALUE!</v>
      </c>
      <c r="CG41" s="9" t="e">
        <f t="shared" ca="1" si="38"/>
        <v>#VALUE!</v>
      </c>
      <c r="CH41" s="1" t="e">
        <f t="shared" ca="1" si="38"/>
        <v>#VALUE!</v>
      </c>
      <c r="CI41" s="1" t="e">
        <f t="shared" ca="1" si="39"/>
        <v>#VALUE!</v>
      </c>
      <c r="CJ41" s="1" t="e">
        <f t="shared" ca="1" si="40"/>
        <v>#VALUE!</v>
      </c>
      <c r="CK41" s="9" t="e">
        <f t="shared" ca="1" si="41"/>
        <v>#VALUE!</v>
      </c>
      <c r="CL41" s="1" t="e">
        <f t="shared" ca="1" si="41"/>
        <v>#VALUE!</v>
      </c>
      <c r="CM41" s="1" t="e">
        <f t="shared" ca="1" si="42"/>
        <v>#VALUE!</v>
      </c>
      <c r="CN41" s="1" t="e">
        <f t="shared" ca="1" si="43"/>
        <v>#VALUE!</v>
      </c>
      <c r="CO41" s="9" t="e">
        <f t="shared" ca="1" si="44"/>
        <v>#VALUE!</v>
      </c>
      <c r="CP41" s="1" t="e">
        <f t="shared" ca="1" si="44"/>
        <v>#VALUE!</v>
      </c>
      <c r="CQ41" s="1" t="e">
        <f t="shared" ca="1" si="45"/>
        <v>#VALUE!</v>
      </c>
      <c r="CR41" s="1" t="e">
        <f t="shared" ca="1" si="46"/>
        <v>#VALUE!</v>
      </c>
      <c r="CS41" s="9" t="e">
        <f t="shared" ca="1" si="47"/>
        <v>#VALUE!</v>
      </c>
      <c r="CT41" s="1" t="e">
        <f t="shared" ca="1" si="47"/>
        <v>#VALUE!</v>
      </c>
    </row>
    <row r="42" spans="1:98" x14ac:dyDescent="0.25">
      <c r="S42" s="8"/>
      <c r="T42" s="8"/>
      <c r="U42" s="8"/>
      <c r="V42" s="8"/>
      <c r="W42" s="8" t="e">
        <f ca="1">MATCH($E42,OFFSET([4]Hoja1!$X$4,V42-3,0,500-V42,1),0)+V42</f>
        <v>#VALUE!</v>
      </c>
      <c r="X42" s="8" t="e">
        <f ca="1">MATCH($E42,OFFSET([4]Hoja1!$X$4,W42-3,0,500-W42,1),0)+W42</f>
        <v>#VALUE!</v>
      </c>
      <c r="Y42" s="8" t="e">
        <f ca="1">MATCH($E42,OFFSET([4]Hoja1!$X$4,X42-3,0,500-X42,1),0)+X42</f>
        <v>#VALUE!</v>
      </c>
      <c r="Z42" s="8" t="e">
        <f ca="1">MATCH($E42,OFFSET([4]Hoja1!$X$4,Y42-3,0,500-Y42,1),0)+Y42</f>
        <v>#VALUE!</v>
      </c>
      <c r="AA42" s="8" t="e">
        <f ca="1">MATCH($E42,OFFSET([4]Hoja1!$X$4,Z42-3,0,500-Z42,1),0)+Z42</f>
        <v>#VALUE!</v>
      </c>
      <c r="AB42" s="8" t="e">
        <f ca="1">MATCH($E42,OFFSET([4]Hoja1!$X$4,AA42-3,0,500-AA42,1),0)+AA42</f>
        <v>#VALUE!</v>
      </c>
      <c r="AC42" s="8" t="e">
        <f ca="1">MATCH($E42,OFFSET([4]Hoja1!$X$4,AB42-3,0,500-AB42,1),0)+AB42</f>
        <v>#VALUE!</v>
      </c>
      <c r="AD42" s="8" t="e">
        <f ca="1">MATCH($E42,OFFSET([4]Hoja1!$X$4,AC42-3,0,500-AC42,1),0)+AC42</f>
        <v>#VALUE!</v>
      </c>
      <c r="AE42" s="8" t="e">
        <f ca="1">MATCH($E42,OFFSET([4]Hoja1!$X$4,AD42-3,0,500-AD42,1),0)+AD42</f>
        <v>#VALUE!</v>
      </c>
      <c r="AF42" s="8" t="e">
        <f ca="1">MATCH($E42,OFFSET([4]Hoja1!$X$4,AE42-3,0,500-AE42,1),0)+AE42</f>
        <v>#VALUE!</v>
      </c>
      <c r="AG42" s="8" t="e">
        <f ca="1">MATCH($E42,OFFSET([4]Hoja1!$X$4,AF42-3,0,500-AF42,1),0)+AF42</f>
        <v>#VALUE!</v>
      </c>
      <c r="AH42" s="8" t="e">
        <f ca="1">MATCH($E42,OFFSET([4]Hoja1!$X$4,AG42-3,0,500-AG42,1),0)+AG42</f>
        <v>#VALUE!</v>
      </c>
      <c r="AI42" s="1" t="str">
        <f t="shared" si="0"/>
        <v>'[Archivo con planillas totales y estandarizadas.xlsx]Hoja1'!$F</v>
      </c>
      <c r="AJ42" s="1" t="str">
        <f t="shared" si="1"/>
        <v>'[Archivo con planillas totales y estandarizadas.xlsx]Hoja1'!$M</v>
      </c>
      <c r="AK42" s="9" t="e">
        <f t="shared" ca="1" si="2"/>
        <v>#REF!</v>
      </c>
      <c r="AL42" s="1" t="e">
        <f t="shared" ca="1" si="2"/>
        <v>#REF!</v>
      </c>
      <c r="AM42" s="1" t="str">
        <f t="shared" si="3"/>
        <v>'[Archivo con planillas totales y estandarizadas.xlsx]Hoja1'!$F</v>
      </c>
      <c r="AN42" s="1" t="str">
        <f t="shared" si="4"/>
        <v>'[Archivo con planillas totales y estandarizadas.xlsx]Hoja1'!$M</v>
      </c>
      <c r="AO42" s="9" t="e">
        <f t="shared" ca="1" si="5"/>
        <v>#REF!</v>
      </c>
      <c r="AP42" s="1" t="e">
        <f t="shared" ca="1" si="5"/>
        <v>#REF!</v>
      </c>
      <c r="AQ42" s="1" t="str">
        <f t="shared" si="6"/>
        <v>'[Archivo con planillas totales y estandarizadas.xlsx]Hoja1'!$F</v>
      </c>
      <c r="AR42" s="1" t="str">
        <f t="shared" si="7"/>
        <v>'[Archivo con planillas totales y estandarizadas.xlsx]Hoja1'!$M</v>
      </c>
      <c r="AS42" s="9" t="e">
        <f t="shared" ca="1" si="8"/>
        <v>#REF!</v>
      </c>
      <c r="AT42" s="1" t="e">
        <f t="shared" ca="1" si="8"/>
        <v>#REF!</v>
      </c>
      <c r="AU42" s="1" t="str">
        <f t="shared" si="9"/>
        <v>'[Archivo con planillas totales y estandarizadas.xlsx]Hoja1'!$F</v>
      </c>
      <c r="AV42" s="1" t="str">
        <f t="shared" si="10"/>
        <v>'[Archivo con planillas totales y estandarizadas.xlsx]Hoja1'!$M</v>
      </c>
      <c r="AW42" s="9" t="e">
        <f t="shared" ca="1" si="11"/>
        <v>#REF!</v>
      </c>
      <c r="AX42" s="1" t="e">
        <f t="shared" ca="1" si="11"/>
        <v>#REF!</v>
      </c>
      <c r="AY42" s="1" t="e">
        <f t="shared" ca="1" si="12"/>
        <v>#VALUE!</v>
      </c>
      <c r="AZ42" s="1" t="e">
        <f t="shared" ca="1" si="13"/>
        <v>#VALUE!</v>
      </c>
      <c r="BA42" s="9" t="e">
        <f t="shared" ca="1" si="14"/>
        <v>#VALUE!</v>
      </c>
      <c r="BB42" s="1" t="e">
        <f t="shared" ca="1" si="14"/>
        <v>#VALUE!</v>
      </c>
      <c r="BC42" s="1" t="e">
        <f t="shared" ca="1" si="15"/>
        <v>#VALUE!</v>
      </c>
      <c r="BD42" s="1" t="e">
        <f t="shared" ca="1" si="16"/>
        <v>#VALUE!</v>
      </c>
      <c r="BE42" s="9" t="e">
        <f t="shared" ca="1" si="17"/>
        <v>#VALUE!</v>
      </c>
      <c r="BF42" s="1" t="e">
        <f t="shared" ca="1" si="17"/>
        <v>#VALUE!</v>
      </c>
      <c r="BG42" s="1" t="e">
        <f t="shared" ca="1" si="18"/>
        <v>#VALUE!</v>
      </c>
      <c r="BH42" s="1" t="e">
        <f t="shared" ca="1" si="19"/>
        <v>#VALUE!</v>
      </c>
      <c r="BI42" s="9" t="e">
        <f t="shared" ca="1" si="20"/>
        <v>#VALUE!</v>
      </c>
      <c r="BJ42" s="1" t="e">
        <f t="shared" ca="1" si="20"/>
        <v>#VALUE!</v>
      </c>
      <c r="BK42" s="1" t="e">
        <f t="shared" ca="1" si="21"/>
        <v>#VALUE!</v>
      </c>
      <c r="BL42" s="1" t="e">
        <f t="shared" ca="1" si="22"/>
        <v>#VALUE!</v>
      </c>
      <c r="BM42" s="9" t="e">
        <f t="shared" ca="1" si="23"/>
        <v>#VALUE!</v>
      </c>
      <c r="BN42" s="1" t="e">
        <f t="shared" ca="1" si="23"/>
        <v>#VALUE!</v>
      </c>
      <c r="BO42" s="1" t="e">
        <f t="shared" ca="1" si="24"/>
        <v>#VALUE!</v>
      </c>
      <c r="BP42" s="1" t="e">
        <f t="shared" ca="1" si="25"/>
        <v>#VALUE!</v>
      </c>
      <c r="BQ42" s="9" t="e">
        <f t="shared" ca="1" si="26"/>
        <v>#VALUE!</v>
      </c>
      <c r="BR42" s="1" t="e">
        <f t="shared" ca="1" si="26"/>
        <v>#VALUE!</v>
      </c>
      <c r="BS42" s="1" t="e">
        <f t="shared" ca="1" si="27"/>
        <v>#VALUE!</v>
      </c>
      <c r="BT42" s="1" t="e">
        <f t="shared" ca="1" si="28"/>
        <v>#VALUE!</v>
      </c>
      <c r="BU42" s="9" t="e">
        <f t="shared" ca="1" si="29"/>
        <v>#VALUE!</v>
      </c>
      <c r="BV42" s="1" t="e">
        <f t="shared" ca="1" si="29"/>
        <v>#VALUE!</v>
      </c>
      <c r="BW42" s="1" t="e">
        <f t="shared" ca="1" si="30"/>
        <v>#VALUE!</v>
      </c>
      <c r="BX42" s="1" t="e">
        <f t="shared" ca="1" si="31"/>
        <v>#VALUE!</v>
      </c>
      <c r="BY42" s="9" t="e">
        <f t="shared" ca="1" si="32"/>
        <v>#VALUE!</v>
      </c>
      <c r="BZ42" s="1" t="e">
        <f t="shared" ca="1" si="32"/>
        <v>#VALUE!</v>
      </c>
      <c r="CA42" s="1" t="e">
        <f t="shared" ca="1" si="33"/>
        <v>#VALUE!</v>
      </c>
      <c r="CB42" s="1" t="e">
        <f t="shared" ca="1" si="34"/>
        <v>#VALUE!</v>
      </c>
      <c r="CC42" s="9" t="e">
        <f t="shared" ca="1" si="35"/>
        <v>#VALUE!</v>
      </c>
      <c r="CD42" s="1" t="e">
        <f t="shared" ca="1" si="35"/>
        <v>#VALUE!</v>
      </c>
      <c r="CE42" s="1" t="e">
        <f t="shared" ca="1" si="36"/>
        <v>#VALUE!</v>
      </c>
      <c r="CF42" s="1" t="e">
        <f t="shared" ca="1" si="37"/>
        <v>#VALUE!</v>
      </c>
      <c r="CG42" s="9" t="e">
        <f t="shared" ca="1" si="38"/>
        <v>#VALUE!</v>
      </c>
      <c r="CH42" s="1" t="e">
        <f t="shared" ca="1" si="38"/>
        <v>#VALUE!</v>
      </c>
      <c r="CI42" s="1" t="e">
        <f t="shared" ca="1" si="39"/>
        <v>#VALUE!</v>
      </c>
      <c r="CJ42" s="1" t="e">
        <f t="shared" ca="1" si="40"/>
        <v>#VALUE!</v>
      </c>
      <c r="CK42" s="9" t="e">
        <f t="shared" ca="1" si="41"/>
        <v>#VALUE!</v>
      </c>
      <c r="CL42" s="1" t="e">
        <f t="shared" ca="1" si="41"/>
        <v>#VALUE!</v>
      </c>
      <c r="CM42" s="1" t="e">
        <f t="shared" ca="1" si="42"/>
        <v>#VALUE!</v>
      </c>
      <c r="CN42" s="1" t="e">
        <f t="shared" ca="1" si="43"/>
        <v>#VALUE!</v>
      </c>
      <c r="CO42" s="9" t="e">
        <f t="shared" ca="1" si="44"/>
        <v>#VALUE!</v>
      </c>
      <c r="CP42" s="1" t="e">
        <f t="shared" ca="1" si="44"/>
        <v>#VALUE!</v>
      </c>
      <c r="CQ42" s="1" t="e">
        <f t="shared" ca="1" si="45"/>
        <v>#VALUE!</v>
      </c>
      <c r="CR42" s="1" t="e">
        <f t="shared" ca="1" si="46"/>
        <v>#VALUE!</v>
      </c>
      <c r="CS42" s="9" t="e">
        <f t="shared" ca="1" si="47"/>
        <v>#VALUE!</v>
      </c>
      <c r="CT42" s="1" t="e">
        <f t="shared" ca="1" si="47"/>
        <v>#VALUE!</v>
      </c>
    </row>
    <row r="43" spans="1:98" x14ac:dyDescent="0.25">
      <c r="S43" s="8"/>
      <c r="T43" s="8"/>
      <c r="U43" s="8"/>
      <c r="V43" s="8"/>
      <c r="W43" s="8" t="e">
        <f ca="1">MATCH($E43,OFFSET([4]Hoja1!$X$4,V43-3,0,500-V43,1),0)+V43</f>
        <v>#VALUE!</v>
      </c>
      <c r="X43" s="8" t="e">
        <f ca="1">MATCH($E43,OFFSET([4]Hoja1!$X$4,W43-3,0,500-W43,1),0)+W43</f>
        <v>#VALUE!</v>
      </c>
      <c r="Y43" s="8" t="e">
        <f ca="1">MATCH($E43,OFFSET([4]Hoja1!$X$4,X43-3,0,500-X43,1),0)+X43</f>
        <v>#VALUE!</v>
      </c>
      <c r="Z43" s="8" t="e">
        <f ca="1">MATCH($E43,OFFSET([4]Hoja1!$X$4,Y43-3,0,500-Y43,1),0)+Y43</f>
        <v>#VALUE!</v>
      </c>
      <c r="AA43" s="8" t="e">
        <f ca="1">MATCH($E43,OFFSET([4]Hoja1!$X$4,Z43-3,0,500-Z43,1),0)+Z43</f>
        <v>#VALUE!</v>
      </c>
      <c r="AB43" s="8" t="e">
        <f ca="1">MATCH($E43,OFFSET([4]Hoja1!$X$4,AA43-3,0,500-AA43,1),0)+AA43</f>
        <v>#VALUE!</v>
      </c>
      <c r="AC43" s="8" t="e">
        <f ca="1">MATCH($E43,OFFSET([4]Hoja1!$X$4,AB43-3,0,500-AB43,1),0)+AB43</f>
        <v>#VALUE!</v>
      </c>
      <c r="AD43" s="8" t="e">
        <f ca="1">MATCH($E43,OFFSET([4]Hoja1!$X$4,AC43-3,0,500-AC43,1),0)+AC43</f>
        <v>#VALUE!</v>
      </c>
      <c r="AE43" s="8" t="e">
        <f ca="1">MATCH($E43,OFFSET([4]Hoja1!$X$4,AD43-3,0,500-AD43,1),0)+AD43</f>
        <v>#VALUE!</v>
      </c>
      <c r="AF43" s="8" t="e">
        <f ca="1">MATCH($E43,OFFSET([4]Hoja1!$X$4,AE43-3,0,500-AE43,1),0)+AE43</f>
        <v>#VALUE!</v>
      </c>
      <c r="AG43" s="8" t="e">
        <f ca="1">MATCH($E43,OFFSET([4]Hoja1!$X$4,AF43-3,0,500-AF43,1),0)+AF43</f>
        <v>#VALUE!</v>
      </c>
      <c r="AH43" s="8" t="e">
        <f ca="1">MATCH($E43,OFFSET([4]Hoja1!$X$4,AG43-3,0,500-AG43,1),0)+AG43</f>
        <v>#VALUE!</v>
      </c>
      <c r="AI43" s="1" t="str">
        <f t="shared" si="0"/>
        <v>'[Archivo con planillas totales y estandarizadas.xlsx]Hoja1'!$F</v>
      </c>
      <c r="AJ43" s="1" t="str">
        <f t="shared" si="1"/>
        <v>'[Archivo con planillas totales y estandarizadas.xlsx]Hoja1'!$M</v>
      </c>
      <c r="AK43" s="9" t="e">
        <f t="shared" ca="1" si="2"/>
        <v>#REF!</v>
      </c>
      <c r="AL43" s="1" t="e">
        <f t="shared" ca="1" si="2"/>
        <v>#REF!</v>
      </c>
      <c r="AM43" s="1" t="str">
        <f t="shared" si="3"/>
        <v>'[Archivo con planillas totales y estandarizadas.xlsx]Hoja1'!$F</v>
      </c>
      <c r="AN43" s="1" t="str">
        <f t="shared" si="4"/>
        <v>'[Archivo con planillas totales y estandarizadas.xlsx]Hoja1'!$M</v>
      </c>
      <c r="AO43" s="9" t="e">
        <f t="shared" ca="1" si="5"/>
        <v>#REF!</v>
      </c>
      <c r="AP43" s="1" t="e">
        <f t="shared" ca="1" si="5"/>
        <v>#REF!</v>
      </c>
      <c r="AQ43" s="1" t="str">
        <f t="shared" si="6"/>
        <v>'[Archivo con planillas totales y estandarizadas.xlsx]Hoja1'!$F</v>
      </c>
      <c r="AR43" s="1" t="str">
        <f t="shared" si="7"/>
        <v>'[Archivo con planillas totales y estandarizadas.xlsx]Hoja1'!$M</v>
      </c>
      <c r="AS43" s="9" t="e">
        <f t="shared" ca="1" si="8"/>
        <v>#REF!</v>
      </c>
      <c r="AT43" s="1" t="e">
        <f t="shared" ca="1" si="8"/>
        <v>#REF!</v>
      </c>
      <c r="AU43" s="1" t="str">
        <f t="shared" si="9"/>
        <v>'[Archivo con planillas totales y estandarizadas.xlsx]Hoja1'!$F</v>
      </c>
      <c r="AV43" s="1" t="str">
        <f t="shared" si="10"/>
        <v>'[Archivo con planillas totales y estandarizadas.xlsx]Hoja1'!$M</v>
      </c>
      <c r="AW43" s="9" t="e">
        <f t="shared" ca="1" si="11"/>
        <v>#REF!</v>
      </c>
      <c r="AX43" s="1" t="e">
        <f t="shared" ca="1" si="11"/>
        <v>#REF!</v>
      </c>
      <c r="AY43" s="1" t="e">
        <f t="shared" ca="1" si="12"/>
        <v>#VALUE!</v>
      </c>
      <c r="AZ43" s="1" t="e">
        <f t="shared" ca="1" si="13"/>
        <v>#VALUE!</v>
      </c>
      <c r="BA43" s="9" t="e">
        <f t="shared" ca="1" si="14"/>
        <v>#VALUE!</v>
      </c>
      <c r="BB43" s="1" t="e">
        <f t="shared" ca="1" si="14"/>
        <v>#VALUE!</v>
      </c>
      <c r="BC43" s="1" t="e">
        <f t="shared" ca="1" si="15"/>
        <v>#VALUE!</v>
      </c>
      <c r="BD43" s="1" t="e">
        <f t="shared" ca="1" si="16"/>
        <v>#VALUE!</v>
      </c>
      <c r="BE43" s="9" t="e">
        <f t="shared" ca="1" si="17"/>
        <v>#VALUE!</v>
      </c>
      <c r="BF43" s="1" t="e">
        <f t="shared" ca="1" si="17"/>
        <v>#VALUE!</v>
      </c>
      <c r="BG43" s="1" t="e">
        <f t="shared" ca="1" si="18"/>
        <v>#VALUE!</v>
      </c>
      <c r="BH43" s="1" t="e">
        <f t="shared" ca="1" si="19"/>
        <v>#VALUE!</v>
      </c>
      <c r="BI43" s="9" t="e">
        <f t="shared" ca="1" si="20"/>
        <v>#VALUE!</v>
      </c>
      <c r="BJ43" s="1" t="e">
        <f t="shared" ca="1" si="20"/>
        <v>#VALUE!</v>
      </c>
      <c r="BK43" s="1" t="e">
        <f t="shared" ca="1" si="21"/>
        <v>#VALUE!</v>
      </c>
      <c r="BL43" s="1" t="e">
        <f t="shared" ca="1" si="22"/>
        <v>#VALUE!</v>
      </c>
      <c r="BM43" s="9" t="e">
        <f t="shared" ca="1" si="23"/>
        <v>#VALUE!</v>
      </c>
      <c r="BN43" s="1" t="e">
        <f t="shared" ca="1" si="23"/>
        <v>#VALUE!</v>
      </c>
      <c r="BO43" s="1" t="e">
        <f t="shared" ca="1" si="24"/>
        <v>#VALUE!</v>
      </c>
      <c r="BP43" s="1" t="e">
        <f t="shared" ca="1" si="25"/>
        <v>#VALUE!</v>
      </c>
      <c r="BQ43" s="9" t="e">
        <f t="shared" ca="1" si="26"/>
        <v>#VALUE!</v>
      </c>
      <c r="BR43" s="1" t="e">
        <f t="shared" ca="1" si="26"/>
        <v>#VALUE!</v>
      </c>
      <c r="BS43" s="1" t="e">
        <f t="shared" ca="1" si="27"/>
        <v>#VALUE!</v>
      </c>
      <c r="BT43" s="1" t="e">
        <f t="shared" ca="1" si="28"/>
        <v>#VALUE!</v>
      </c>
      <c r="BU43" s="9" t="e">
        <f t="shared" ca="1" si="29"/>
        <v>#VALUE!</v>
      </c>
      <c r="BV43" s="1" t="e">
        <f t="shared" ca="1" si="29"/>
        <v>#VALUE!</v>
      </c>
      <c r="BW43" s="1" t="e">
        <f t="shared" ca="1" si="30"/>
        <v>#VALUE!</v>
      </c>
      <c r="BX43" s="1" t="e">
        <f t="shared" ca="1" si="31"/>
        <v>#VALUE!</v>
      </c>
      <c r="BY43" s="9" t="e">
        <f t="shared" ca="1" si="32"/>
        <v>#VALUE!</v>
      </c>
      <c r="BZ43" s="1" t="e">
        <f t="shared" ca="1" si="32"/>
        <v>#VALUE!</v>
      </c>
      <c r="CA43" s="1" t="e">
        <f t="shared" ca="1" si="33"/>
        <v>#VALUE!</v>
      </c>
      <c r="CB43" s="1" t="e">
        <f t="shared" ca="1" si="34"/>
        <v>#VALUE!</v>
      </c>
      <c r="CC43" s="9" t="e">
        <f t="shared" ca="1" si="35"/>
        <v>#VALUE!</v>
      </c>
      <c r="CD43" s="1" t="e">
        <f t="shared" ca="1" si="35"/>
        <v>#VALUE!</v>
      </c>
      <c r="CE43" s="1" t="e">
        <f t="shared" ca="1" si="36"/>
        <v>#VALUE!</v>
      </c>
      <c r="CF43" s="1" t="e">
        <f t="shared" ca="1" si="37"/>
        <v>#VALUE!</v>
      </c>
      <c r="CG43" s="9" t="e">
        <f t="shared" ca="1" si="38"/>
        <v>#VALUE!</v>
      </c>
      <c r="CH43" s="1" t="e">
        <f t="shared" ca="1" si="38"/>
        <v>#VALUE!</v>
      </c>
      <c r="CI43" s="1" t="e">
        <f t="shared" ca="1" si="39"/>
        <v>#VALUE!</v>
      </c>
      <c r="CJ43" s="1" t="e">
        <f t="shared" ca="1" si="40"/>
        <v>#VALUE!</v>
      </c>
      <c r="CK43" s="9" t="e">
        <f t="shared" ca="1" si="41"/>
        <v>#VALUE!</v>
      </c>
      <c r="CL43" s="1" t="e">
        <f t="shared" ca="1" si="41"/>
        <v>#VALUE!</v>
      </c>
      <c r="CM43" s="1" t="e">
        <f t="shared" ca="1" si="42"/>
        <v>#VALUE!</v>
      </c>
      <c r="CN43" s="1" t="e">
        <f t="shared" ca="1" si="43"/>
        <v>#VALUE!</v>
      </c>
      <c r="CO43" s="9" t="e">
        <f t="shared" ca="1" si="44"/>
        <v>#VALUE!</v>
      </c>
      <c r="CP43" s="1" t="e">
        <f t="shared" ca="1" si="44"/>
        <v>#VALUE!</v>
      </c>
      <c r="CQ43" s="1" t="e">
        <f t="shared" ca="1" si="45"/>
        <v>#VALUE!</v>
      </c>
      <c r="CR43" s="1" t="e">
        <f t="shared" ca="1" si="46"/>
        <v>#VALUE!</v>
      </c>
      <c r="CS43" s="9" t="e">
        <f t="shared" ca="1" si="47"/>
        <v>#VALUE!</v>
      </c>
      <c r="CT43" s="1" t="e">
        <f t="shared" ca="1" si="47"/>
        <v>#VALUE!</v>
      </c>
    </row>
    <row r="44" spans="1:98" x14ac:dyDescent="0.25">
      <c r="S44" s="8"/>
      <c r="T44" s="8"/>
      <c r="U44" s="8"/>
      <c r="V44" s="8"/>
      <c r="W44" s="8" t="e">
        <f ca="1">MATCH($E44,OFFSET([4]Hoja1!$X$4,V44-3,0,500-V44,1),0)+V44</f>
        <v>#VALUE!</v>
      </c>
      <c r="X44" s="8" t="e">
        <f ca="1">MATCH($E44,OFFSET([4]Hoja1!$X$4,W44-3,0,500-W44,1),0)+W44</f>
        <v>#VALUE!</v>
      </c>
      <c r="Y44" s="8" t="e">
        <f ca="1">MATCH($E44,OFFSET([4]Hoja1!$X$4,X44-3,0,500-X44,1),0)+X44</f>
        <v>#VALUE!</v>
      </c>
      <c r="Z44" s="8" t="e">
        <f ca="1">MATCH($E44,OFFSET([4]Hoja1!$X$4,Y44-3,0,500-Y44,1),0)+Y44</f>
        <v>#VALUE!</v>
      </c>
      <c r="AA44" s="8" t="e">
        <f ca="1">MATCH($E44,OFFSET([4]Hoja1!$X$4,Z44-3,0,500-Z44,1),0)+Z44</f>
        <v>#VALUE!</v>
      </c>
      <c r="AB44" s="8" t="e">
        <f ca="1">MATCH($E44,OFFSET([4]Hoja1!$X$4,AA44-3,0,500-AA44,1),0)+AA44</f>
        <v>#VALUE!</v>
      </c>
      <c r="AC44" s="8" t="e">
        <f ca="1">MATCH($E44,OFFSET([4]Hoja1!$X$4,AB44-3,0,500-AB44,1),0)+AB44</f>
        <v>#VALUE!</v>
      </c>
      <c r="AD44" s="8" t="e">
        <f ca="1">MATCH($E44,OFFSET([4]Hoja1!$X$4,AC44-3,0,500-AC44,1),0)+AC44</f>
        <v>#VALUE!</v>
      </c>
      <c r="AE44" s="8" t="e">
        <f ca="1">MATCH($E44,OFFSET([4]Hoja1!$X$4,AD44-3,0,500-AD44,1),0)+AD44</f>
        <v>#VALUE!</v>
      </c>
      <c r="AF44" s="8" t="e">
        <f ca="1">MATCH($E44,OFFSET([4]Hoja1!$X$4,AE44-3,0,500-AE44,1),0)+AE44</f>
        <v>#VALUE!</v>
      </c>
      <c r="AG44" s="8" t="e">
        <f ca="1">MATCH($E44,OFFSET([4]Hoja1!$X$4,AF44-3,0,500-AF44,1),0)+AF44</f>
        <v>#VALUE!</v>
      </c>
      <c r="AH44" s="8" t="e">
        <f ca="1">MATCH($E44,OFFSET([4]Hoja1!$X$4,AG44-3,0,500-AG44,1),0)+AG44</f>
        <v>#VALUE!</v>
      </c>
      <c r="AI44" s="1" t="str">
        <f t="shared" si="0"/>
        <v>'[Archivo con planillas totales y estandarizadas.xlsx]Hoja1'!$F</v>
      </c>
      <c r="AJ44" s="1" t="str">
        <f t="shared" si="1"/>
        <v>'[Archivo con planillas totales y estandarizadas.xlsx]Hoja1'!$M</v>
      </c>
      <c r="AK44" s="9" t="e">
        <f t="shared" ca="1" si="2"/>
        <v>#REF!</v>
      </c>
      <c r="AL44" s="1" t="e">
        <f t="shared" ca="1" si="2"/>
        <v>#REF!</v>
      </c>
      <c r="AM44" s="1" t="str">
        <f t="shared" si="3"/>
        <v>'[Archivo con planillas totales y estandarizadas.xlsx]Hoja1'!$F</v>
      </c>
      <c r="AN44" s="1" t="str">
        <f t="shared" si="4"/>
        <v>'[Archivo con planillas totales y estandarizadas.xlsx]Hoja1'!$M</v>
      </c>
      <c r="AO44" s="9" t="e">
        <f t="shared" ca="1" si="5"/>
        <v>#REF!</v>
      </c>
      <c r="AP44" s="1" t="e">
        <f t="shared" ca="1" si="5"/>
        <v>#REF!</v>
      </c>
      <c r="AQ44" s="1" t="str">
        <f t="shared" si="6"/>
        <v>'[Archivo con planillas totales y estandarizadas.xlsx]Hoja1'!$F</v>
      </c>
      <c r="AR44" s="1" t="str">
        <f t="shared" si="7"/>
        <v>'[Archivo con planillas totales y estandarizadas.xlsx]Hoja1'!$M</v>
      </c>
      <c r="AS44" s="9" t="e">
        <f t="shared" ca="1" si="8"/>
        <v>#REF!</v>
      </c>
      <c r="AT44" s="1" t="e">
        <f t="shared" ca="1" si="8"/>
        <v>#REF!</v>
      </c>
      <c r="AU44" s="1" t="str">
        <f t="shared" si="9"/>
        <v>'[Archivo con planillas totales y estandarizadas.xlsx]Hoja1'!$F</v>
      </c>
      <c r="AV44" s="1" t="str">
        <f t="shared" si="10"/>
        <v>'[Archivo con planillas totales y estandarizadas.xlsx]Hoja1'!$M</v>
      </c>
      <c r="AW44" s="9" t="e">
        <f t="shared" ca="1" si="11"/>
        <v>#REF!</v>
      </c>
      <c r="AX44" s="1" t="e">
        <f t="shared" ca="1" si="11"/>
        <v>#REF!</v>
      </c>
      <c r="AY44" s="1" t="e">
        <f t="shared" ca="1" si="12"/>
        <v>#VALUE!</v>
      </c>
      <c r="AZ44" s="1" t="e">
        <f t="shared" ca="1" si="13"/>
        <v>#VALUE!</v>
      </c>
      <c r="BA44" s="9" t="e">
        <f t="shared" ca="1" si="14"/>
        <v>#VALUE!</v>
      </c>
      <c r="BB44" s="1" t="e">
        <f t="shared" ca="1" si="14"/>
        <v>#VALUE!</v>
      </c>
      <c r="BC44" s="1" t="e">
        <f t="shared" ca="1" si="15"/>
        <v>#VALUE!</v>
      </c>
      <c r="BD44" s="1" t="e">
        <f t="shared" ca="1" si="16"/>
        <v>#VALUE!</v>
      </c>
      <c r="BE44" s="9" t="e">
        <f t="shared" ca="1" si="17"/>
        <v>#VALUE!</v>
      </c>
      <c r="BF44" s="1" t="e">
        <f t="shared" ca="1" si="17"/>
        <v>#VALUE!</v>
      </c>
      <c r="BG44" s="1" t="e">
        <f t="shared" ca="1" si="18"/>
        <v>#VALUE!</v>
      </c>
      <c r="BH44" s="1" t="e">
        <f t="shared" ca="1" si="19"/>
        <v>#VALUE!</v>
      </c>
      <c r="BI44" s="9" t="e">
        <f t="shared" ca="1" si="20"/>
        <v>#VALUE!</v>
      </c>
      <c r="BJ44" s="1" t="e">
        <f t="shared" ca="1" si="20"/>
        <v>#VALUE!</v>
      </c>
      <c r="BK44" s="1" t="e">
        <f t="shared" ca="1" si="21"/>
        <v>#VALUE!</v>
      </c>
      <c r="BL44" s="1" t="e">
        <f t="shared" ca="1" si="22"/>
        <v>#VALUE!</v>
      </c>
      <c r="BM44" s="9" t="e">
        <f t="shared" ca="1" si="23"/>
        <v>#VALUE!</v>
      </c>
      <c r="BN44" s="1" t="e">
        <f t="shared" ca="1" si="23"/>
        <v>#VALUE!</v>
      </c>
      <c r="BO44" s="1" t="e">
        <f t="shared" ca="1" si="24"/>
        <v>#VALUE!</v>
      </c>
      <c r="BP44" s="1" t="e">
        <f t="shared" ca="1" si="25"/>
        <v>#VALUE!</v>
      </c>
      <c r="BQ44" s="9" t="e">
        <f t="shared" ca="1" si="26"/>
        <v>#VALUE!</v>
      </c>
      <c r="BR44" s="1" t="e">
        <f t="shared" ca="1" si="26"/>
        <v>#VALUE!</v>
      </c>
      <c r="BS44" s="1" t="e">
        <f t="shared" ca="1" si="27"/>
        <v>#VALUE!</v>
      </c>
      <c r="BT44" s="1" t="e">
        <f t="shared" ca="1" si="28"/>
        <v>#VALUE!</v>
      </c>
      <c r="BU44" s="9" t="e">
        <f t="shared" ca="1" si="29"/>
        <v>#VALUE!</v>
      </c>
      <c r="BV44" s="1" t="e">
        <f t="shared" ca="1" si="29"/>
        <v>#VALUE!</v>
      </c>
      <c r="BW44" s="1" t="e">
        <f t="shared" ca="1" si="30"/>
        <v>#VALUE!</v>
      </c>
      <c r="BX44" s="1" t="e">
        <f t="shared" ca="1" si="31"/>
        <v>#VALUE!</v>
      </c>
      <c r="BY44" s="9" t="e">
        <f t="shared" ca="1" si="32"/>
        <v>#VALUE!</v>
      </c>
      <c r="BZ44" s="1" t="e">
        <f t="shared" ca="1" si="32"/>
        <v>#VALUE!</v>
      </c>
      <c r="CA44" s="1" t="e">
        <f t="shared" ca="1" si="33"/>
        <v>#VALUE!</v>
      </c>
      <c r="CB44" s="1" t="e">
        <f t="shared" ca="1" si="34"/>
        <v>#VALUE!</v>
      </c>
      <c r="CC44" s="9" t="e">
        <f t="shared" ca="1" si="35"/>
        <v>#VALUE!</v>
      </c>
      <c r="CD44" s="1" t="e">
        <f t="shared" ca="1" si="35"/>
        <v>#VALUE!</v>
      </c>
      <c r="CE44" s="1" t="e">
        <f t="shared" ca="1" si="36"/>
        <v>#VALUE!</v>
      </c>
      <c r="CF44" s="1" t="e">
        <f t="shared" ca="1" si="37"/>
        <v>#VALUE!</v>
      </c>
      <c r="CG44" s="9" t="e">
        <f t="shared" ca="1" si="38"/>
        <v>#VALUE!</v>
      </c>
      <c r="CH44" s="1" t="e">
        <f t="shared" ca="1" si="38"/>
        <v>#VALUE!</v>
      </c>
      <c r="CI44" s="1" t="e">
        <f t="shared" ca="1" si="39"/>
        <v>#VALUE!</v>
      </c>
      <c r="CJ44" s="1" t="e">
        <f t="shared" ca="1" si="40"/>
        <v>#VALUE!</v>
      </c>
      <c r="CK44" s="9" t="e">
        <f t="shared" ca="1" si="41"/>
        <v>#VALUE!</v>
      </c>
      <c r="CL44" s="1" t="e">
        <f t="shared" ca="1" si="41"/>
        <v>#VALUE!</v>
      </c>
      <c r="CM44" s="1" t="e">
        <f t="shared" ca="1" si="42"/>
        <v>#VALUE!</v>
      </c>
      <c r="CN44" s="1" t="e">
        <f t="shared" ca="1" si="43"/>
        <v>#VALUE!</v>
      </c>
      <c r="CO44" s="9" t="e">
        <f t="shared" ca="1" si="44"/>
        <v>#VALUE!</v>
      </c>
      <c r="CP44" s="1" t="e">
        <f t="shared" ca="1" si="44"/>
        <v>#VALUE!</v>
      </c>
      <c r="CQ44" s="1" t="e">
        <f t="shared" ca="1" si="45"/>
        <v>#VALUE!</v>
      </c>
      <c r="CR44" s="1" t="e">
        <f t="shared" ca="1" si="46"/>
        <v>#VALUE!</v>
      </c>
      <c r="CS44" s="9" t="e">
        <f t="shared" ca="1" si="47"/>
        <v>#VALUE!</v>
      </c>
      <c r="CT44" s="1" t="e">
        <f t="shared" ca="1" si="47"/>
        <v>#VALUE!</v>
      </c>
    </row>
    <row r="45" spans="1:98" x14ac:dyDescent="0.25">
      <c r="S45" s="8"/>
      <c r="T45" s="8"/>
      <c r="U45" s="8"/>
      <c r="V45" s="8"/>
      <c r="W45" s="8" t="e">
        <f ca="1">MATCH($E45,OFFSET([4]Hoja1!$X$4,V45-3,0,500-V45,1),0)+V45</f>
        <v>#VALUE!</v>
      </c>
      <c r="X45" s="8" t="e">
        <f ca="1">MATCH($E45,OFFSET([4]Hoja1!$X$4,W45-3,0,500-W45,1),0)+W45</f>
        <v>#VALUE!</v>
      </c>
      <c r="Y45" s="8" t="e">
        <f ca="1">MATCH($E45,OFFSET([4]Hoja1!$X$4,X45-3,0,500-X45,1),0)+X45</f>
        <v>#VALUE!</v>
      </c>
      <c r="Z45" s="8" t="e">
        <f ca="1">MATCH($E45,OFFSET([4]Hoja1!$X$4,Y45-3,0,500-Y45,1),0)+Y45</f>
        <v>#VALUE!</v>
      </c>
      <c r="AA45" s="8" t="e">
        <f ca="1">MATCH($E45,OFFSET([4]Hoja1!$X$4,Z45-3,0,500-Z45,1),0)+Z45</f>
        <v>#VALUE!</v>
      </c>
      <c r="AB45" s="8" t="e">
        <f ca="1">MATCH($E45,OFFSET([4]Hoja1!$X$4,AA45-3,0,500-AA45,1),0)+AA45</f>
        <v>#VALUE!</v>
      </c>
      <c r="AC45" s="8" t="e">
        <f ca="1">MATCH($E45,OFFSET([4]Hoja1!$X$4,AB45-3,0,500-AB45,1),0)+AB45</f>
        <v>#VALUE!</v>
      </c>
      <c r="AD45" s="8" t="e">
        <f ca="1">MATCH($E45,OFFSET([4]Hoja1!$X$4,AC45-3,0,500-AC45,1),0)+AC45</f>
        <v>#VALUE!</v>
      </c>
      <c r="AE45" s="8" t="e">
        <f ca="1">MATCH($E45,OFFSET([4]Hoja1!$X$4,AD45-3,0,500-AD45,1),0)+AD45</f>
        <v>#VALUE!</v>
      </c>
      <c r="AF45" s="8" t="e">
        <f ca="1">MATCH($E45,OFFSET([4]Hoja1!$X$4,AE45-3,0,500-AE45,1),0)+AE45</f>
        <v>#VALUE!</v>
      </c>
      <c r="AG45" s="8" t="e">
        <f ca="1">MATCH($E45,OFFSET([4]Hoja1!$X$4,AF45-3,0,500-AF45,1),0)+AF45</f>
        <v>#VALUE!</v>
      </c>
      <c r="AH45" s="8" t="e">
        <f ca="1">MATCH($E45,OFFSET([4]Hoja1!$X$4,AG45-3,0,500-AG45,1),0)+AG45</f>
        <v>#VALUE!</v>
      </c>
      <c r="AI45" s="1" t="str">
        <f t="shared" si="0"/>
        <v>'[Archivo con planillas totales y estandarizadas.xlsx]Hoja1'!$F</v>
      </c>
      <c r="AJ45" s="1" t="str">
        <f t="shared" si="1"/>
        <v>'[Archivo con planillas totales y estandarizadas.xlsx]Hoja1'!$M</v>
      </c>
      <c r="AK45" s="9" t="e">
        <f t="shared" ca="1" si="2"/>
        <v>#REF!</v>
      </c>
      <c r="AL45" s="1" t="e">
        <f t="shared" ca="1" si="2"/>
        <v>#REF!</v>
      </c>
      <c r="AM45" s="1" t="str">
        <f t="shared" si="3"/>
        <v>'[Archivo con planillas totales y estandarizadas.xlsx]Hoja1'!$F</v>
      </c>
      <c r="AN45" s="1" t="str">
        <f t="shared" si="4"/>
        <v>'[Archivo con planillas totales y estandarizadas.xlsx]Hoja1'!$M</v>
      </c>
      <c r="AO45" s="9" t="e">
        <f t="shared" ca="1" si="5"/>
        <v>#REF!</v>
      </c>
      <c r="AP45" s="1" t="e">
        <f t="shared" ca="1" si="5"/>
        <v>#REF!</v>
      </c>
      <c r="AQ45" s="1" t="str">
        <f t="shared" si="6"/>
        <v>'[Archivo con planillas totales y estandarizadas.xlsx]Hoja1'!$F</v>
      </c>
      <c r="AR45" s="1" t="str">
        <f t="shared" si="7"/>
        <v>'[Archivo con planillas totales y estandarizadas.xlsx]Hoja1'!$M</v>
      </c>
      <c r="AS45" s="9" t="e">
        <f t="shared" ca="1" si="8"/>
        <v>#REF!</v>
      </c>
      <c r="AT45" s="1" t="e">
        <f t="shared" ca="1" si="8"/>
        <v>#REF!</v>
      </c>
      <c r="AU45" s="1" t="str">
        <f t="shared" si="9"/>
        <v>'[Archivo con planillas totales y estandarizadas.xlsx]Hoja1'!$F</v>
      </c>
      <c r="AV45" s="1" t="str">
        <f t="shared" si="10"/>
        <v>'[Archivo con planillas totales y estandarizadas.xlsx]Hoja1'!$M</v>
      </c>
      <c r="AW45" s="9" t="e">
        <f t="shared" ca="1" si="11"/>
        <v>#REF!</v>
      </c>
      <c r="AX45" s="1" t="e">
        <f t="shared" ca="1" si="11"/>
        <v>#REF!</v>
      </c>
      <c r="AY45" s="1" t="e">
        <f t="shared" ca="1" si="12"/>
        <v>#VALUE!</v>
      </c>
      <c r="AZ45" s="1" t="e">
        <f t="shared" ca="1" si="13"/>
        <v>#VALUE!</v>
      </c>
      <c r="BA45" s="9" t="e">
        <f t="shared" ca="1" si="14"/>
        <v>#VALUE!</v>
      </c>
      <c r="BB45" s="1" t="e">
        <f t="shared" ca="1" si="14"/>
        <v>#VALUE!</v>
      </c>
      <c r="BC45" s="1" t="e">
        <f t="shared" ca="1" si="15"/>
        <v>#VALUE!</v>
      </c>
      <c r="BD45" s="1" t="e">
        <f t="shared" ca="1" si="16"/>
        <v>#VALUE!</v>
      </c>
      <c r="BE45" s="9" t="e">
        <f t="shared" ca="1" si="17"/>
        <v>#VALUE!</v>
      </c>
      <c r="BF45" s="1" t="e">
        <f t="shared" ca="1" si="17"/>
        <v>#VALUE!</v>
      </c>
      <c r="BG45" s="1" t="e">
        <f t="shared" ca="1" si="18"/>
        <v>#VALUE!</v>
      </c>
      <c r="BH45" s="1" t="e">
        <f t="shared" ca="1" si="19"/>
        <v>#VALUE!</v>
      </c>
      <c r="BI45" s="9" t="e">
        <f t="shared" ca="1" si="20"/>
        <v>#VALUE!</v>
      </c>
      <c r="BJ45" s="1" t="e">
        <f t="shared" ca="1" si="20"/>
        <v>#VALUE!</v>
      </c>
      <c r="BK45" s="1" t="e">
        <f t="shared" ca="1" si="21"/>
        <v>#VALUE!</v>
      </c>
      <c r="BL45" s="1" t="e">
        <f t="shared" ca="1" si="22"/>
        <v>#VALUE!</v>
      </c>
      <c r="BM45" s="9" t="e">
        <f t="shared" ca="1" si="23"/>
        <v>#VALUE!</v>
      </c>
      <c r="BN45" s="1" t="e">
        <f t="shared" ca="1" si="23"/>
        <v>#VALUE!</v>
      </c>
      <c r="BO45" s="1" t="e">
        <f t="shared" ca="1" si="24"/>
        <v>#VALUE!</v>
      </c>
      <c r="BP45" s="1" t="e">
        <f t="shared" ca="1" si="25"/>
        <v>#VALUE!</v>
      </c>
      <c r="BQ45" s="9" t="e">
        <f t="shared" ca="1" si="26"/>
        <v>#VALUE!</v>
      </c>
      <c r="BR45" s="1" t="e">
        <f t="shared" ca="1" si="26"/>
        <v>#VALUE!</v>
      </c>
      <c r="BS45" s="1" t="e">
        <f t="shared" ca="1" si="27"/>
        <v>#VALUE!</v>
      </c>
      <c r="BT45" s="1" t="e">
        <f t="shared" ca="1" si="28"/>
        <v>#VALUE!</v>
      </c>
      <c r="BU45" s="9" t="e">
        <f t="shared" ca="1" si="29"/>
        <v>#VALUE!</v>
      </c>
      <c r="BV45" s="1" t="e">
        <f t="shared" ca="1" si="29"/>
        <v>#VALUE!</v>
      </c>
      <c r="BW45" s="1" t="e">
        <f t="shared" ca="1" si="30"/>
        <v>#VALUE!</v>
      </c>
      <c r="BX45" s="1" t="e">
        <f t="shared" ca="1" si="31"/>
        <v>#VALUE!</v>
      </c>
      <c r="BY45" s="9" t="e">
        <f t="shared" ca="1" si="32"/>
        <v>#VALUE!</v>
      </c>
      <c r="BZ45" s="1" t="e">
        <f t="shared" ca="1" si="32"/>
        <v>#VALUE!</v>
      </c>
      <c r="CA45" s="1" t="e">
        <f t="shared" ca="1" si="33"/>
        <v>#VALUE!</v>
      </c>
      <c r="CB45" s="1" t="e">
        <f t="shared" ca="1" si="34"/>
        <v>#VALUE!</v>
      </c>
      <c r="CC45" s="9" t="e">
        <f t="shared" ca="1" si="35"/>
        <v>#VALUE!</v>
      </c>
      <c r="CD45" s="1" t="e">
        <f t="shared" ca="1" si="35"/>
        <v>#VALUE!</v>
      </c>
      <c r="CE45" s="1" t="e">
        <f t="shared" ca="1" si="36"/>
        <v>#VALUE!</v>
      </c>
      <c r="CF45" s="1" t="e">
        <f t="shared" ca="1" si="37"/>
        <v>#VALUE!</v>
      </c>
      <c r="CG45" s="9" t="e">
        <f t="shared" ca="1" si="38"/>
        <v>#VALUE!</v>
      </c>
      <c r="CH45" s="1" t="e">
        <f t="shared" ca="1" si="38"/>
        <v>#VALUE!</v>
      </c>
      <c r="CI45" s="1" t="e">
        <f t="shared" ca="1" si="39"/>
        <v>#VALUE!</v>
      </c>
      <c r="CJ45" s="1" t="e">
        <f t="shared" ca="1" si="40"/>
        <v>#VALUE!</v>
      </c>
      <c r="CK45" s="9" t="e">
        <f t="shared" ca="1" si="41"/>
        <v>#VALUE!</v>
      </c>
      <c r="CL45" s="1" t="e">
        <f t="shared" ca="1" si="41"/>
        <v>#VALUE!</v>
      </c>
      <c r="CM45" s="1" t="e">
        <f t="shared" ca="1" si="42"/>
        <v>#VALUE!</v>
      </c>
      <c r="CN45" s="1" t="e">
        <f t="shared" ca="1" si="43"/>
        <v>#VALUE!</v>
      </c>
      <c r="CO45" s="9" t="e">
        <f t="shared" ca="1" si="44"/>
        <v>#VALUE!</v>
      </c>
      <c r="CP45" s="1" t="e">
        <f t="shared" ca="1" si="44"/>
        <v>#VALUE!</v>
      </c>
      <c r="CQ45" s="1" t="e">
        <f t="shared" ca="1" si="45"/>
        <v>#VALUE!</v>
      </c>
      <c r="CR45" s="1" t="e">
        <f t="shared" ca="1" si="46"/>
        <v>#VALUE!</v>
      </c>
      <c r="CS45" s="9" t="e">
        <f t="shared" ca="1" si="47"/>
        <v>#VALUE!</v>
      </c>
      <c r="CT45" s="1" t="e">
        <f t="shared" ca="1" si="47"/>
        <v>#VALUE!</v>
      </c>
    </row>
    <row r="46" spans="1:98" x14ac:dyDescent="0.25">
      <c r="S46" s="8"/>
      <c r="T46" s="8"/>
      <c r="U46" s="8"/>
      <c r="V46" s="8"/>
      <c r="W46" s="8" t="e">
        <f ca="1">MATCH($E46,OFFSET([4]Hoja1!$X$4,V46-3,0,500-V46,1),0)+V46</f>
        <v>#VALUE!</v>
      </c>
      <c r="X46" s="8" t="e">
        <f ca="1">MATCH($E46,OFFSET([4]Hoja1!$X$4,W46-3,0,500-W46,1),0)+W46</f>
        <v>#VALUE!</v>
      </c>
      <c r="Y46" s="8" t="e">
        <f ca="1">MATCH($E46,OFFSET([4]Hoja1!$X$4,X46-3,0,500-X46,1),0)+X46</f>
        <v>#VALUE!</v>
      </c>
      <c r="Z46" s="8" t="e">
        <f ca="1">MATCH($E46,OFFSET([4]Hoja1!$X$4,Y46-3,0,500-Y46,1),0)+Y46</f>
        <v>#VALUE!</v>
      </c>
      <c r="AA46" s="8" t="e">
        <f ca="1">MATCH($E46,OFFSET([4]Hoja1!$X$4,Z46-3,0,500-Z46,1),0)+Z46</f>
        <v>#VALUE!</v>
      </c>
      <c r="AB46" s="8" t="e">
        <f ca="1">MATCH($E46,OFFSET([4]Hoja1!$X$4,AA46-3,0,500-AA46,1),0)+AA46</f>
        <v>#VALUE!</v>
      </c>
      <c r="AC46" s="8" t="e">
        <f ca="1">MATCH($E46,OFFSET([4]Hoja1!$X$4,AB46-3,0,500-AB46,1),0)+AB46</f>
        <v>#VALUE!</v>
      </c>
      <c r="AD46" s="8" t="e">
        <f ca="1">MATCH($E46,OFFSET([4]Hoja1!$X$4,AC46-3,0,500-AC46,1),0)+AC46</f>
        <v>#VALUE!</v>
      </c>
      <c r="AE46" s="8" t="e">
        <f ca="1">MATCH($E46,OFFSET([4]Hoja1!$X$4,AD46-3,0,500-AD46,1),0)+AD46</f>
        <v>#VALUE!</v>
      </c>
      <c r="AF46" s="8" t="e">
        <f ca="1">MATCH($E46,OFFSET([4]Hoja1!$X$4,AE46-3,0,500-AE46,1),0)+AE46</f>
        <v>#VALUE!</v>
      </c>
      <c r="AG46" s="8" t="e">
        <f ca="1">MATCH($E46,OFFSET([4]Hoja1!$X$4,AF46-3,0,500-AF46,1),0)+AF46</f>
        <v>#VALUE!</v>
      </c>
      <c r="AH46" s="8" t="e">
        <f ca="1">MATCH($E46,OFFSET([4]Hoja1!$X$4,AG46-3,0,500-AG46,1),0)+AG46</f>
        <v>#VALUE!</v>
      </c>
      <c r="AI46" s="1" t="str">
        <f t="shared" si="0"/>
        <v>'[Archivo con planillas totales y estandarizadas.xlsx]Hoja1'!$F</v>
      </c>
      <c r="AJ46" s="1" t="str">
        <f t="shared" si="1"/>
        <v>'[Archivo con planillas totales y estandarizadas.xlsx]Hoja1'!$M</v>
      </c>
      <c r="AK46" s="9" t="e">
        <f t="shared" ca="1" si="2"/>
        <v>#REF!</v>
      </c>
      <c r="AL46" s="1" t="e">
        <f t="shared" ca="1" si="2"/>
        <v>#REF!</v>
      </c>
      <c r="AM46" s="1" t="str">
        <f t="shared" si="3"/>
        <v>'[Archivo con planillas totales y estandarizadas.xlsx]Hoja1'!$F</v>
      </c>
      <c r="AN46" s="1" t="str">
        <f t="shared" si="4"/>
        <v>'[Archivo con planillas totales y estandarizadas.xlsx]Hoja1'!$M</v>
      </c>
      <c r="AO46" s="9" t="e">
        <f t="shared" ca="1" si="5"/>
        <v>#REF!</v>
      </c>
      <c r="AP46" s="1" t="e">
        <f t="shared" ca="1" si="5"/>
        <v>#REF!</v>
      </c>
      <c r="AQ46" s="1" t="str">
        <f t="shared" si="6"/>
        <v>'[Archivo con planillas totales y estandarizadas.xlsx]Hoja1'!$F</v>
      </c>
      <c r="AR46" s="1" t="str">
        <f t="shared" si="7"/>
        <v>'[Archivo con planillas totales y estandarizadas.xlsx]Hoja1'!$M</v>
      </c>
      <c r="AS46" s="9" t="e">
        <f t="shared" ca="1" si="8"/>
        <v>#REF!</v>
      </c>
      <c r="AT46" s="1" t="e">
        <f t="shared" ca="1" si="8"/>
        <v>#REF!</v>
      </c>
      <c r="AU46" s="1" t="str">
        <f t="shared" si="9"/>
        <v>'[Archivo con planillas totales y estandarizadas.xlsx]Hoja1'!$F</v>
      </c>
      <c r="AV46" s="1" t="str">
        <f t="shared" si="10"/>
        <v>'[Archivo con planillas totales y estandarizadas.xlsx]Hoja1'!$M</v>
      </c>
      <c r="AW46" s="9" t="e">
        <f t="shared" ca="1" si="11"/>
        <v>#REF!</v>
      </c>
      <c r="AX46" s="1" t="e">
        <f t="shared" ca="1" si="11"/>
        <v>#REF!</v>
      </c>
      <c r="AY46" s="1" t="e">
        <f t="shared" ca="1" si="12"/>
        <v>#VALUE!</v>
      </c>
      <c r="AZ46" s="1" t="e">
        <f t="shared" ca="1" si="13"/>
        <v>#VALUE!</v>
      </c>
      <c r="BA46" s="9" t="e">
        <f t="shared" ca="1" si="14"/>
        <v>#VALUE!</v>
      </c>
      <c r="BB46" s="1" t="e">
        <f t="shared" ca="1" si="14"/>
        <v>#VALUE!</v>
      </c>
      <c r="BC46" s="1" t="e">
        <f t="shared" ca="1" si="15"/>
        <v>#VALUE!</v>
      </c>
      <c r="BD46" s="1" t="e">
        <f t="shared" ca="1" si="16"/>
        <v>#VALUE!</v>
      </c>
      <c r="BE46" s="9" t="e">
        <f t="shared" ca="1" si="17"/>
        <v>#VALUE!</v>
      </c>
      <c r="BF46" s="1" t="e">
        <f t="shared" ca="1" si="17"/>
        <v>#VALUE!</v>
      </c>
      <c r="BG46" s="1" t="e">
        <f t="shared" ca="1" si="18"/>
        <v>#VALUE!</v>
      </c>
      <c r="BH46" s="1" t="e">
        <f t="shared" ca="1" si="19"/>
        <v>#VALUE!</v>
      </c>
      <c r="BI46" s="9" t="e">
        <f t="shared" ca="1" si="20"/>
        <v>#VALUE!</v>
      </c>
      <c r="BJ46" s="1" t="e">
        <f t="shared" ca="1" si="20"/>
        <v>#VALUE!</v>
      </c>
      <c r="BK46" s="1" t="e">
        <f t="shared" ca="1" si="21"/>
        <v>#VALUE!</v>
      </c>
      <c r="BL46" s="1" t="e">
        <f t="shared" ca="1" si="22"/>
        <v>#VALUE!</v>
      </c>
      <c r="BM46" s="9" t="e">
        <f t="shared" ca="1" si="23"/>
        <v>#VALUE!</v>
      </c>
      <c r="BN46" s="1" t="e">
        <f t="shared" ca="1" si="23"/>
        <v>#VALUE!</v>
      </c>
      <c r="BO46" s="1" t="e">
        <f t="shared" ca="1" si="24"/>
        <v>#VALUE!</v>
      </c>
      <c r="BP46" s="1" t="e">
        <f t="shared" ca="1" si="25"/>
        <v>#VALUE!</v>
      </c>
      <c r="BQ46" s="9" t="e">
        <f t="shared" ca="1" si="26"/>
        <v>#VALUE!</v>
      </c>
      <c r="BR46" s="1" t="e">
        <f t="shared" ca="1" si="26"/>
        <v>#VALUE!</v>
      </c>
      <c r="BS46" s="1" t="e">
        <f t="shared" ca="1" si="27"/>
        <v>#VALUE!</v>
      </c>
      <c r="BT46" s="1" t="e">
        <f t="shared" ca="1" si="28"/>
        <v>#VALUE!</v>
      </c>
      <c r="BU46" s="9" t="e">
        <f t="shared" ca="1" si="29"/>
        <v>#VALUE!</v>
      </c>
      <c r="BV46" s="1" t="e">
        <f t="shared" ca="1" si="29"/>
        <v>#VALUE!</v>
      </c>
      <c r="BW46" s="1" t="e">
        <f t="shared" ca="1" si="30"/>
        <v>#VALUE!</v>
      </c>
      <c r="BX46" s="1" t="e">
        <f t="shared" ca="1" si="31"/>
        <v>#VALUE!</v>
      </c>
      <c r="BY46" s="9" t="e">
        <f t="shared" ca="1" si="32"/>
        <v>#VALUE!</v>
      </c>
      <c r="BZ46" s="1" t="e">
        <f t="shared" ca="1" si="32"/>
        <v>#VALUE!</v>
      </c>
      <c r="CA46" s="1" t="e">
        <f t="shared" ca="1" si="33"/>
        <v>#VALUE!</v>
      </c>
      <c r="CB46" s="1" t="e">
        <f t="shared" ca="1" si="34"/>
        <v>#VALUE!</v>
      </c>
      <c r="CC46" s="9" t="e">
        <f t="shared" ca="1" si="35"/>
        <v>#VALUE!</v>
      </c>
      <c r="CD46" s="1" t="e">
        <f t="shared" ca="1" si="35"/>
        <v>#VALUE!</v>
      </c>
      <c r="CE46" s="1" t="e">
        <f t="shared" ca="1" si="36"/>
        <v>#VALUE!</v>
      </c>
      <c r="CF46" s="1" t="e">
        <f t="shared" ca="1" si="37"/>
        <v>#VALUE!</v>
      </c>
      <c r="CG46" s="9" t="e">
        <f t="shared" ca="1" si="38"/>
        <v>#VALUE!</v>
      </c>
      <c r="CH46" s="1" t="e">
        <f t="shared" ca="1" si="38"/>
        <v>#VALUE!</v>
      </c>
      <c r="CI46" s="1" t="e">
        <f t="shared" ca="1" si="39"/>
        <v>#VALUE!</v>
      </c>
      <c r="CJ46" s="1" t="e">
        <f t="shared" ca="1" si="40"/>
        <v>#VALUE!</v>
      </c>
      <c r="CK46" s="9" t="e">
        <f t="shared" ca="1" si="41"/>
        <v>#VALUE!</v>
      </c>
      <c r="CL46" s="1" t="e">
        <f t="shared" ca="1" si="41"/>
        <v>#VALUE!</v>
      </c>
      <c r="CM46" s="1" t="e">
        <f t="shared" ca="1" si="42"/>
        <v>#VALUE!</v>
      </c>
      <c r="CN46" s="1" t="e">
        <f t="shared" ca="1" si="43"/>
        <v>#VALUE!</v>
      </c>
      <c r="CO46" s="9" t="e">
        <f t="shared" ca="1" si="44"/>
        <v>#VALUE!</v>
      </c>
      <c r="CP46" s="1" t="e">
        <f t="shared" ca="1" si="44"/>
        <v>#VALUE!</v>
      </c>
      <c r="CQ46" s="1" t="e">
        <f t="shared" ca="1" si="45"/>
        <v>#VALUE!</v>
      </c>
      <c r="CR46" s="1" t="e">
        <f t="shared" ca="1" si="46"/>
        <v>#VALUE!</v>
      </c>
      <c r="CS46" s="9" t="e">
        <f t="shared" ca="1" si="47"/>
        <v>#VALUE!</v>
      </c>
      <c r="CT46" s="1" t="e">
        <f t="shared" ca="1" si="47"/>
        <v>#VALUE!</v>
      </c>
    </row>
    <row r="47" spans="1:98" x14ac:dyDescent="0.25">
      <c r="S47" s="8"/>
      <c r="T47" s="8"/>
      <c r="U47" s="8"/>
      <c r="V47" s="8"/>
      <c r="W47" s="8" t="e">
        <f ca="1">MATCH($E47,OFFSET([4]Hoja1!$X$4,V47-3,0,500-V47,1),0)+V47</f>
        <v>#VALUE!</v>
      </c>
      <c r="X47" s="8" t="e">
        <f ca="1">MATCH($E47,OFFSET([4]Hoja1!$X$4,W47-3,0,500-W47,1),0)+W47</f>
        <v>#VALUE!</v>
      </c>
      <c r="Y47" s="8" t="e">
        <f ca="1">MATCH($E47,OFFSET([4]Hoja1!$X$4,X47-3,0,500-X47,1),0)+X47</f>
        <v>#VALUE!</v>
      </c>
      <c r="Z47" s="8" t="e">
        <f ca="1">MATCH($E47,OFFSET([4]Hoja1!$X$4,Y47-3,0,500-Y47,1),0)+Y47</f>
        <v>#VALUE!</v>
      </c>
      <c r="AA47" s="8" t="e">
        <f ca="1">MATCH($E47,OFFSET([4]Hoja1!$X$4,Z47-3,0,500-Z47,1),0)+Z47</f>
        <v>#VALUE!</v>
      </c>
      <c r="AB47" s="8" t="e">
        <f ca="1">MATCH($E47,OFFSET([4]Hoja1!$X$4,AA47-3,0,500-AA47,1),0)+AA47</f>
        <v>#VALUE!</v>
      </c>
      <c r="AC47" s="8" t="e">
        <f ca="1">MATCH($E47,OFFSET([4]Hoja1!$X$4,AB47-3,0,500-AB47,1),0)+AB47</f>
        <v>#VALUE!</v>
      </c>
      <c r="AD47" s="8" t="e">
        <f ca="1">MATCH($E47,OFFSET([4]Hoja1!$X$4,AC47-3,0,500-AC47,1),0)+AC47</f>
        <v>#VALUE!</v>
      </c>
      <c r="AE47" s="8" t="e">
        <f ca="1">MATCH($E47,OFFSET([4]Hoja1!$X$4,AD47-3,0,500-AD47,1),0)+AD47</f>
        <v>#VALUE!</v>
      </c>
      <c r="AF47" s="8" t="e">
        <f ca="1">MATCH($E47,OFFSET([4]Hoja1!$X$4,AE47-3,0,500-AE47,1),0)+AE47</f>
        <v>#VALUE!</v>
      </c>
      <c r="AG47" s="8" t="e">
        <f ca="1">MATCH($E47,OFFSET([4]Hoja1!$X$4,AF47-3,0,500-AF47,1),0)+AF47</f>
        <v>#VALUE!</v>
      </c>
      <c r="AH47" s="8" t="e">
        <f ca="1">MATCH($E47,OFFSET([4]Hoja1!$X$4,AG47-3,0,500-AG47,1),0)+AG47</f>
        <v>#VALUE!</v>
      </c>
      <c r="AI47" s="1" t="str">
        <f t="shared" si="0"/>
        <v>'[Archivo con planillas totales y estandarizadas.xlsx]Hoja1'!$F</v>
      </c>
      <c r="AJ47" s="1" t="str">
        <f t="shared" si="1"/>
        <v>'[Archivo con planillas totales y estandarizadas.xlsx]Hoja1'!$M</v>
      </c>
      <c r="AK47" s="9" t="e">
        <f t="shared" ca="1" si="2"/>
        <v>#REF!</v>
      </c>
      <c r="AL47" s="1" t="e">
        <f t="shared" ca="1" si="2"/>
        <v>#REF!</v>
      </c>
      <c r="AM47" s="1" t="str">
        <f t="shared" si="3"/>
        <v>'[Archivo con planillas totales y estandarizadas.xlsx]Hoja1'!$F</v>
      </c>
      <c r="AN47" s="1" t="str">
        <f t="shared" si="4"/>
        <v>'[Archivo con planillas totales y estandarizadas.xlsx]Hoja1'!$M</v>
      </c>
      <c r="AO47" s="9" t="e">
        <f t="shared" ca="1" si="5"/>
        <v>#REF!</v>
      </c>
      <c r="AP47" s="1" t="e">
        <f t="shared" ca="1" si="5"/>
        <v>#REF!</v>
      </c>
      <c r="AQ47" s="1" t="str">
        <f t="shared" si="6"/>
        <v>'[Archivo con planillas totales y estandarizadas.xlsx]Hoja1'!$F</v>
      </c>
      <c r="AR47" s="1" t="str">
        <f t="shared" si="7"/>
        <v>'[Archivo con planillas totales y estandarizadas.xlsx]Hoja1'!$M</v>
      </c>
      <c r="AS47" s="9" t="e">
        <f t="shared" ca="1" si="8"/>
        <v>#REF!</v>
      </c>
      <c r="AT47" s="1" t="e">
        <f t="shared" ca="1" si="8"/>
        <v>#REF!</v>
      </c>
      <c r="AU47" s="1" t="str">
        <f t="shared" si="9"/>
        <v>'[Archivo con planillas totales y estandarizadas.xlsx]Hoja1'!$F</v>
      </c>
      <c r="AV47" s="1" t="str">
        <f t="shared" si="10"/>
        <v>'[Archivo con planillas totales y estandarizadas.xlsx]Hoja1'!$M</v>
      </c>
      <c r="AW47" s="9" t="e">
        <f t="shared" ca="1" si="11"/>
        <v>#REF!</v>
      </c>
      <c r="AX47" s="1" t="e">
        <f t="shared" ca="1" si="11"/>
        <v>#REF!</v>
      </c>
      <c r="AY47" s="1" t="e">
        <f t="shared" ca="1" si="12"/>
        <v>#VALUE!</v>
      </c>
      <c r="AZ47" s="1" t="e">
        <f t="shared" ca="1" si="13"/>
        <v>#VALUE!</v>
      </c>
      <c r="BA47" s="9" t="e">
        <f t="shared" ca="1" si="14"/>
        <v>#VALUE!</v>
      </c>
      <c r="BB47" s="1" t="e">
        <f t="shared" ca="1" si="14"/>
        <v>#VALUE!</v>
      </c>
      <c r="BC47" s="1" t="e">
        <f t="shared" ca="1" si="15"/>
        <v>#VALUE!</v>
      </c>
      <c r="BD47" s="1" t="e">
        <f t="shared" ca="1" si="16"/>
        <v>#VALUE!</v>
      </c>
      <c r="BE47" s="9" t="e">
        <f t="shared" ca="1" si="17"/>
        <v>#VALUE!</v>
      </c>
      <c r="BF47" s="1" t="e">
        <f t="shared" ca="1" si="17"/>
        <v>#VALUE!</v>
      </c>
      <c r="BG47" s="1" t="e">
        <f t="shared" ca="1" si="18"/>
        <v>#VALUE!</v>
      </c>
      <c r="BH47" s="1" t="e">
        <f t="shared" ca="1" si="19"/>
        <v>#VALUE!</v>
      </c>
      <c r="BI47" s="9" t="e">
        <f t="shared" ca="1" si="20"/>
        <v>#VALUE!</v>
      </c>
      <c r="BJ47" s="1" t="e">
        <f t="shared" ca="1" si="20"/>
        <v>#VALUE!</v>
      </c>
      <c r="BK47" s="1" t="e">
        <f t="shared" ca="1" si="21"/>
        <v>#VALUE!</v>
      </c>
      <c r="BL47" s="1" t="e">
        <f t="shared" ca="1" si="22"/>
        <v>#VALUE!</v>
      </c>
      <c r="BM47" s="9" t="e">
        <f t="shared" ca="1" si="23"/>
        <v>#VALUE!</v>
      </c>
      <c r="BN47" s="1" t="e">
        <f t="shared" ca="1" si="23"/>
        <v>#VALUE!</v>
      </c>
      <c r="BO47" s="1" t="e">
        <f t="shared" ca="1" si="24"/>
        <v>#VALUE!</v>
      </c>
      <c r="BP47" s="1" t="e">
        <f t="shared" ca="1" si="25"/>
        <v>#VALUE!</v>
      </c>
      <c r="BQ47" s="9" t="e">
        <f t="shared" ca="1" si="26"/>
        <v>#VALUE!</v>
      </c>
      <c r="BR47" s="1" t="e">
        <f t="shared" ca="1" si="26"/>
        <v>#VALUE!</v>
      </c>
      <c r="BS47" s="1" t="e">
        <f t="shared" ca="1" si="27"/>
        <v>#VALUE!</v>
      </c>
      <c r="BT47" s="1" t="e">
        <f t="shared" ca="1" si="28"/>
        <v>#VALUE!</v>
      </c>
      <c r="BU47" s="9" t="e">
        <f t="shared" ca="1" si="29"/>
        <v>#VALUE!</v>
      </c>
      <c r="BV47" s="1" t="e">
        <f t="shared" ca="1" si="29"/>
        <v>#VALUE!</v>
      </c>
      <c r="BW47" s="1" t="e">
        <f t="shared" ca="1" si="30"/>
        <v>#VALUE!</v>
      </c>
      <c r="BX47" s="1" t="e">
        <f t="shared" ca="1" si="31"/>
        <v>#VALUE!</v>
      </c>
      <c r="BY47" s="9" t="e">
        <f t="shared" ca="1" si="32"/>
        <v>#VALUE!</v>
      </c>
      <c r="BZ47" s="1" t="e">
        <f t="shared" ca="1" si="32"/>
        <v>#VALUE!</v>
      </c>
      <c r="CA47" s="1" t="e">
        <f t="shared" ca="1" si="33"/>
        <v>#VALUE!</v>
      </c>
      <c r="CB47" s="1" t="e">
        <f t="shared" ca="1" si="34"/>
        <v>#VALUE!</v>
      </c>
      <c r="CC47" s="9" t="e">
        <f t="shared" ca="1" si="35"/>
        <v>#VALUE!</v>
      </c>
      <c r="CD47" s="1" t="e">
        <f t="shared" ca="1" si="35"/>
        <v>#VALUE!</v>
      </c>
      <c r="CE47" s="1" t="e">
        <f t="shared" ca="1" si="36"/>
        <v>#VALUE!</v>
      </c>
      <c r="CF47" s="1" t="e">
        <f t="shared" ca="1" si="37"/>
        <v>#VALUE!</v>
      </c>
      <c r="CG47" s="9" t="e">
        <f t="shared" ca="1" si="38"/>
        <v>#VALUE!</v>
      </c>
      <c r="CH47" s="1" t="e">
        <f t="shared" ca="1" si="38"/>
        <v>#VALUE!</v>
      </c>
      <c r="CI47" s="1" t="e">
        <f t="shared" ca="1" si="39"/>
        <v>#VALUE!</v>
      </c>
      <c r="CJ47" s="1" t="e">
        <f t="shared" ca="1" si="40"/>
        <v>#VALUE!</v>
      </c>
      <c r="CK47" s="9" t="e">
        <f t="shared" ca="1" si="41"/>
        <v>#VALUE!</v>
      </c>
      <c r="CL47" s="1" t="e">
        <f t="shared" ca="1" si="41"/>
        <v>#VALUE!</v>
      </c>
      <c r="CM47" s="1" t="e">
        <f t="shared" ca="1" si="42"/>
        <v>#VALUE!</v>
      </c>
      <c r="CN47" s="1" t="e">
        <f t="shared" ca="1" si="43"/>
        <v>#VALUE!</v>
      </c>
      <c r="CO47" s="9" t="e">
        <f t="shared" ca="1" si="44"/>
        <v>#VALUE!</v>
      </c>
      <c r="CP47" s="1" t="e">
        <f t="shared" ca="1" si="44"/>
        <v>#VALUE!</v>
      </c>
      <c r="CQ47" s="1" t="e">
        <f t="shared" ca="1" si="45"/>
        <v>#VALUE!</v>
      </c>
      <c r="CR47" s="1" t="e">
        <f t="shared" ca="1" si="46"/>
        <v>#VALUE!</v>
      </c>
      <c r="CS47" s="9" t="e">
        <f t="shared" ca="1" si="47"/>
        <v>#VALUE!</v>
      </c>
      <c r="CT47" s="1" t="e">
        <f t="shared" ca="1" si="47"/>
        <v>#VALUE!</v>
      </c>
    </row>
    <row r="48" spans="1:98" x14ac:dyDescent="0.25">
      <c r="S48" s="8"/>
      <c r="T48" s="8"/>
      <c r="U48" s="8"/>
      <c r="V48" s="8"/>
      <c r="W48" s="8" t="e">
        <f ca="1">MATCH($E48,OFFSET([4]Hoja1!$X$4,V48-3,0,500-V48,1),0)+V48</f>
        <v>#VALUE!</v>
      </c>
      <c r="X48" s="8" t="e">
        <f ca="1">MATCH($E48,OFFSET([4]Hoja1!$X$4,W48-3,0,500-W48,1),0)+W48</f>
        <v>#VALUE!</v>
      </c>
      <c r="Y48" s="8" t="e">
        <f ca="1">MATCH($E48,OFFSET([4]Hoja1!$X$4,X48-3,0,500-X48,1),0)+X48</f>
        <v>#VALUE!</v>
      </c>
      <c r="Z48" s="8" t="e">
        <f ca="1">MATCH($E48,OFFSET([4]Hoja1!$X$4,Y48-3,0,500-Y48,1),0)+Y48</f>
        <v>#VALUE!</v>
      </c>
      <c r="AA48" s="8" t="e">
        <f ca="1">MATCH($E48,OFFSET([4]Hoja1!$X$4,Z48-3,0,500-Z48,1),0)+Z48</f>
        <v>#VALUE!</v>
      </c>
      <c r="AB48" s="8" t="e">
        <f ca="1">MATCH($E48,OFFSET([4]Hoja1!$X$4,AA48-3,0,500-AA48,1),0)+AA48</f>
        <v>#VALUE!</v>
      </c>
      <c r="AC48" s="8" t="e">
        <f ca="1">MATCH($E48,OFFSET([4]Hoja1!$X$4,AB48-3,0,500-AB48,1),0)+AB48</f>
        <v>#VALUE!</v>
      </c>
      <c r="AD48" s="8" t="e">
        <f ca="1">MATCH($E48,OFFSET([4]Hoja1!$X$4,AC48-3,0,500-AC48,1),0)+AC48</f>
        <v>#VALUE!</v>
      </c>
      <c r="AE48" s="8" t="e">
        <f ca="1">MATCH($E48,OFFSET([4]Hoja1!$X$4,AD48-3,0,500-AD48,1),0)+AD48</f>
        <v>#VALUE!</v>
      </c>
      <c r="AF48" s="8" t="e">
        <f ca="1">MATCH($E48,OFFSET([4]Hoja1!$X$4,AE48-3,0,500-AE48,1),0)+AE48</f>
        <v>#VALUE!</v>
      </c>
      <c r="AG48" s="8" t="e">
        <f ca="1">MATCH($E48,OFFSET([4]Hoja1!$X$4,AF48-3,0,500-AF48,1),0)+AF48</f>
        <v>#VALUE!</v>
      </c>
      <c r="AH48" s="8" t="e">
        <f ca="1">MATCH($E48,OFFSET([4]Hoja1!$X$4,AG48-3,0,500-AG48,1),0)+AG48</f>
        <v>#VALUE!</v>
      </c>
      <c r="AI48" s="1" t="str">
        <f t="shared" si="0"/>
        <v>'[Archivo con planillas totales y estandarizadas.xlsx]Hoja1'!$F</v>
      </c>
      <c r="AJ48" s="1" t="str">
        <f t="shared" si="1"/>
        <v>'[Archivo con planillas totales y estandarizadas.xlsx]Hoja1'!$M</v>
      </c>
      <c r="AK48" s="9" t="e">
        <f t="shared" ca="1" si="2"/>
        <v>#REF!</v>
      </c>
      <c r="AL48" s="1" t="e">
        <f t="shared" ca="1" si="2"/>
        <v>#REF!</v>
      </c>
      <c r="AM48" s="1" t="str">
        <f t="shared" si="3"/>
        <v>'[Archivo con planillas totales y estandarizadas.xlsx]Hoja1'!$F</v>
      </c>
      <c r="AN48" s="1" t="str">
        <f t="shared" si="4"/>
        <v>'[Archivo con planillas totales y estandarizadas.xlsx]Hoja1'!$M</v>
      </c>
      <c r="AO48" s="9" t="e">
        <f t="shared" ca="1" si="5"/>
        <v>#REF!</v>
      </c>
      <c r="AP48" s="1" t="e">
        <f t="shared" ca="1" si="5"/>
        <v>#REF!</v>
      </c>
      <c r="AQ48" s="1" t="str">
        <f t="shared" si="6"/>
        <v>'[Archivo con planillas totales y estandarizadas.xlsx]Hoja1'!$F</v>
      </c>
      <c r="AR48" s="1" t="str">
        <f t="shared" si="7"/>
        <v>'[Archivo con planillas totales y estandarizadas.xlsx]Hoja1'!$M</v>
      </c>
      <c r="AS48" s="9" t="e">
        <f t="shared" ca="1" si="8"/>
        <v>#REF!</v>
      </c>
      <c r="AT48" s="1" t="e">
        <f t="shared" ca="1" si="8"/>
        <v>#REF!</v>
      </c>
      <c r="AU48" s="1" t="str">
        <f t="shared" si="9"/>
        <v>'[Archivo con planillas totales y estandarizadas.xlsx]Hoja1'!$F</v>
      </c>
      <c r="AV48" s="1" t="str">
        <f t="shared" si="10"/>
        <v>'[Archivo con planillas totales y estandarizadas.xlsx]Hoja1'!$M</v>
      </c>
      <c r="AW48" s="9" t="e">
        <f t="shared" ca="1" si="11"/>
        <v>#REF!</v>
      </c>
      <c r="AX48" s="1" t="e">
        <f t="shared" ca="1" si="11"/>
        <v>#REF!</v>
      </c>
      <c r="AY48" s="1" t="e">
        <f t="shared" ca="1" si="12"/>
        <v>#VALUE!</v>
      </c>
      <c r="AZ48" s="1" t="e">
        <f t="shared" ca="1" si="13"/>
        <v>#VALUE!</v>
      </c>
      <c r="BA48" s="9" t="e">
        <f t="shared" ca="1" si="14"/>
        <v>#VALUE!</v>
      </c>
      <c r="BB48" s="1" t="e">
        <f t="shared" ca="1" si="14"/>
        <v>#VALUE!</v>
      </c>
      <c r="BC48" s="1" t="e">
        <f t="shared" ca="1" si="15"/>
        <v>#VALUE!</v>
      </c>
      <c r="BD48" s="1" t="e">
        <f t="shared" ca="1" si="16"/>
        <v>#VALUE!</v>
      </c>
      <c r="BE48" s="9" t="e">
        <f t="shared" ca="1" si="17"/>
        <v>#VALUE!</v>
      </c>
      <c r="BF48" s="1" t="e">
        <f t="shared" ca="1" si="17"/>
        <v>#VALUE!</v>
      </c>
      <c r="BG48" s="1" t="e">
        <f t="shared" ca="1" si="18"/>
        <v>#VALUE!</v>
      </c>
      <c r="BH48" s="1" t="e">
        <f t="shared" ca="1" si="19"/>
        <v>#VALUE!</v>
      </c>
      <c r="BI48" s="9" t="e">
        <f t="shared" ca="1" si="20"/>
        <v>#VALUE!</v>
      </c>
      <c r="BJ48" s="1" t="e">
        <f t="shared" ca="1" si="20"/>
        <v>#VALUE!</v>
      </c>
      <c r="BK48" s="1" t="e">
        <f t="shared" ca="1" si="21"/>
        <v>#VALUE!</v>
      </c>
      <c r="BL48" s="1" t="e">
        <f t="shared" ca="1" si="22"/>
        <v>#VALUE!</v>
      </c>
      <c r="BM48" s="9" t="e">
        <f t="shared" ca="1" si="23"/>
        <v>#VALUE!</v>
      </c>
      <c r="BN48" s="1" t="e">
        <f t="shared" ca="1" si="23"/>
        <v>#VALUE!</v>
      </c>
      <c r="BO48" s="1" t="e">
        <f t="shared" ca="1" si="24"/>
        <v>#VALUE!</v>
      </c>
      <c r="BP48" s="1" t="e">
        <f t="shared" ca="1" si="25"/>
        <v>#VALUE!</v>
      </c>
      <c r="BQ48" s="9" t="e">
        <f t="shared" ca="1" si="26"/>
        <v>#VALUE!</v>
      </c>
      <c r="BR48" s="1" t="e">
        <f t="shared" ca="1" si="26"/>
        <v>#VALUE!</v>
      </c>
      <c r="BS48" s="1" t="e">
        <f t="shared" ca="1" si="27"/>
        <v>#VALUE!</v>
      </c>
      <c r="BT48" s="1" t="e">
        <f t="shared" ca="1" si="28"/>
        <v>#VALUE!</v>
      </c>
      <c r="BU48" s="9" t="e">
        <f t="shared" ca="1" si="29"/>
        <v>#VALUE!</v>
      </c>
      <c r="BV48" s="1" t="e">
        <f t="shared" ca="1" si="29"/>
        <v>#VALUE!</v>
      </c>
      <c r="BW48" s="1" t="e">
        <f t="shared" ca="1" si="30"/>
        <v>#VALUE!</v>
      </c>
      <c r="BX48" s="1" t="e">
        <f t="shared" ca="1" si="31"/>
        <v>#VALUE!</v>
      </c>
      <c r="BY48" s="9" t="e">
        <f t="shared" ca="1" si="32"/>
        <v>#VALUE!</v>
      </c>
      <c r="BZ48" s="1" t="e">
        <f t="shared" ca="1" si="32"/>
        <v>#VALUE!</v>
      </c>
      <c r="CA48" s="1" t="e">
        <f t="shared" ca="1" si="33"/>
        <v>#VALUE!</v>
      </c>
      <c r="CB48" s="1" t="e">
        <f t="shared" ca="1" si="34"/>
        <v>#VALUE!</v>
      </c>
      <c r="CC48" s="9" t="e">
        <f t="shared" ca="1" si="35"/>
        <v>#VALUE!</v>
      </c>
      <c r="CD48" s="1" t="e">
        <f t="shared" ca="1" si="35"/>
        <v>#VALUE!</v>
      </c>
      <c r="CE48" s="1" t="e">
        <f t="shared" ca="1" si="36"/>
        <v>#VALUE!</v>
      </c>
      <c r="CF48" s="1" t="e">
        <f t="shared" ca="1" si="37"/>
        <v>#VALUE!</v>
      </c>
      <c r="CG48" s="9" t="e">
        <f t="shared" ca="1" si="38"/>
        <v>#VALUE!</v>
      </c>
      <c r="CH48" s="1" t="e">
        <f t="shared" ca="1" si="38"/>
        <v>#VALUE!</v>
      </c>
      <c r="CI48" s="1" t="e">
        <f t="shared" ca="1" si="39"/>
        <v>#VALUE!</v>
      </c>
      <c r="CJ48" s="1" t="e">
        <f t="shared" ca="1" si="40"/>
        <v>#VALUE!</v>
      </c>
      <c r="CK48" s="9" t="e">
        <f t="shared" ca="1" si="41"/>
        <v>#VALUE!</v>
      </c>
      <c r="CL48" s="1" t="e">
        <f t="shared" ca="1" si="41"/>
        <v>#VALUE!</v>
      </c>
      <c r="CM48" s="1" t="e">
        <f t="shared" ca="1" si="42"/>
        <v>#VALUE!</v>
      </c>
      <c r="CN48" s="1" t="e">
        <f t="shared" ca="1" si="43"/>
        <v>#VALUE!</v>
      </c>
      <c r="CO48" s="9" t="e">
        <f t="shared" ca="1" si="44"/>
        <v>#VALUE!</v>
      </c>
      <c r="CP48" s="1" t="e">
        <f t="shared" ca="1" si="44"/>
        <v>#VALUE!</v>
      </c>
      <c r="CQ48" s="1" t="e">
        <f t="shared" ca="1" si="45"/>
        <v>#VALUE!</v>
      </c>
      <c r="CR48" s="1" t="e">
        <f t="shared" ca="1" si="46"/>
        <v>#VALUE!</v>
      </c>
      <c r="CS48" s="9" t="e">
        <f t="shared" ca="1" si="47"/>
        <v>#VALUE!</v>
      </c>
      <c r="CT48" s="1" t="e">
        <f t="shared" ca="1" si="47"/>
        <v>#VALUE!</v>
      </c>
    </row>
    <row r="49" spans="19:98" x14ac:dyDescent="0.25">
      <c r="S49" s="8"/>
      <c r="T49" s="8"/>
      <c r="U49" s="8"/>
      <c r="V49" s="8"/>
      <c r="W49" s="8" t="e">
        <f ca="1">MATCH($E49,OFFSET([4]Hoja1!$X$4,V49-3,0,500-V49,1),0)+V49</f>
        <v>#VALUE!</v>
      </c>
      <c r="X49" s="8" t="e">
        <f ca="1">MATCH($E49,OFFSET([4]Hoja1!$X$4,W49-3,0,500-W49,1),0)+W49</f>
        <v>#VALUE!</v>
      </c>
      <c r="Y49" s="8" t="e">
        <f ca="1">MATCH($E49,OFFSET([4]Hoja1!$X$4,X49-3,0,500-X49,1),0)+X49</f>
        <v>#VALUE!</v>
      </c>
      <c r="Z49" s="8" t="e">
        <f ca="1">MATCH($E49,OFFSET([4]Hoja1!$X$4,Y49-3,0,500-Y49,1),0)+Y49</f>
        <v>#VALUE!</v>
      </c>
      <c r="AA49" s="8" t="e">
        <f ca="1">MATCH($E49,OFFSET([4]Hoja1!$X$4,Z49-3,0,500-Z49,1),0)+Z49</f>
        <v>#VALUE!</v>
      </c>
      <c r="AB49" s="8" t="e">
        <f ca="1">MATCH($E49,OFFSET([4]Hoja1!$X$4,AA49-3,0,500-AA49,1),0)+AA49</f>
        <v>#VALUE!</v>
      </c>
      <c r="AC49" s="8" t="e">
        <f ca="1">MATCH($E49,OFFSET([4]Hoja1!$X$4,AB49-3,0,500-AB49,1),0)+AB49</f>
        <v>#VALUE!</v>
      </c>
      <c r="AD49" s="8" t="e">
        <f ca="1">MATCH($E49,OFFSET([4]Hoja1!$X$4,AC49-3,0,500-AC49,1),0)+AC49</f>
        <v>#VALUE!</v>
      </c>
      <c r="AE49" s="8" t="e">
        <f ca="1">MATCH($E49,OFFSET([4]Hoja1!$X$4,AD49-3,0,500-AD49,1),0)+AD49</f>
        <v>#VALUE!</v>
      </c>
      <c r="AF49" s="8" t="e">
        <f ca="1">MATCH($E49,OFFSET([4]Hoja1!$X$4,AE49-3,0,500-AE49,1),0)+AE49</f>
        <v>#VALUE!</v>
      </c>
      <c r="AG49" s="8" t="e">
        <f ca="1">MATCH($E49,OFFSET([4]Hoja1!$X$4,AF49-3,0,500-AF49,1),0)+AF49</f>
        <v>#VALUE!</v>
      </c>
      <c r="AH49" s="8" t="e">
        <f ca="1">MATCH($E49,OFFSET([4]Hoja1!$X$4,AG49-3,0,500-AG49,1),0)+AG49</f>
        <v>#VALUE!</v>
      </c>
      <c r="AI49" s="1" t="str">
        <f t="shared" si="0"/>
        <v>'[Archivo con planillas totales y estandarizadas.xlsx]Hoja1'!$F</v>
      </c>
      <c r="AJ49" s="1" t="str">
        <f t="shared" si="1"/>
        <v>'[Archivo con planillas totales y estandarizadas.xlsx]Hoja1'!$M</v>
      </c>
      <c r="AK49" s="9" t="e">
        <f t="shared" ca="1" si="2"/>
        <v>#REF!</v>
      </c>
      <c r="AL49" s="1" t="e">
        <f t="shared" ca="1" si="2"/>
        <v>#REF!</v>
      </c>
      <c r="AM49" s="1" t="str">
        <f t="shared" si="3"/>
        <v>'[Archivo con planillas totales y estandarizadas.xlsx]Hoja1'!$F</v>
      </c>
      <c r="AN49" s="1" t="str">
        <f t="shared" si="4"/>
        <v>'[Archivo con planillas totales y estandarizadas.xlsx]Hoja1'!$M</v>
      </c>
      <c r="AO49" s="9" t="e">
        <f t="shared" ca="1" si="5"/>
        <v>#REF!</v>
      </c>
      <c r="AP49" s="1" t="e">
        <f t="shared" ca="1" si="5"/>
        <v>#REF!</v>
      </c>
      <c r="AQ49" s="1" t="str">
        <f t="shared" si="6"/>
        <v>'[Archivo con planillas totales y estandarizadas.xlsx]Hoja1'!$F</v>
      </c>
      <c r="AR49" s="1" t="str">
        <f t="shared" si="7"/>
        <v>'[Archivo con planillas totales y estandarizadas.xlsx]Hoja1'!$M</v>
      </c>
      <c r="AS49" s="9" t="e">
        <f t="shared" ca="1" si="8"/>
        <v>#REF!</v>
      </c>
      <c r="AT49" s="1" t="e">
        <f t="shared" ca="1" si="8"/>
        <v>#REF!</v>
      </c>
      <c r="AU49" s="1" t="str">
        <f t="shared" si="9"/>
        <v>'[Archivo con planillas totales y estandarizadas.xlsx]Hoja1'!$F</v>
      </c>
      <c r="AV49" s="1" t="str">
        <f t="shared" si="10"/>
        <v>'[Archivo con planillas totales y estandarizadas.xlsx]Hoja1'!$M</v>
      </c>
      <c r="AW49" s="9" t="e">
        <f t="shared" ca="1" si="11"/>
        <v>#REF!</v>
      </c>
      <c r="AX49" s="1" t="e">
        <f t="shared" ca="1" si="11"/>
        <v>#REF!</v>
      </c>
      <c r="AY49" s="1" t="e">
        <f t="shared" ca="1" si="12"/>
        <v>#VALUE!</v>
      </c>
      <c r="AZ49" s="1" t="e">
        <f t="shared" ca="1" si="13"/>
        <v>#VALUE!</v>
      </c>
      <c r="BA49" s="9" t="e">
        <f t="shared" ca="1" si="14"/>
        <v>#VALUE!</v>
      </c>
      <c r="BB49" s="1" t="e">
        <f t="shared" ca="1" si="14"/>
        <v>#VALUE!</v>
      </c>
      <c r="BC49" s="1" t="e">
        <f t="shared" ca="1" si="15"/>
        <v>#VALUE!</v>
      </c>
      <c r="BD49" s="1" t="e">
        <f t="shared" ca="1" si="16"/>
        <v>#VALUE!</v>
      </c>
      <c r="BE49" s="9" t="e">
        <f t="shared" ca="1" si="17"/>
        <v>#VALUE!</v>
      </c>
      <c r="BF49" s="1" t="e">
        <f t="shared" ca="1" si="17"/>
        <v>#VALUE!</v>
      </c>
      <c r="BG49" s="1" t="e">
        <f t="shared" ca="1" si="18"/>
        <v>#VALUE!</v>
      </c>
      <c r="BH49" s="1" t="e">
        <f t="shared" ca="1" si="19"/>
        <v>#VALUE!</v>
      </c>
      <c r="BI49" s="9" t="e">
        <f t="shared" ca="1" si="20"/>
        <v>#VALUE!</v>
      </c>
      <c r="BJ49" s="1" t="e">
        <f t="shared" ca="1" si="20"/>
        <v>#VALUE!</v>
      </c>
      <c r="BK49" s="1" t="e">
        <f t="shared" ca="1" si="21"/>
        <v>#VALUE!</v>
      </c>
      <c r="BL49" s="1" t="e">
        <f t="shared" ca="1" si="22"/>
        <v>#VALUE!</v>
      </c>
      <c r="BM49" s="9" t="e">
        <f t="shared" ca="1" si="23"/>
        <v>#VALUE!</v>
      </c>
      <c r="BN49" s="1" t="e">
        <f t="shared" ca="1" si="23"/>
        <v>#VALUE!</v>
      </c>
      <c r="BO49" s="1" t="e">
        <f t="shared" ca="1" si="24"/>
        <v>#VALUE!</v>
      </c>
      <c r="BP49" s="1" t="e">
        <f t="shared" ca="1" si="25"/>
        <v>#VALUE!</v>
      </c>
      <c r="BQ49" s="9" t="e">
        <f t="shared" ca="1" si="26"/>
        <v>#VALUE!</v>
      </c>
      <c r="BR49" s="1" t="e">
        <f t="shared" ca="1" si="26"/>
        <v>#VALUE!</v>
      </c>
      <c r="BS49" s="1" t="e">
        <f t="shared" ca="1" si="27"/>
        <v>#VALUE!</v>
      </c>
      <c r="BT49" s="1" t="e">
        <f t="shared" ca="1" si="28"/>
        <v>#VALUE!</v>
      </c>
      <c r="BU49" s="9" t="e">
        <f t="shared" ca="1" si="29"/>
        <v>#VALUE!</v>
      </c>
      <c r="BV49" s="1" t="e">
        <f t="shared" ca="1" si="29"/>
        <v>#VALUE!</v>
      </c>
      <c r="BW49" s="1" t="e">
        <f t="shared" ca="1" si="30"/>
        <v>#VALUE!</v>
      </c>
      <c r="BX49" s="1" t="e">
        <f t="shared" ca="1" si="31"/>
        <v>#VALUE!</v>
      </c>
      <c r="BY49" s="9" t="e">
        <f t="shared" ca="1" si="32"/>
        <v>#VALUE!</v>
      </c>
      <c r="BZ49" s="1" t="e">
        <f t="shared" ca="1" si="32"/>
        <v>#VALUE!</v>
      </c>
      <c r="CA49" s="1" t="e">
        <f t="shared" ca="1" si="33"/>
        <v>#VALUE!</v>
      </c>
      <c r="CB49" s="1" t="e">
        <f t="shared" ca="1" si="34"/>
        <v>#VALUE!</v>
      </c>
      <c r="CC49" s="9" t="e">
        <f t="shared" ca="1" si="35"/>
        <v>#VALUE!</v>
      </c>
      <c r="CD49" s="1" t="e">
        <f t="shared" ca="1" si="35"/>
        <v>#VALUE!</v>
      </c>
      <c r="CE49" s="1" t="e">
        <f t="shared" ca="1" si="36"/>
        <v>#VALUE!</v>
      </c>
      <c r="CF49" s="1" t="e">
        <f t="shared" ca="1" si="37"/>
        <v>#VALUE!</v>
      </c>
      <c r="CG49" s="9" t="e">
        <f t="shared" ca="1" si="38"/>
        <v>#VALUE!</v>
      </c>
      <c r="CH49" s="1" t="e">
        <f t="shared" ca="1" si="38"/>
        <v>#VALUE!</v>
      </c>
      <c r="CI49" s="1" t="e">
        <f t="shared" ca="1" si="39"/>
        <v>#VALUE!</v>
      </c>
      <c r="CJ49" s="1" t="e">
        <f t="shared" ca="1" si="40"/>
        <v>#VALUE!</v>
      </c>
      <c r="CK49" s="9" t="e">
        <f t="shared" ca="1" si="41"/>
        <v>#VALUE!</v>
      </c>
      <c r="CL49" s="1" t="e">
        <f t="shared" ca="1" si="41"/>
        <v>#VALUE!</v>
      </c>
      <c r="CM49" s="1" t="e">
        <f t="shared" ca="1" si="42"/>
        <v>#VALUE!</v>
      </c>
      <c r="CN49" s="1" t="e">
        <f t="shared" ca="1" si="43"/>
        <v>#VALUE!</v>
      </c>
      <c r="CO49" s="9" t="e">
        <f t="shared" ca="1" si="44"/>
        <v>#VALUE!</v>
      </c>
      <c r="CP49" s="1" t="e">
        <f t="shared" ca="1" si="44"/>
        <v>#VALUE!</v>
      </c>
      <c r="CQ49" s="1" t="e">
        <f t="shared" ca="1" si="45"/>
        <v>#VALUE!</v>
      </c>
      <c r="CR49" s="1" t="e">
        <f t="shared" ca="1" si="46"/>
        <v>#VALUE!</v>
      </c>
      <c r="CS49" s="9" t="e">
        <f t="shared" ca="1" si="47"/>
        <v>#VALUE!</v>
      </c>
      <c r="CT49" s="1" t="e">
        <f t="shared" ca="1" si="47"/>
        <v>#VALUE!</v>
      </c>
    </row>
    <row r="50" spans="19:98" x14ac:dyDescent="0.25">
      <c r="S50" s="8"/>
      <c r="T50" s="8"/>
      <c r="U50" s="8"/>
      <c r="V50" s="8"/>
      <c r="W50" s="8" t="e">
        <f ca="1">MATCH($E50,OFFSET([4]Hoja1!$X$4,V50-3,0,500-V50,1),0)+V50</f>
        <v>#VALUE!</v>
      </c>
      <c r="X50" s="8" t="e">
        <f ca="1">MATCH($E50,OFFSET([4]Hoja1!$X$4,W50-3,0,500-W50,1),0)+W50</f>
        <v>#VALUE!</v>
      </c>
      <c r="Y50" s="8" t="e">
        <f ca="1">MATCH($E50,OFFSET([4]Hoja1!$X$4,X50-3,0,500-X50,1),0)+X50</f>
        <v>#VALUE!</v>
      </c>
      <c r="Z50" s="8" t="e">
        <f ca="1">MATCH($E50,OFFSET([4]Hoja1!$X$4,Y50-3,0,500-Y50,1),0)+Y50</f>
        <v>#VALUE!</v>
      </c>
      <c r="AA50" s="8" t="e">
        <f ca="1">MATCH($E50,OFFSET([4]Hoja1!$X$4,Z50-3,0,500-Z50,1),0)+Z50</f>
        <v>#VALUE!</v>
      </c>
      <c r="AB50" s="8" t="e">
        <f ca="1">MATCH($E50,OFFSET([4]Hoja1!$X$4,AA50-3,0,500-AA50,1),0)+AA50</f>
        <v>#VALUE!</v>
      </c>
      <c r="AC50" s="8" t="e">
        <f ca="1">MATCH($E50,OFFSET([4]Hoja1!$X$4,AB50-3,0,500-AB50,1),0)+AB50</f>
        <v>#VALUE!</v>
      </c>
      <c r="AD50" s="8" t="e">
        <f ca="1">MATCH($E50,OFFSET([4]Hoja1!$X$4,AC50-3,0,500-AC50,1),0)+AC50</f>
        <v>#VALUE!</v>
      </c>
      <c r="AE50" s="8" t="e">
        <f ca="1">MATCH($E50,OFFSET([4]Hoja1!$X$4,AD50-3,0,500-AD50,1),0)+AD50</f>
        <v>#VALUE!</v>
      </c>
      <c r="AF50" s="8" t="e">
        <f ca="1">MATCH($E50,OFFSET([4]Hoja1!$X$4,AE50-3,0,500-AE50,1),0)+AE50</f>
        <v>#VALUE!</v>
      </c>
      <c r="AG50" s="8" t="e">
        <f ca="1">MATCH($E50,OFFSET([4]Hoja1!$X$4,AF50-3,0,500-AF50,1),0)+AF50</f>
        <v>#VALUE!</v>
      </c>
      <c r="AH50" s="8" t="e">
        <f ca="1">MATCH($E50,OFFSET([4]Hoja1!$X$4,AG50-3,0,500-AG50,1),0)+AG50</f>
        <v>#VALUE!</v>
      </c>
      <c r="AI50" s="1" t="str">
        <f t="shared" si="0"/>
        <v>'[Archivo con planillas totales y estandarizadas.xlsx]Hoja1'!$F</v>
      </c>
      <c r="AJ50" s="1" t="str">
        <f t="shared" si="1"/>
        <v>'[Archivo con planillas totales y estandarizadas.xlsx]Hoja1'!$M</v>
      </c>
      <c r="AK50" s="9" t="e">
        <f t="shared" ca="1" si="2"/>
        <v>#REF!</v>
      </c>
      <c r="AL50" s="1" t="e">
        <f t="shared" ca="1" si="2"/>
        <v>#REF!</v>
      </c>
      <c r="AM50" s="1" t="str">
        <f t="shared" si="3"/>
        <v>'[Archivo con planillas totales y estandarizadas.xlsx]Hoja1'!$F</v>
      </c>
      <c r="AN50" s="1" t="str">
        <f t="shared" si="4"/>
        <v>'[Archivo con planillas totales y estandarizadas.xlsx]Hoja1'!$M</v>
      </c>
      <c r="AO50" s="9" t="e">
        <f t="shared" ca="1" si="5"/>
        <v>#REF!</v>
      </c>
      <c r="AP50" s="1" t="e">
        <f t="shared" ca="1" si="5"/>
        <v>#REF!</v>
      </c>
      <c r="AQ50" s="1" t="str">
        <f t="shared" si="6"/>
        <v>'[Archivo con planillas totales y estandarizadas.xlsx]Hoja1'!$F</v>
      </c>
      <c r="AR50" s="1" t="str">
        <f t="shared" si="7"/>
        <v>'[Archivo con planillas totales y estandarizadas.xlsx]Hoja1'!$M</v>
      </c>
      <c r="AS50" s="9" t="e">
        <f t="shared" ca="1" si="8"/>
        <v>#REF!</v>
      </c>
      <c r="AT50" s="1" t="e">
        <f t="shared" ca="1" si="8"/>
        <v>#REF!</v>
      </c>
      <c r="AU50" s="1" t="str">
        <f t="shared" si="9"/>
        <v>'[Archivo con planillas totales y estandarizadas.xlsx]Hoja1'!$F</v>
      </c>
      <c r="AV50" s="1" t="str">
        <f t="shared" si="10"/>
        <v>'[Archivo con planillas totales y estandarizadas.xlsx]Hoja1'!$M</v>
      </c>
      <c r="AW50" s="9" t="e">
        <f t="shared" ca="1" si="11"/>
        <v>#REF!</v>
      </c>
      <c r="AX50" s="1" t="e">
        <f t="shared" ca="1" si="11"/>
        <v>#REF!</v>
      </c>
      <c r="AY50" s="1" t="e">
        <f t="shared" ca="1" si="12"/>
        <v>#VALUE!</v>
      </c>
      <c r="AZ50" s="1" t="e">
        <f t="shared" ca="1" si="13"/>
        <v>#VALUE!</v>
      </c>
      <c r="BA50" s="9" t="e">
        <f t="shared" ca="1" si="14"/>
        <v>#VALUE!</v>
      </c>
      <c r="BB50" s="1" t="e">
        <f t="shared" ca="1" si="14"/>
        <v>#VALUE!</v>
      </c>
      <c r="BC50" s="1" t="e">
        <f t="shared" ca="1" si="15"/>
        <v>#VALUE!</v>
      </c>
      <c r="BD50" s="1" t="e">
        <f t="shared" ca="1" si="16"/>
        <v>#VALUE!</v>
      </c>
      <c r="BE50" s="9" t="e">
        <f t="shared" ca="1" si="17"/>
        <v>#VALUE!</v>
      </c>
      <c r="BF50" s="1" t="e">
        <f t="shared" ca="1" si="17"/>
        <v>#VALUE!</v>
      </c>
      <c r="BG50" s="1" t="e">
        <f t="shared" ca="1" si="18"/>
        <v>#VALUE!</v>
      </c>
      <c r="BH50" s="1" t="e">
        <f t="shared" ca="1" si="19"/>
        <v>#VALUE!</v>
      </c>
      <c r="BI50" s="9" t="e">
        <f t="shared" ca="1" si="20"/>
        <v>#VALUE!</v>
      </c>
      <c r="BJ50" s="1" t="e">
        <f t="shared" ca="1" si="20"/>
        <v>#VALUE!</v>
      </c>
      <c r="BK50" s="1" t="e">
        <f t="shared" ca="1" si="21"/>
        <v>#VALUE!</v>
      </c>
      <c r="BL50" s="1" t="e">
        <f t="shared" ca="1" si="22"/>
        <v>#VALUE!</v>
      </c>
      <c r="BM50" s="9" t="e">
        <f t="shared" ca="1" si="23"/>
        <v>#VALUE!</v>
      </c>
      <c r="BN50" s="1" t="e">
        <f t="shared" ca="1" si="23"/>
        <v>#VALUE!</v>
      </c>
      <c r="BO50" s="1" t="e">
        <f t="shared" ca="1" si="24"/>
        <v>#VALUE!</v>
      </c>
      <c r="BP50" s="1" t="e">
        <f t="shared" ca="1" si="25"/>
        <v>#VALUE!</v>
      </c>
      <c r="BQ50" s="9" t="e">
        <f t="shared" ca="1" si="26"/>
        <v>#VALUE!</v>
      </c>
      <c r="BR50" s="1" t="e">
        <f t="shared" ca="1" si="26"/>
        <v>#VALUE!</v>
      </c>
      <c r="BS50" s="1" t="e">
        <f t="shared" ca="1" si="27"/>
        <v>#VALUE!</v>
      </c>
      <c r="BT50" s="1" t="e">
        <f t="shared" ca="1" si="28"/>
        <v>#VALUE!</v>
      </c>
      <c r="BU50" s="9" t="e">
        <f t="shared" ca="1" si="29"/>
        <v>#VALUE!</v>
      </c>
      <c r="BV50" s="1" t="e">
        <f t="shared" ca="1" si="29"/>
        <v>#VALUE!</v>
      </c>
      <c r="BW50" s="1" t="e">
        <f t="shared" ca="1" si="30"/>
        <v>#VALUE!</v>
      </c>
      <c r="BX50" s="1" t="e">
        <f t="shared" ca="1" si="31"/>
        <v>#VALUE!</v>
      </c>
      <c r="BY50" s="9" t="e">
        <f t="shared" ca="1" si="32"/>
        <v>#VALUE!</v>
      </c>
      <c r="BZ50" s="1" t="e">
        <f t="shared" ca="1" si="32"/>
        <v>#VALUE!</v>
      </c>
      <c r="CA50" s="1" t="e">
        <f t="shared" ca="1" si="33"/>
        <v>#VALUE!</v>
      </c>
      <c r="CB50" s="1" t="e">
        <f t="shared" ca="1" si="34"/>
        <v>#VALUE!</v>
      </c>
      <c r="CC50" s="9" t="e">
        <f t="shared" ca="1" si="35"/>
        <v>#VALUE!</v>
      </c>
      <c r="CD50" s="1" t="e">
        <f t="shared" ca="1" si="35"/>
        <v>#VALUE!</v>
      </c>
      <c r="CE50" s="1" t="e">
        <f t="shared" ca="1" si="36"/>
        <v>#VALUE!</v>
      </c>
      <c r="CF50" s="1" t="e">
        <f t="shared" ca="1" si="37"/>
        <v>#VALUE!</v>
      </c>
      <c r="CG50" s="9" t="e">
        <f t="shared" ca="1" si="38"/>
        <v>#VALUE!</v>
      </c>
      <c r="CH50" s="1" t="e">
        <f t="shared" ca="1" si="38"/>
        <v>#VALUE!</v>
      </c>
      <c r="CI50" s="1" t="e">
        <f t="shared" ca="1" si="39"/>
        <v>#VALUE!</v>
      </c>
      <c r="CJ50" s="1" t="e">
        <f t="shared" ca="1" si="40"/>
        <v>#VALUE!</v>
      </c>
      <c r="CK50" s="9" t="e">
        <f t="shared" ca="1" si="41"/>
        <v>#VALUE!</v>
      </c>
      <c r="CL50" s="1" t="e">
        <f t="shared" ca="1" si="41"/>
        <v>#VALUE!</v>
      </c>
      <c r="CM50" s="1" t="e">
        <f t="shared" ca="1" si="42"/>
        <v>#VALUE!</v>
      </c>
      <c r="CN50" s="1" t="e">
        <f t="shared" ca="1" si="43"/>
        <v>#VALUE!</v>
      </c>
      <c r="CO50" s="9" t="e">
        <f t="shared" ca="1" si="44"/>
        <v>#VALUE!</v>
      </c>
      <c r="CP50" s="1" t="e">
        <f t="shared" ca="1" si="44"/>
        <v>#VALUE!</v>
      </c>
      <c r="CQ50" s="1" t="e">
        <f t="shared" ca="1" si="45"/>
        <v>#VALUE!</v>
      </c>
      <c r="CR50" s="1" t="e">
        <f t="shared" ca="1" si="46"/>
        <v>#VALUE!</v>
      </c>
      <c r="CS50" s="9" t="e">
        <f t="shared" ca="1" si="47"/>
        <v>#VALUE!</v>
      </c>
      <c r="CT50" s="1" t="e">
        <f t="shared" ca="1" si="47"/>
        <v>#VALUE!</v>
      </c>
    </row>
    <row r="51" spans="19:98" x14ac:dyDescent="0.25">
      <c r="S51" s="8"/>
      <c r="T51" s="8"/>
      <c r="U51" s="8"/>
      <c r="V51" s="8"/>
      <c r="W51" s="8" t="e">
        <f ca="1">MATCH($E51,OFFSET([4]Hoja1!$X$4,V51-3,0,500-V51,1),0)+V51</f>
        <v>#VALUE!</v>
      </c>
      <c r="X51" s="8" t="e">
        <f ca="1">MATCH($E51,OFFSET([4]Hoja1!$X$4,W51-3,0,500-W51,1),0)+W51</f>
        <v>#VALUE!</v>
      </c>
      <c r="Y51" s="8" t="e">
        <f ca="1">MATCH($E51,OFFSET([4]Hoja1!$X$4,X51-3,0,500-X51,1),0)+X51</f>
        <v>#VALUE!</v>
      </c>
      <c r="Z51" s="8" t="e">
        <f ca="1">MATCH($E51,OFFSET([4]Hoja1!$X$4,Y51-3,0,500-Y51,1),0)+Y51</f>
        <v>#VALUE!</v>
      </c>
      <c r="AA51" s="8" t="e">
        <f ca="1">MATCH($E51,OFFSET([4]Hoja1!$X$4,Z51-3,0,500-Z51,1),0)+Z51</f>
        <v>#VALUE!</v>
      </c>
      <c r="AB51" s="8" t="e">
        <f ca="1">MATCH($E51,OFFSET([4]Hoja1!$X$4,AA51-3,0,500-AA51,1),0)+AA51</f>
        <v>#VALUE!</v>
      </c>
      <c r="AC51" s="8" t="e">
        <f ca="1">MATCH($E51,OFFSET([4]Hoja1!$X$4,AB51-3,0,500-AB51,1),0)+AB51</f>
        <v>#VALUE!</v>
      </c>
      <c r="AD51" s="8" t="e">
        <f ca="1">MATCH($E51,OFFSET([4]Hoja1!$X$4,AC51-3,0,500-AC51,1),0)+AC51</f>
        <v>#VALUE!</v>
      </c>
      <c r="AE51" s="8" t="e">
        <f ca="1">MATCH($E51,OFFSET([4]Hoja1!$X$4,AD51-3,0,500-AD51,1),0)+AD51</f>
        <v>#VALUE!</v>
      </c>
      <c r="AF51" s="8" t="e">
        <f ca="1">MATCH($E51,OFFSET([4]Hoja1!$X$4,AE51-3,0,500-AE51,1),0)+AE51</f>
        <v>#VALUE!</v>
      </c>
      <c r="AG51" s="8" t="e">
        <f ca="1">MATCH($E51,OFFSET([4]Hoja1!$X$4,AF51-3,0,500-AF51,1),0)+AF51</f>
        <v>#VALUE!</v>
      </c>
      <c r="AH51" s="8" t="e">
        <f ca="1">MATCH($E51,OFFSET([4]Hoja1!$X$4,AG51-3,0,500-AG51,1),0)+AG51</f>
        <v>#VALUE!</v>
      </c>
      <c r="AI51" s="1" t="str">
        <f t="shared" si="0"/>
        <v>'[Archivo con planillas totales y estandarizadas.xlsx]Hoja1'!$F</v>
      </c>
      <c r="AJ51" s="1" t="str">
        <f t="shared" si="1"/>
        <v>'[Archivo con planillas totales y estandarizadas.xlsx]Hoja1'!$M</v>
      </c>
      <c r="AK51" s="9" t="e">
        <f t="shared" ca="1" si="2"/>
        <v>#REF!</v>
      </c>
      <c r="AL51" s="1" t="e">
        <f t="shared" ca="1" si="2"/>
        <v>#REF!</v>
      </c>
      <c r="AM51" s="1" t="str">
        <f t="shared" si="3"/>
        <v>'[Archivo con planillas totales y estandarizadas.xlsx]Hoja1'!$F</v>
      </c>
      <c r="AN51" s="1" t="str">
        <f t="shared" si="4"/>
        <v>'[Archivo con planillas totales y estandarizadas.xlsx]Hoja1'!$M</v>
      </c>
      <c r="AO51" s="9" t="e">
        <f t="shared" ca="1" si="5"/>
        <v>#REF!</v>
      </c>
      <c r="AP51" s="1" t="e">
        <f t="shared" ca="1" si="5"/>
        <v>#REF!</v>
      </c>
      <c r="AQ51" s="1" t="str">
        <f t="shared" si="6"/>
        <v>'[Archivo con planillas totales y estandarizadas.xlsx]Hoja1'!$F</v>
      </c>
      <c r="AR51" s="1" t="str">
        <f t="shared" si="7"/>
        <v>'[Archivo con planillas totales y estandarizadas.xlsx]Hoja1'!$M</v>
      </c>
      <c r="AS51" s="9" t="e">
        <f t="shared" ca="1" si="8"/>
        <v>#REF!</v>
      </c>
      <c r="AT51" s="1" t="e">
        <f t="shared" ca="1" si="8"/>
        <v>#REF!</v>
      </c>
      <c r="AU51" s="1" t="str">
        <f t="shared" si="9"/>
        <v>'[Archivo con planillas totales y estandarizadas.xlsx]Hoja1'!$F</v>
      </c>
      <c r="AV51" s="1" t="str">
        <f t="shared" si="10"/>
        <v>'[Archivo con planillas totales y estandarizadas.xlsx]Hoja1'!$M</v>
      </c>
      <c r="AW51" s="9" t="e">
        <f t="shared" ca="1" si="11"/>
        <v>#REF!</v>
      </c>
      <c r="AX51" s="1" t="e">
        <f t="shared" ca="1" si="11"/>
        <v>#REF!</v>
      </c>
      <c r="AY51" s="1" t="e">
        <f t="shared" ca="1" si="12"/>
        <v>#VALUE!</v>
      </c>
      <c r="AZ51" s="1" t="e">
        <f t="shared" ca="1" si="13"/>
        <v>#VALUE!</v>
      </c>
      <c r="BA51" s="9" t="e">
        <f t="shared" ca="1" si="14"/>
        <v>#VALUE!</v>
      </c>
      <c r="BB51" s="1" t="e">
        <f t="shared" ca="1" si="14"/>
        <v>#VALUE!</v>
      </c>
      <c r="BC51" s="1" t="e">
        <f t="shared" ca="1" si="15"/>
        <v>#VALUE!</v>
      </c>
      <c r="BD51" s="1" t="e">
        <f t="shared" ca="1" si="16"/>
        <v>#VALUE!</v>
      </c>
      <c r="BE51" s="9" t="e">
        <f t="shared" ca="1" si="17"/>
        <v>#VALUE!</v>
      </c>
      <c r="BF51" s="1" t="e">
        <f t="shared" ca="1" si="17"/>
        <v>#VALUE!</v>
      </c>
      <c r="BG51" s="1" t="e">
        <f t="shared" ca="1" si="18"/>
        <v>#VALUE!</v>
      </c>
      <c r="BH51" s="1" t="e">
        <f t="shared" ca="1" si="19"/>
        <v>#VALUE!</v>
      </c>
      <c r="BI51" s="9" t="e">
        <f t="shared" ca="1" si="20"/>
        <v>#VALUE!</v>
      </c>
      <c r="BJ51" s="1" t="e">
        <f t="shared" ca="1" si="20"/>
        <v>#VALUE!</v>
      </c>
      <c r="BK51" s="1" t="e">
        <f t="shared" ca="1" si="21"/>
        <v>#VALUE!</v>
      </c>
      <c r="BL51" s="1" t="e">
        <f t="shared" ca="1" si="22"/>
        <v>#VALUE!</v>
      </c>
      <c r="BM51" s="9" t="e">
        <f t="shared" ca="1" si="23"/>
        <v>#VALUE!</v>
      </c>
      <c r="BN51" s="1" t="e">
        <f t="shared" ca="1" si="23"/>
        <v>#VALUE!</v>
      </c>
      <c r="BO51" s="1" t="e">
        <f t="shared" ca="1" si="24"/>
        <v>#VALUE!</v>
      </c>
      <c r="BP51" s="1" t="e">
        <f t="shared" ca="1" si="25"/>
        <v>#VALUE!</v>
      </c>
      <c r="BQ51" s="9" t="e">
        <f t="shared" ca="1" si="26"/>
        <v>#VALUE!</v>
      </c>
      <c r="BR51" s="1" t="e">
        <f t="shared" ca="1" si="26"/>
        <v>#VALUE!</v>
      </c>
      <c r="BS51" s="1" t="e">
        <f t="shared" ca="1" si="27"/>
        <v>#VALUE!</v>
      </c>
      <c r="BT51" s="1" t="e">
        <f t="shared" ca="1" si="28"/>
        <v>#VALUE!</v>
      </c>
      <c r="BU51" s="9" t="e">
        <f t="shared" ca="1" si="29"/>
        <v>#VALUE!</v>
      </c>
      <c r="BV51" s="1" t="e">
        <f t="shared" ca="1" si="29"/>
        <v>#VALUE!</v>
      </c>
      <c r="BW51" s="1" t="e">
        <f t="shared" ca="1" si="30"/>
        <v>#VALUE!</v>
      </c>
      <c r="BX51" s="1" t="e">
        <f t="shared" ca="1" si="31"/>
        <v>#VALUE!</v>
      </c>
      <c r="BY51" s="9" t="e">
        <f t="shared" ca="1" si="32"/>
        <v>#VALUE!</v>
      </c>
      <c r="BZ51" s="1" t="e">
        <f t="shared" ca="1" si="32"/>
        <v>#VALUE!</v>
      </c>
      <c r="CA51" s="1" t="e">
        <f t="shared" ca="1" si="33"/>
        <v>#VALUE!</v>
      </c>
      <c r="CB51" s="1" t="e">
        <f t="shared" ca="1" si="34"/>
        <v>#VALUE!</v>
      </c>
      <c r="CC51" s="9" t="e">
        <f t="shared" ca="1" si="35"/>
        <v>#VALUE!</v>
      </c>
      <c r="CD51" s="1" t="e">
        <f t="shared" ca="1" si="35"/>
        <v>#VALUE!</v>
      </c>
      <c r="CE51" s="1" t="e">
        <f t="shared" ca="1" si="36"/>
        <v>#VALUE!</v>
      </c>
      <c r="CF51" s="1" t="e">
        <f t="shared" ca="1" si="37"/>
        <v>#VALUE!</v>
      </c>
      <c r="CG51" s="9" t="e">
        <f t="shared" ca="1" si="38"/>
        <v>#VALUE!</v>
      </c>
      <c r="CH51" s="1" t="e">
        <f t="shared" ca="1" si="38"/>
        <v>#VALUE!</v>
      </c>
      <c r="CI51" s="1" t="e">
        <f t="shared" ca="1" si="39"/>
        <v>#VALUE!</v>
      </c>
      <c r="CJ51" s="1" t="e">
        <f t="shared" ca="1" si="40"/>
        <v>#VALUE!</v>
      </c>
      <c r="CK51" s="9" t="e">
        <f t="shared" ca="1" si="41"/>
        <v>#VALUE!</v>
      </c>
      <c r="CL51" s="1" t="e">
        <f t="shared" ca="1" si="41"/>
        <v>#VALUE!</v>
      </c>
      <c r="CM51" s="1" t="e">
        <f t="shared" ca="1" si="42"/>
        <v>#VALUE!</v>
      </c>
      <c r="CN51" s="1" t="e">
        <f t="shared" ca="1" si="43"/>
        <v>#VALUE!</v>
      </c>
      <c r="CO51" s="9" t="e">
        <f t="shared" ca="1" si="44"/>
        <v>#VALUE!</v>
      </c>
      <c r="CP51" s="1" t="e">
        <f t="shared" ca="1" si="44"/>
        <v>#VALUE!</v>
      </c>
      <c r="CQ51" s="1" t="e">
        <f t="shared" ca="1" si="45"/>
        <v>#VALUE!</v>
      </c>
      <c r="CR51" s="1" t="e">
        <f t="shared" ca="1" si="46"/>
        <v>#VALUE!</v>
      </c>
      <c r="CS51" s="9" t="e">
        <f t="shared" ca="1" si="47"/>
        <v>#VALUE!</v>
      </c>
      <c r="CT51" s="1" t="e">
        <f t="shared" ca="1" si="47"/>
        <v>#VALUE!</v>
      </c>
    </row>
    <row r="52" spans="19:98" x14ac:dyDescent="0.25">
      <c r="S52" s="8"/>
      <c r="T52" s="8"/>
      <c r="U52" s="8"/>
      <c r="V52" s="8"/>
      <c r="W52" s="8" t="e">
        <f ca="1">MATCH($E52,OFFSET([4]Hoja1!$X$4,V52-3,0,500-V52,1),0)+V52</f>
        <v>#VALUE!</v>
      </c>
      <c r="X52" s="8" t="e">
        <f ca="1">MATCH($E52,OFFSET([4]Hoja1!$X$4,W52-3,0,500-W52,1),0)+W52</f>
        <v>#VALUE!</v>
      </c>
      <c r="Y52" s="8" t="e">
        <f ca="1">MATCH($E52,OFFSET([4]Hoja1!$X$4,X52-3,0,500-X52,1),0)+X52</f>
        <v>#VALUE!</v>
      </c>
      <c r="Z52" s="8" t="e">
        <f ca="1">MATCH($E52,OFFSET([4]Hoja1!$X$4,Y52-3,0,500-Y52,1),0)+Y52</f>
        <v>#VALUE!</v>
      </c>
      <c r="AA52" s="8" t="e">
        <f ca="1">MATCH($E52,OFFSET([4]Hoja1!$X$4,Z52-3,0,500-Z52,1),0)+Z52</f>
        <v>#VALUE!</v>
      </c>
      <c r="AB52" s="8" t="e">
        <f ca="1">MATCH($E52,OFFSET([4]Hoja1!$X$4,AA52-3,0,500-AA52,1),0)+AA52</f>
        <v>#VALUE!</v>
      </c>
      <c r="AC52" s="8" t="e">
        <f ca="1">MATCH($E52,OFFSET([4]Hoja1!$X$4,AB52-3,0,500-AB52,1),0)+AB52</f>
        <v>#VALUE!</v>
      </c>
      <c r="AD52" s="8" t="e">
        <f ca="1">MATCH($E52,OFFSET([4]Hoja1!$X$4,AC52-3,0,500-AC52,1),0)+AC52</f>
        <v>#VALUE!</v>
      </c>
      <c r="AE52" s="8" t="e">
        <f ca="1">MATCH($E52,OFFSET([4]Hoja1!$X$4,AD52-3,0,500-AD52,1),0)+AD52</f>
        <v>#VALUE!</v>
      </c>
      <c r="AF52" s="8" t="e">
        <f ca="1">MATCH($E52,OFFSET([4]Hoja1!$X$4,AE52-3,0,500-AE52,1),0)+AE52</f>
        <v>#VALUE!</v>
      </c>
      <c r="AG52" s="8" t="e">
        <f ca="1">MATCH($E52,OFFSET([4]Hoja1!$X$4,AF52-3,0,500-AF52,1),0)+AF52</f>
        <v>#VALUE!</v>
      </c>
      <c r="AH52" s="8" t="e">
        <f ca="1">MATCH($E52,OFFSET([4]Hoja1!$X$4,AG52-3,0,500-AG52,1),0)+AG52</f>
        <v>#VALUE!</v>
      </c>
      <c r="AI52" s="1" t="str">
        <f t="shared" si="0"/>
        <v>'[Archivo con planillas totales y estandarizadas.xlsx]Hoja1'!$F</v>
      </c>
      <c r="AJ52" s="1" t="str">
        <f t="shared" si="1"/>
        <v>'[Archivo con planillas totales y estandarizadas.xlsx]Hoja1'!$M</v>
      </c>
      <c r="AK52" s="9" t="e">
        <f t="shared" ca="1" si="2"/>
        <v>#REF!</v>
      </c>
      <c r="AL52" s="1" t="e">
        <f t="shared" ca="1" si="2"/>
        <v>#REF!</v>
      </c>
      <c r="AM52" s="1" t="str">
        <f t="shared" si="3"/>
        <v>'[Archivo con planillas totales y estandarizadas.xlsx]Hoja1'!$F</v>
      </c>
      <c r="AN52" s="1" t="str">
        <f t="shared" si="4"/>
        <v>'[Archivo con planillas totales y estandarizadas.xlsx]Hoja1'!$M</v>
      </c>
      <c r="AO52" s="9" t="e">
        <f t="shared" ca="1" si="5"/>
        <v>#REF!</v>
      </c>
      <c r="AP52" s="1" t="e">
        <f t="shared" ca="1" si="5"/>
        <v>#REF!</v>
      </c>
      <c r="AQ52" s="1" t="str">
        <f t="shared" si="6"/>
        <v>'[Archivo con planillas totales y estandarizadas.xlsx]Hoja1'!$F</v>
      </c>
      <c r="AR52" s="1" t="str">
        <f t="shared" si="7"/>
        <v>'[Archivo con planillas totales y estandarizadas.xlsx]Hoja1'!$M</v>
      </c>
      <c r="AS52" s="9" t="e">
        <f t="shared" ca="1" si="8"/>
        <v>#REF!</v>
      </c>
      <c r="AT52" s="1" t="e">
        <f t="shared" ca="1" si="8"/>
        <v>#REF!</v>
      </c>
      <c r="AU52" s="1" t="str">
        <f t="shared" si="9"/>
        <v>'[Archivo con planillas totales y estandarizadas.xlsx]Hoja1'!$F</v>
      </c>
      <c r="AV52" s="1" t="str">
        <f t="shared" si="10"/>
        <v>'[Archivo con planillas totales y estandarizadas.xlsx]Hoja1'!$M</v>
      </c>
      <c r="AW52" s="9" t="e">
        <f t="shared" ca="1" si="11"/>
        <v>#REF!</v>
      </c>
      <c r="AX52" s="1" t="e">
        <f t="shared" ca="1" si="11"/>
        <v>#REF!</v>
      </c>
      <c r="AY52" s="1" t="e">
        <f t="shared" ca="1" si="12"/>
        <v>#VALUE!</v>
      </c>
      <c r="AZ52" s="1" t="e">
        <f t="shared" ca="1" si="13"/>
        <v>#VALUE!</v>
      </c>
      <c r="BA52" s="9" t="e">
        <f t="shared" ca="1" si="14"/>
        <v>#VALUE!</v>
      </c>
      <c r="BB52" s="1" t="e">
        <f t="shared" ca="1" si="14"/>
        <v>#VALUE!</v>
      </c>
      <c r="BC52" s="1" t="e">
        <f t="shared" ca="1" si="15"/>
        <v>#VALUE!</v>
      </c>
      <c r="BD52" s="1" t="e">
        <f t="shared" ca="1" si="16"/>
        <v>#VALUE!</v>
      </c>
      <c r="BE52" s="9" t="e">
        <f t="shared" ca="1" si="17"/>
        <v>#VALUE!</v>
      </c>
      <c r="BF52" s="1" t="e">
        <f t="shared" ca="1" si="17"/>
        <v>#VALUE!</v>
      </c>
      <c r="BG52" s="1" t="e">
        <f t="shared" ca="1" si="18"/>
        <v>#VALUE!</v>
      </c>
      <c r="BH52" s="1" t="e">
        <f t="shared" ca="1" si="19"/>
        <v>#VALUE!</v>
      </c>
      <c r="BI52" s="9" t="e">
        <f t="shared" ca="1" si="20"/>
        <v>#VALUE!</v>
      </c>
      <c r="BJ52" s="1" t="e">
        <f t="shared" ca="1" si="20"/>
        <v>#VALUE!</v>
      </c>
      <c r="BK52" s="1" t="e">
        <f t="shared" ca="1" si="21"/>
        <v>#VALUE!</v>
      </c>
      <c r="BL52" s="1" t="e">
        <f t="shared" ca="1" si="22"/>
        <v>#VALUE!</v>
      </c>
      <c r="BM52" s="9" t="e">
        <f t="shared" ca="1" si="23"/>
        <v>#VALUE!</v>
      </c>
      <c r="BN52" s="1" t="e">
        <f t="shared" ca="1" si="23"/>
        <v>#VALUE!</v>
      </c>
      <c r="BO52" s="1" t="e">
        <f t="shared" ca="1" si="24"/>
        <v>#VALUE!</v>
      </c>
      <c r="BP52" s="1" t="e">
        <f t="shared" ca="1" si="25"/>
        <v>#VALUE!</v>
      </c>
      <c r="BQ52" s="9" t="e">
        <f t="shared" ca="1" si="26"/>
        <v>#VALUE!</v>
      </c>
      <c r="BR52" s="1" t="e">
        <f t="shared" ca="1" si="26"/>
        <v>#VALUE!</v>
      </c>
      <c r="BS52" s="1" t="e">
        <f t="shared" ca="1" si="27"/>
        <v>#VALUE!</v>
      </c>
      <c r="BT52" s="1" t="e">
        <f t="shared" ca="1" si="28"/>
        <v>#VALUE!</v>
      </c>
      <c r="BU52" s="9" t="e">
        <f t="shared" ca="1" si="29"/>
        <v>#VALUE!</v>
      </c>
      <c r="BV52" s="1" t="e">
        <f t="shared" ca="1" si="29"/>
        <v>#VALUE!</v>
      </c>
      <c r="BW52" s="1" t="e">
        <f t="shared" ca="1" si="30"/>
        <v>#VALUE!</v>
      </c>
      <c r="BX52" s="1" t="e">
        <f t="shared" ca="1" si="31"/>
        <v>#VALUE!</v>
      </c>
      <c r="BY52" s="9" t="e">
        <f t="shared" ca="1" si="32"/>
        <v>#VALUE!</v>
      </c>
      <c r="BZ52" s="1" t="e">
        <f t="shared" ca="1" si="32"/>
        <v>#VALUE!</v>
      </c>
      <c r="CA52" s="1" t="e">
        <f t="shared" ca="1" si="33"/>
        <v>#VALUE!</v>
      </c>
      <c r="CB52" s="1" t="e">
        <f t="shared" ca="1" si="34"/>
        <v>#VALUE!</v>
      </c>
      <c r="CC52" s="9" t="e">
        <f t="shared" ca="1" si="35"/>
        <v>#VALUE!</v>
      </c>
      <c r="CD52" s="1" t="e">
        <f t="shared" ca="1" si="35"/>
        <v>#VALUE!</v>
      </c>
      <c r="CE52" s="1" t="e">
        <f t="shared" ca="1" si="36"/>
        <v>#VALUE!</v>
      </c>
      <c r="CF52" s="1" t="e">
        <f t="shared" ca="1" si="37"/>
        <v>#VALUE!</v>
      </c>
      <c r="CG52" s="9" t="e">
        <f t="shared" ca="1" si="38"/>
        <v>#VALUE!</v>
      </c>
      <c r="CH52" s="1" t="e">
        <f t="shared" ca="1" si="38"/>
        <v>#VALUE!</v>
      </c>
      <c r="CI52" s="1" t="e">
        <f t="shared" ca="1" si="39"/>
        <v>#VALUE!</v>
      </c>
      <c r="CJ52" s="1" t="e">
        <f t="shared" ca="1" si="40"/>
        <v>#VALUE!</v>
      </c>
      <c r="CK52" s="9" t="e">
        <f t="shared" ca="1" si="41"/>
        <v>#VALUE!</v>
      </c>
      <c r="CL52" s="1" t="e">
        <f t="shared" ca="1" si="41"/>
        <v>#VALUE!</v>
      </c>
      <c r="CM52" s="1" t="e">
        <f t="shared" ca="1" si="42"/>
        <v>#VALUE!</v>
      </c>
      <c r="CN52" s="1" t="e">
        <f t="shared" ca="1" si="43"/>
        <v>#VALUE!</v>
      </c>
      <c r="CO52" s="9" t="e">
        <f t="shared" ca="1" si="44"/>
        <v>#VALUE!</v>
      </c>
      <c r="CP52" s="1" t="e">
        <f t="shared" ca="1" si="44"/>
        <v>#VALUE!</v>
      </c>
      <c r="CQ52" s="1" t="e">
        <f t="shared" ca="1" si="45"/>
        <v>#VALUE!</v>
      </c>
      <c r="CR52" s="1" t="e">
        <f t="shared" ca="1" si="46"/>
        <v>#VALUE!</v>
      </c>
      <c r="CS52" s="9" t="e">
        <f t="shared" ca="1" si="47"/>
        <v>#VALUE!</v>
      </c>
      <c r="CT52" s="1" t="e">
        <f t="shared" ca="1" si="47"/>
        <v>#VALUE!</v>
      </c>
    </row>
    <row r="53" spans="19:98" x14ac:dyDescent="0.25">
      <c r="S53" s="8"/>
      <c r="T53" s="8"/>
      <c r="U53" s="8"/>
      <c r="V53" s="8"/>
      <c r="W53" s="8" t="e">
        <f ca="1">MATCH($E53,OFFSET([4]Hoja1!$X$4,V53-3,0,500-V53,1),0)+V53</f>
        <v>#VALUE!</v>
      </c>
      <c r="X53" s="8" t="e">
        <f ca="1">MATCH($E53,OFFSET([4]Hoja1!$X$4,W53-3,0,500-W53,1),0)+W53</f>
        <v>#VALUE!</v>
      </c>
      <c r="Y53" s="8" t="e">
        <f ca="1">MATCH($E53,OFFSET([4]Hoja1!$X$4,X53-3,0,500-X53,1),0)+X53</f>
        <v>#VALUE!</v>
      </c>
      <c r="Z53" s="8" t="e">
        <f ca="1">MATCH($E53,OFFSET([4]Hoja1!$X$4,Y53-3,0,500-Y53,1),0)+Y53</f>
        <v>#VALUE!</v>
      </c>
      <c r="AA53" s="8" t="e">
        <f ca="1">MATCH($E53,OFFSET([4]Hoja1!$X$4,Z53-3,0,500-Z53,1),0)+Z53</f>
        <v>#VALUE!</v>
      </c>
      <c r="AB53" s="8" t="e">
        <f ca="1">MATCH($E53,OFFSET([4]Hoja1!$X$4,AA53-3,0,500-AA53,1),0)+AA53</f>
        <v>#VALUE!</v>
      </c>
      <c r="AC53" s="8" t="e">
        <f ca="1">MATCH($E53,OFFSET([4]Hoja1!$X$4,AB53-3,0,500-AB53,1),0)+AB53</f>
        <v>#VALUE!</v>
      </c>
      <c r="AD53" s="8" t="e">
        <f ca="1">MATCH($E53,OFFSET([4]Hoja1!$X$4,AC53-3,0,500-AC53,1),0)+AC53</f>
        <v>#VALUE!</v>
      </c>
      <c r="AE53" s="8" t="e">
        <f ca="1">MATCH($E53,OFFSET([4]Hoja1!$X$4,AD53-3,0,500-AD53,1),0)+AD53</f>
        <v>#VALUE!</v>
      </c>
      <c r="AF53" s="8" t="e">
        <f ca="1">MATCH($E53,OFFSET([4]Hoja1!$X$4,AE53-3,0,500-AE53,1),0)+AE53</f>
        <v>#VALUE!</v>
      </c>
      <c r="AG53" s="8" t="e">
        <f ca="1">MATCH($E53,OFFSET([4]Hoja1!$X$4,AF53-3,0,500-AF53,1),0)+AF53</f>
        <v>#VALUE!</v>
      </c>
      <c r="AH53" s="8" t="e">
        <f ca="1">MATCH($E53,OFFSET([4]Hoja1!$X$4,AG53-3,0,500-AG53,1),0)+AG53</f>
        <v>#VALUE!</v>
      </c>
      <c r="AI53" s="1" t="str">
        <f t="shared" si="0"/>
        <v>'[Archivo con planillas totales y estandarizadas.xlsx]Hoja1'!$F</v>
      </c>
      <c r="AJ53" s="1" t="str">
        <f t="shared" si="1"/>
        <v>'[Archivo con planillas totales y estandarizadas.xlsx]Hoja1'!$M</v>
      </c>
      <c r="AK53" s="9" t="e">
        <f t="shared" ca="1" si="2"/>
        <v>#REF!</v>
      </c>
      <c r="AL53" s="1" t="e">
        <f t="shared" ca="1" si="2"/>
        <v>#REF!</v>
      </c>
      <c r="AM53" s="1" t="str">
        <f t="shared" si="3"/>
        <v>'[Archivo con planillas totales y estandarizadas.xlsx]Hoja1'!$F</v>
      </c>
      <c r="AN53" s="1" t="str">
        <f t="shared" si="4"/>
        <v>'[Archivo con planillas totales y estandarizadas.xlsx]Hoja1'!$M</v>
      </c>
      <c r="AO53" s="9" t="e">
        <f t="shared" ca="1" si="5"/>
        <v>#REF!</v>
      </c>
      <c r="AP53" s="1" t="e">
        <f t="shared" ca="1" si="5"/>
        <v>#REF!</v>
      </c>
      <c r="AQ53" s="1" t="str">
        <f t="shared" si="6"/>
        <v>'[Archivo con planillas totales y estandarizadas.xlsx]Hoja1'!$F</v>
      </c>
      <c r="AR53" s="1" t="str">
        <f t="shared" si="7"/>
        <v>'[Archivo con planillas totales y estandarizadas.xlsx]Hoja1'!$M</v>
      </c>
      <c r="AS53" s="9" t="e">
        <f t="shared" ca="1" si="8"/>
        <v>#REF!</v>
      </c>
      <c r="AT53" s="1" t="e">
        <f t="shared" ca="1" si="8"/>
        <v>#REF!</v>
      </c>
      <c r="AU53" s="1" t="str">
        <f t="shared" si="9"/>
        <v>'[Archivo con planillas totales y estandarizadas.xlsx]Hoja1'!$F</v>
      </c>
      <c r="AV53" s="1" t="str">
        <f t="shared" si="10"/>
        <v>'[Archivo con planillas totales y estandarizadas.xlsx]Hoja1'!$M</v>
      </c>
      <c r="AW53" s="9" t="e">
        <f t="shared" ca="1" si="11"/>
        <v>#REF!</v>
      </c>
      <c r="AX53" s="1" t="e">
        <f t="shared" ca="1" si="11"/>
        <v>#REF!</v>
      </c>
      <c r="AY53" s="1" t="e">
        <f t="shared" ca="1" si="12"/>
        <v>#VALUE!</v>
      </c>
      <c r="AZ53" s="1" t="e">
        <f t="shared" ca="1" si="13"/>
        <v>#VALUE!</v>
      </c>
      <c r="BA53" s="9" t="e">
        <f t="shared" ca="1" si="14"/>
        <v>#VALUE!</v>
      </c>
      <c r="BB53" s="1" t="e">
        <f t="shared" ca="1" si="14"/>
        <v>#VALUE!</v>
      </c>
      <c r="BC53" s="1" t="e">
        <f t="shared" ca="1" si="15"/>
        <v>#VALUE!</v>
      </c>
      <c r="BD53" s="1" t="e">
        <f t="shared" ca="1" si="16"/>
        <v>#VALUE!</v>
      </c>
      <c r="BE53" s="9" t="e">
        <f t="shared" ca="1" si="17"/>
        <v>#VALUE!</v>
      </c>
      <c r="BF53" s="1" t="e">
        <f t="shared" ca="1" si="17"/>
        <v>#VALUE!</v>
      </c>
      <c r="BG53" s="1" t="e">
        <f t="shared" ca="1" si="18"/>
        <v>#VALUE!</v>
      </c>
      <c r="BH53" s="1" t="e">
        <f t="shared" ca="1" si="19"/>
        <v>#VALUE!</v>
      </c>
      <c r="BI53" s="9" t="e">
        <f t="shared" ca="1" si="20"/>
        <v>#VALUE!</v>
      </c>
      <c r="BJ53" s="1" t="e">
        <f t="shared" ca="1" si="20"/>
        <v>#VALUE!</v>
      </c>
      <c r="BK53" s="1" t="e">
        <f t="shared" ca="1" si="21"/>
        <v>#VALUE!</v>
      </c>
      <c r="BL53" s="1" t="e">
        <f t="shared" ca="1" si="22"/>
        <v>#VALUE!</v>
      </c>
      <c r="BM53" s="9" t="e">
        <f t="shared" ca="1" si="23"/>
        <v>#VALUE!</v>
      </c>
      <c r="BN53" s="1" t="e">
        <f t="shared" ca="1" si="23"/>
        <v>#VALUE!</v>
      </c>
      <c r="BO53" s="1" t="e">
        <f t="shared" ca="1" si="24"/>
        <v>#VALUE!</v>
      </c>
      <c r="BP53" s="1" t="e">
        <f t="shared" ca="1" si="25"/>
        <v>#VALUE!</v>
      </c>
      <c r="BQ53" s="9" t="e">
        <f t="shared" ca="1" si="26"/>
        <v>#VALUE!</v>
      </c>
      <c r="BR53" s="1" t="e">
        <f t="shared" ca="1" si="26"/>
        <v>#VALUE!</v>
      </c>
      <c r="BS53" s="1" t="e">
        <f t="shared" ca="1" si="27"/>
        <v>#VALUE!</v>
      </c>
      <c r="BT53" s="1" t="e">
        <f t="shared" ca="1" si="28"/>
        <v>#VALUE!</v>
      </c>
      <c r="BU53" s="9" t="e">
        <f t="shared" ca="1" si="29"/>
        <v>#VALUE!</v>
      </c>
      <c r="BV53" s="1" t="e">
        <f t="shared" ca="1" si="29"/>
        <v>#VALUE!</v>
      </c>
      <c r="BW53" s="1" t="e">
        <f t="shared" ca="1" si="30"/>
        <v>#VALUE!</v>
      </c>
      <c r="BX53" s="1" t="e">
        <f t="shared" ca="1" si="31"/>
        <v>#VALUE!</v>
      </c>
      <c r="BY53" s="9" t="e">
        <f t="shared" ca="1" si="32"/>
        <v>#VALUE!</v>
      </c>
      <c r="BZ53" s="1" t="e">
        <f t="shared" ca="1" si="32"/>
        <v>#VALUE!</v>
      </c>
      <c r="CA53" s="1" t="e">
        <f t="shared" ca="1" si="33"/>
        <v>#VALUE!</v>
      </c>
      <c r="CB53" s="1" t="e">
        <f t="shared" ca="1" si="34"/>
        <v>#VALUE!</v>
      </c>
      <c r="CC53" s="9" t="e">
        <f t="shared" ca="1" si="35"/>
        <v>#VALUE!</v>
      </c>
      <c r="CD53" s="1" t="e">
        <f t="shared" ca="1" si="35"/>
        <v>#VALUE!</v>
      </c>
      <c r="CE53" s="1" t="e">
        <f t="shared" ca="1" si="36"/>
        <v>#VALUE!</v>
      </c>
      <c r="CF53" s="1" t="e">
        <f t="shared" ca="1" si="37"/>
        <v>#VALUE!</v>
      </c>
      <c r="CG53" s="9" t="e">
        <f t="shared" ca="1" si="38"/>
        <v>#VALUE!</v>
      </c>
      <c r="CH53" s="1" t="e">
        <f t="shared" ca="1" si="38"/>
        <v>#VALUE!</v>
      </c>
      <c r="CI53" s="1" t="e">
        <f t="shared" ca="1" si="39"/>
        <v>#VALUE!</v>
      </c>
      <c r="CJ53" s="1" t="e">
        <f t="shared" ca="1" si="40"/>
        <v>#VALUE!</v>
      </c>
      <c r="CK53" s="9" t="e">
        <f t="shared" ca="1" si="41"/>
        <v>#VALUE!</v>
      </c>
      <c r="CL53" s="1" t="e">
        <f t="shared" ca="1" si="41"/>
        <v>#VALUE!</v>
      </c>
      <c r="CM53" s="1" t="e">
        <f t="shared" ca="1" si="42"/>
        <v>#VALUE!</v>
      </c>
      <c r="CN53" s="1" t="e">
        <f t="shared" ca="1" si="43"/>
        <v>#VALUE!</v>
      </c>
      <c r="CO53" s="9" t="e">
        <f t="shared" ca="1" si="44"/>
        <v>#VALUE!</v>
      </c>
      <c r="CP53" s="1" t="e">
        <f t="shared" ca="1" si="44"/>
        <v>#VALUE!</v>
      </c>
      <c r="CQ53" s="1" t="e">
        <f t="shared" ca="1" si="45"/>
        <v>#VALUE!</v>
      </c>
      <c r="CR53" s="1" t="e">
        <f t="shared" ca="1" si="46"/>
        <v>#VALUE!</v>
      </c>
      <c r="CS53" s="9" t="e">
        <f t="shared" ca="1" si="47"/>
        <v>#VALUE!</v>
      </c>
      <c r="CT53" s="1" t="e">
        <f t="shared" ca="1" si="47"/>
        <v>#VALUE!</v>
      </c>
    </row>
    <row r="54" spans="19:98" x14ac:dyDescent="0.25">
      <c r="S54" s="8"/>
      <c r="T54" s="8"/>
      <c r="U54" s="8"/>
      <c r="V54" s="8"/>
      <c r="W54" s="8" t="e">
        <f ca="1">MATCH($E54,OFFSET([4]Hoja1!$X$4,V54-3,0,500-V54,1),0)+V54</f>
        <v>#VALUE!</v>
      </c>
      <c r="X54" s="8" t="e">
        <f ca="1">MATCH($E54,OFFSET([4]Hoja1!$X$4,W54-3,0,500-W54,1),0)+W54</f>
        <v>#VALUE!</v>
      </c>
      <c r="Y54" s="8" t="e">
        <f ca="1">MATCH($E54,OFFSET([4]Hoja1!$X$4,X54-3,0,500-X54,1),0)+X54</f>
        <v>#VALUE!</v>
      </c>
      <c r="Z54" s="8" t="e">
        <f ca="1">MATCH($E54,OFFSET([4]Hoja1!$X$4,Y54-3,0,500-Y54,1),0)+Y54</f>
        <v>#VALUE!</v>
      </c>
      <c r="AA54" s="8" t="e">
        <f ca="1">MATCH($E54,OFFSET([4]Hoja1!$X$4,Z54-3,0,500-Z54,1),0)+Z54</f>
        <v>#VALUE!</v>
      </c>
      <c r="AB54" s="8" t="e">
        <f ca="1">MATCH($E54,OFFSET([4]Hoja1!$X$4,AA54-3,0,500-AA54,1),0)+AA54</f>
        <v>#VALUE!</v>
      </c>
      <c r="AC54" s="8" t="e">
        <f ca="1">MATCH($E54,OFFSET([4]Hoja1!$X$4,AB54-3,0,500-AB54,1),0)+AB54</f>
        <v>#VALUE!</v>
      </c>
      <c r="AD54" s="8" t="e">
        <f ca="1">MATCH($E54,OFFSET([4]Hoja1!$X$4,AC54-3,0,500-AC54,1),0)+AC54</f>
        <v>#VALUE!</v>
      </c>
      <c r="AE54" s="8" t="e">
        <f ca="1">MATCH($E54,OFFSET([4]Hoja1!$X$4,AD54-3,0,500-AD54,1),0)+AD54</f>
        <v>#VALUE!</v>
      </c>
      <c r="AF54" s="8" t="e">
        <f ca="1">MATCH($E54,OFFSET([4]Hoja1!$X$4,AE54-3,0,500-AE54,1),0)+AE54</f>
        <v>#VALUE!</v>
      </c>
      <c r="AG54" s="8" t="e">
        <f ca="1">MATCH($E54,OFFSET([4]Hoja1!$X$4,AF54-3,0,500-AF54,1),0)+AF54</f>
        <v>#VALUE!</v>
      </c>
      <c r="AH54" s="8" t="e">
        <f ca="1">MATCH($E54,OFFSET([4]Hoja1!$X$4,AG54-3,0,500-AG54,1),0)+AG54</f>
        <v>#VALUE!</v>
      </c>
      <c r="AI54" s="1" t="str">
        <f t="shared" si="0"/>
        <v>'[Archivo con planillas totales y estandarizadas.xlsx]Hoja1'!$F</v>
      </c>
      <c r="AJ54" s="1" t="str">
        <f t="shared" si="1"/>
        <v>'[Archivo con planillas totales y estandarizadas.xlsx]Hoja1'!$M</v>
      </c>
      <c r="AK54" s="9" t="e">
        <f t="shared" ca="1" si="2"/>
        <v>#REF!</v>
      </c>
      <c r="AL54" s="1" t="e">
        <f t="shared" ca="1" si="2"/>
        <v>#REF!</v>
      </c>
      <c r="AM54" s="1" t="str">
        <f t="shared" si="3"/>
        <v>'[Archivo con planillas totales y estandarizadas.xlsx]Hoja1'!$F</v>
      </c>
      <c r="AN54" s="1" t="str">
        <f t="shared" si="4"/>
        <v>'[Archivo con planillas totales y estandarizadas.xlsx]Hoja1'!$M</v>
      </c>
      <c r="AO54" s="9" t="e">
        <f t="shared" ca="1" si="5"/>
        <v>#REF!</v>
      </c>
      <c r="AP54" s="1" t="e">
        <f t="shared" ca="1" si="5"/>
        <v>#REF!</v>
      </c>
      <c r="AQ54" s="1" t="str">
        <f t="shared" si="6"/>
        <v>'[Archivo con planillas totales y estandarizadas.xlsx]Hoja1'!$F</v>
      </c>
      <c r="AR54" s="1" t="str">
        <f t="shared" si="7"/>
        <v>'[Archivo con planillas totales y estandarizadas.xlsx]Hoja1'!$M</v>
      </c>
      <c r="AS54" s="9" t="e">
        <f t="shared" ca="1" si="8"/>
        <v>#REF!</v>
      </c>
      <c r="AT54" s="1" t="e">
        <f t="shared" ca="1" si="8"/>
        <v>#REF!</v>
      </c>
      <c r="AU54" s="1" t="str">
        <f t="shared" si="9"/>
        <v>'[Archivo con planillas totales y estandarizadas.xlsx]Hoja1'!$F</v>
      </c>
      <c r="AV54" s="1" t="str">
        <f t="shared" si="10"/>
        <v>'[Archivo con planillas totales y estandarizadas.xlsx]Hoja1'!$M</v>
      </c>
      <c r="AW54" s="9" t="e">
        <f t="shared" ca="1" si="11"/>
        <v>#REF!</v>
      </c>
      <c r="AX54" s="1" t="e">
        <f t="shared" ca="1" si="11"/>
        <v>#REF!</v>
      </c>
      <c r="AY54" s="1" t="e">
        <f t="shared" ca="1" si="12"/>
        <v>#VALUE!</v>
      </c>
      <c r="AZ54" s="1" t="e">
        <f t="shared" ca="1" si="13"/>
        <v>#VALUE!</v>
      </c>
      <c r="BA54" s="9" t="e">
        <f t="shared" ca="1" si="14"/>
        <v>#VALUE!</v>
      </c>
      <c r="BB54" s="1" t="e">
        <f t="shared" ca="1" si="14"/>
        <v>#VALUE!</v>
      </c>
      <c r="BC54" s="1" t="e">
        <f t="shared" ca="1" si="15"/>
        <v>#VALUE!</v>
      </c>
      <c r="BD54" s="1" t="e">
        <f t="shared" ca="1" si="16"/>
        <v>#VALUE!</v>
      </c>
      <c r="BE54" s="9" t="e">
        <f t="shared" ca="1" si="17"/>
        <v>#VALUE!</v>
      </c>
      <c r="BF54" s="1" t="e">
        <f t="shared" ca="1" si="17"/>
        <v>#VALUE!</v>
      </c>
      <c r="BG54" s="1" t="e">
        <f t="shared" ca="1" si="18"/>
        <v>#VALUE!</v>
      </c>
      <c r="BH54" s="1" t="e">
        <f t="shared" ca="1" si="19"/>
        <v>#VALUE!</v>
      </c>
      <c r="BI54" s="9" t="e">
        <f t="shared" ca="1" si="20"/>
        <v>#VALUE!</v>
      </c>
      <c r="BJ54" s="1" t="e">
        <f t="shared" ca="1" si="20"/>
        <v>#VALUE!</v>
      </c>
      <c r="BK54" s="1" t="e">
        <f t="shared" ca="1" si="21"/>
        <v>#VALUE!</v>
      </c>
      <c r="BL54" s="1" t="e">
        <f t="shared" ca="1" si="22"/>
        <v>#VALUE!</v>
      </c>
      <c r="BM54" s="9" t="e">
        <f t="shared" ca="1" si="23"/>
        <v>#VALUE!</v>
      </c>
      <c r="BN54" s="1" t="e">
        <f t="shared" ca="1" si="23"/>
        <v>#VALUE!</v>
      </c>
      <c r="BO54" s="1" t="e">
        <f t="shared" ca="1" si="24"/>
        <v>#VALUE!</v>
      </c>
      <c r="BP54" s="1" t="e">
        <f t="shared" ca="1" si="25"/>
        <v>#VALUE!</v>
      </c>
      <c r="BQ54" s="9" t="e">
        <f t="shared" ca="1" si="26"/>
        <v>#VALUE!</v>
      </c>
      <c r="BR54" s="1" t="e">
        <f t="shared" ca="1" si="26"/>
        <v>#VALUE!</v>
      </c>
      <c r="BS54" s="1" t="e">
        <f t="shared" ca="1" si="27"/>
        <v>#VALUE!</v>
      </c>
      <c r="BT54" s="1" t="e">
        <f t="shared" ca="1" si="28"/>
        <v>#VALUE!</v>
      </c>
      <c r="BU54" s="9" t="e">
        <f t="shared" ca="1" si="29"/>
        <v>#VALUE!</v>
      </c>
      <c r="BV54" s="1" t="e">
        <f t="shared" ca="1" si="29"/>
        <v>#VALUE!</v>
      </c>
      <c r="BW54" s="1" t="e">
        <f t="shared" ca="1" si="30"/>
        <v>#VALUE!</v>
      </c>
      <c r="BX54" s="1" t="e">
        <f t="shared" ca="1" si="31"/>
        <v>#VALUE!</v>
      </c>
      <c r="BY54" s="9" t="e">
        <f t="shared" ca="1" si="32"/>
        <v>#VALUE!</v>
      </c>
      <c r="BZ54" s="1" t="e">
        <f t="shared" ca="1" si="32"/>
        <v>#VALUE!</v>
      </c>
      <c r="CA54" s="1" t="e">
        <f t="shared" ca="1" si="33"/>
        <v>#VALUE!</v>
      </c>
      <c r="CB54" s="1" t="e">
        <f t="shared" ca="1" si="34"/>
        <v>#VALUE!</v>
      </c>
      <c r="CC54" s="9" t="e">
        <f t="shared" ca="1" si="35"/>
        <v>#VALUE!</v>
      </c>
      <c r="CD54" s="1" t="e">
        <f t="shared" ca="1" si="35"/>
        <v>#VALUE!</v>
      </c>
      <c r="CE54" s="1" t="e">
        <f t="shared" ca="1" si="36"/>
        <v>#VALUE!</v>
      </c>
      <c r="CF54" s="1" t="e">
        <f t="shared" ca="1" si="37"/>
        <v>#VALUE!</v>
      </c>
      <c r="CG54" s="9" t="e">
        <f t="shared" ca="1" si="38"/>
        <v>#VALUE!</v>
      </c>
      <c r="CH54" s="1" t="e">
        <f t="shared" ca="1" si="38"/>
        <v>#VALUE!</v>
      </c>
      <c r="CI54" s="1" t="e">
        <f t="shared" ca="1" si="39"/>
        <v>#VALUE!</v>
      </c>
      <c r="CJ54" s="1" t="e">
        <f t="shared" ca="1" si="40"/>
        <v>#VALUE!</v>
      </c>
      <c r="CK54" s="9" t="e">
        <f t="shared" ca="1" si="41"/>
        <v>#VALUE!</v>
      </c>
      <c r="CL54" s="1" t="e">
        <f t="shared" ca="1" si="41"/>
        <v>#VALUE!</v>
      </c>
      <c r="CM54" s="1" t="e">
        <f t="shared" ca="1" si="42"/>
        <v>#VALUE!</v>
      </c>
      <c r="CN54" s="1" t="e">
        <f t="shared" ca="1" si="43"/>
        <v>#VALUE!</v>
      </c>
      <c r="CO54" s="9" t="e">
        <f t="shared" ca="1" si="44"/>
        <v>#VALUE!</v>
      </c>
      <c r="CP54" s="1" t="e">
        <f t="shared" ca="1" si="44"/>
        <v>#VALUE!</v>
      </c>
      <c r="CQ54" s="1" t="e">
        <f t="shared" ca="1" si="45"/>
        <v>#VALUE!</v>
      </c>
      <c r="CR54" s="1" t="e">
        <f t="shared" ca="1" si="46"/>
        <v>#VALUE!</v>
      </c>
      <c r="CS54" s="9" t="e">
        <f t="shared" ca="1" si="47"/>
        <v>#VALUE!</v>
      </c>
      <c r="CT54" s="1" t="e">
        <f t="shared" ca="1" si="47"/>
        <v>#VALUE!</v>
      </c>
    </row>
    <row r="55" spans="19:98" x14ac:dyDescent="0.25">
      <c r="S55" s="8"/>
      <c r="T55" s="8"/>
      <c r="U55" s="8"/>
      <c r="V55" s="8"/>
      <c r="W55" s="8" t="e">
        <f ca="1">MATCH($E55,OFFSET([4]Hoja1!$X$4,V55-3,0,500-V55,1),0)+V55</f>
        <v>#VALUE!</v>
      </c>
      <c r="X55" s="8" t="e">
        <f ca="1">MATCH($E55,OFFSET([4]Hoja1!$X$4,W55-3,0,500-W55,1),0)+W55</f>
        <v>#VALUE!</v>
      </c>
      <c r="Y55" s="8" t="e">
        <f ca="1">MATCH($E55,OFFSET([4]Hoja1!$X$4,X55-3,0,500-X55,1),0)+X55</f>
        <v>#VALUE!</v>
      </c>
      <c r="Z55" s="8" t="e">
        <f ca="1">MATCH($E55,OFFSET([4]Hoja1!$X$4,Y55-3,0,500-Y55,1),0)+Y55</f>
        <v>#VALUE!</v>
      </c>
      <c r="AA55" s="8" t="e">
        <f ca="1">MATCH($E55,OFFSET([4]Hoja1!$X$4,Z55-3,0,500-Z55,1),0)+Z55</f>
        <v>#VALUE!</v>
      </c>
      <c r="AB55" s="8" t="e">
        <f ca="1">MATCH($E55,OFFSET([4]Hoja1!$X$4,AA55-3,0,500-AA55,1),0)+AA55</f>
        <v>#VALUE!</v>
      </c>
      <c r="AC55" s="8" t="e">
        <f ca="1">MATCH($E55,OFFSET([4]Hoja1!$X$4,AB55-3,0,500-AB55,1),0)+AB55</f>
        <v>#VALUE!</v>
      </c>
      <c r="AD55" s="8" t="e">
        <f ca="1">MATCH($E55,OFFSET([4]Hoja1!$X$4,AC55-3,0,500-AC55,1),0)+AC55</f>
        <v>#VALUE!</v>
      </c>
      <c r="AE55" s="8" t="e">
        <f ca="1">MATCH($E55,OFFSET([4]Hoja1!$X$4,AD55-3,0,500-AD55,1),0)+AD55</f>
        <v>#VALUE!</v>
      </c>
      <c r="AF55" s="8" t="e">
        <f ca="1">MATCH($E55,OFFSET([4]Hoja1!$X$4,AE55-3,0,500-AE55,1),0)+AE55</f>
        <v>#VALUE!</v>
      </c>
      <c r="AG55" s="8" t="e">
        <f ca="1">MATCH($E55,OFFSET([4]Hoja1!$X$4,AF55-3,0,500-AF55,1),0)+AF55</f>
        <v>#VALUE!</v>
      </c>
      <c r="AH55" s="8" t="e">
        <f ca="1">MATCH($E55,OFFSET([4]Hoja1!$X$4,AG55-3,0,500-AG55,1),0)+AG55</f>
        <v>#VALUE!</v>
      </c>
      <c r="AI55" s="1" t="str">
        <f t="shared" si="0"/>
        <v>'[Archivo con planillas totales y estandarizadas.xlsx]Hoja1'!$F</v>
      </c>
      <c r="AJ55" s="1" t="str">
        <f t="shared" si="1"/>
        <v>'[Archivo con planillas totales y estandarizadas.xlsx]Hoja1'!$M</v>
      </c>
      <c r="AK55" s="9" t="e">
        <f t="shared" ca="1" si="2"/>
        <v>#REF!</v>
      </c>
      <c r="AL55" s="1" t="e">
        <f t="shared" ca="1" si="2"/>
        <v>#REF!</v>
      </c>
      <c r="AM55" s="1" t="str">
        <f t="shared" si="3"/>
        <v>'[Archivo con planillas totales y estandarizadas.xlsx]Hoja1'!$F</v>
      </c>
      <c r="AN55" s="1" t="str">
        <f t="shared" si="4"/>
        <v>'[Archivo con planillas totales y estandarizadas.xlsx]Hoja1'!$M</v>
      </c>
      <c r="AO55" s="9" t="e">
        <f t="shared" ca="1" si="5"/>
        <v>#REF!</v>
      </c>
      <c r="AP55" s="1" t="e">
        <f t="shared" ca="1" si="5"/>
        <v>#REF!</v>
      </c>
      <c r="AQ55" s="1" t="str">
        <f t="shared" si="6"/>
        <v>'[Archivo con planillas totales y estandarizadas.xlsx]Hoja1'!$F</v>
      </c>
      <c r="AR55" s="1" t="str">
        <f t="shared" si="7"/>
        <v>'[Archivo con planillas totales y estandarizadas.xlsx]Hoja1'!$M</v>
      </c>
      <c r="AS55" s="9" t="e">
        <f t="shared" ca="1" si="8"/>
        <v>#REF!</v>
      </c>
      <c r="AT55" s="1" t="e">
        <f t="shared" ca="1" si="8"/>
        <v>#REF!</v>
      </c>
      <c r="AU55" s="1" t="str">
        <f t="shared" si="9"/>
        <v>'[Archivo con planillas totales y estandarizadas.xlsx]Hoja1'!$F</v>
      </c>
      <c r="AV55" s="1" t="str">
        <f t="shared" si="10"/>
        <v>'[Archivo con planillas totales y estandarizadas.xlsx]Hoja1'!$M</v>
      </c>
      <c r="AW55" s="9" t="e">
        <f t="shared" ca="1" si="11"/>
        <v>#REF!</v>
      </c>
      <c r="AX55" s="1" t="e">
        <f t="shared" ca="1" si="11"/>
        <v>#REF!</v>
      </c>
      <c r="AY55" s="1" t="e">
        <f t="shared" ca="1" si="12"/>
        <v>#VALUE!</v>
      </c>
      <c r="AZ55" s="1" t="e">
        <f t="shared" ca="1" si="13"/>
        <v>#VALUE!</v>
      </c>
      <c r="BA55" s="9" t="e">
        <f t="shared" ca="1" si="14"/>
        <v>#VALUE!</v>
      </c>
      <c r="BB55" s="1" t="e">
        <f t="shared" ca="1" si="14"/>
        <v>#VALUE!</v>
      </c>
      <c r="BC55" s="1" t="e">
        <f t="shared" ca="1" si="15"/>
        <v>#VALUE!</v>
      </c>
      <c r="BD55" s="1" t="e">
        <f t="shared" ca="1" si="16"/>
        <v>#VALUE!</v>
      </c>
      <c r="BE55" s="9" t="e">
        <f t="shared" ca="1" si="17"/>
        <v>#VALUE!</v>
      </c>
      <c r="BF55" s="1" t="e">
        <f t="shared" ca="1" si="17"/>
        <v>#VALUE!</v>
      </c>
      <c r="BG55" s="1" t="e">
        <f t="shared" ca="1" si="18"/>
        <v>#VALUE!</v>
      </c>
      <c r="BH55" s="1" t="e">
        <f t="shared" ca="1" si="19"/>
        <v>#VALUE!</v>
      </c>
      <c r="BI55" s="9" t="e">
        <f t="shared" ca="1" si="20"/>
        <v>#VALUE!</v>
      </c>
      <c r="BJ55" s="1" t="e">
        <f t="shared" ca="1" si="20"/>
        <v>#VALUE!</v>
      </c>
      <c r="BK55" s="1" t="e">
        <f t="shared" ca="1" si="21"/>
        <v>#VALUE!</v>
      </c>
      <c r="BL55" s="1" t="e">
        <f t="shared" ca="1" si="22"/>
        <v>#VALUE!</v>
      </c>
      <c r="BM55" s="9" t="e">
        <f t="shared" ca="1" si="23"/>
        <v>#VALUE!</v>
      </c>
      <c r="BN55" s="1" t="e">
        <f t="shared" ca="1" si="23"/>
        <v>#VALUE!</v>
      </c>
      <c r="BO55" s="1" t="e">
        <f t="shared" ca="1" si="24"/>
        <v>#VALUE!</v>
      </c>
      <c r="BP55" s="1" t="e">
        <f t="shared" ca="1" si="25"/>
        <v>#VALUE!</v>
      </c>
      <c r="BQ55" s="9" t="e">
        <f t="shared" ca="1" si="26"/>
        <v>#VALUE!</v>
      </c>
      <c r="BR55" s="1" t="e">
        <f t="shared" ca="1" si="26"/>
        <v>#VALUE!</v>
      </c>
      <c r="BS55" s="1" t="e">
        <f t="shared" ca="1" si="27"/>
        <v>#VALUE!</v>
      </c>
      <c r="BT55" s="1" t="e">
        <f t="shared" ca="1" si="28"/>
        <v>#VALUE!</v>
      </c>
      <c r="BU55" s="9" t="e">
        <f t="shared" ca="1" si="29"/>
        <v>#VALUE!</v>
      </c>
      <c r="BV55" s="1" t="e">
        <f t="shared" ca="1" si="29"/>
        <v>#VALUE!</v>
      </c>
      <c r="BW55" s="1" t="e">
        <f t="shared" ca="1" si="30"/>
        <v>#VALUE!</v>
      </c>
      <c r="BX55" s="1" t="e">
        <f t="shared" ca="1" si="31"/>
        <v>#VALUE!</v>
      </c>
      <c r="BY55" s="9" t="e">
        <f t="shared" ca="1" si="32"/>
        <v>#VALUE!</v>
      </c>
      <c r="BZ55" s="1" t="e">
        <f t="shared" ca="1" si="32"/>
        <v>#VALUE!</v>
      </c>
      <c r="CA55" s="1" t="e">
        <f t="shared" ca="1" si="33"/>
        <v>#VALUE!</v>
      </c>
      <c r="CB55" s="1" t="e">
        <f t="shared" ca="1" si="34"/>
        <v>#VALUE!</v>
      </c>
      <c r="CC55" s="9" t="e">
        <f t="shared" ca="1" si="35"/>
        <v>#VALUE!</v>
      </c>
      <c r="CD55" s="1" t="e">
        <f t="shared" ca="1" si="35"/>
        <v>#VALUE!</v>
      </c>
      <c r="CE55" s="1" t="e">
        <f t="shared" ca="1" si="36"/>
        <v>#VALUE!</v>
      </c>
      <c r="CF55" s="1" t="e">
        <f t="shared" ca="1" si="37"/>
        <v>#VALUE!</v>
      </c>
      <c r="CG55" s="9" t="e">
        <f t="shared" ca="1" si="38"/>
        <v>#VALUE!</v>
      </c>
      <c r="CH55" s="1" t="e">
        <f t="shared" ca="1" si="38"/>
        <v>#VALUE!</v>
      </c>
      <c r="CI55" s="1" t="e">
        <f t="shared" ca="1" si="39"/>
        <v>#VALUE!</v>
      </c>
      <c r="CJ55" s="1" t="e">
        <f t="shared" ca="1" si="40"/>
        <v>#VALUE!</v>
      </c>
      <c r="CK55" s="9" t="e">
        <f t="shared" ca="1" si="41"/>
        <v>#VALUE!</v>
      </c>
      <c r="CL55" s="1" t="e">
        <f t="shared" ca="1" si="41"/>
        <v>#VALUE!</v>
      </c>
      <c r="CM55" s="1" t="e">
        <f t="shared" ca="1" si="42"/>
        <v>#VALUE!</v>
      </c>
      <c r="CN55" s="1" t="e">
        <f t="shared" ca="1" si="43"/>
        <v>#VALUE!</v>
      </c>
      <c r="CO55" s="9" t="e">
        <f t="shared" ca="1" si="44"/>
        <v>#VALUE!</v>
      </c>
      <c r="CP55" s="1" t="e">
        <f t="shared" ca="1" si="44"/>
        <v>#VALUE!</v>
      </c>
      <c r="CQ55" s="1" t="e">
        <f t="shared" ca="1" si="45"/>
        <v>#VALUE!</v>
      </c>
      <c r="CR55" s="1" t="e">
        <f t="shared" ca="1" si="46"/>
        <v>#VALUE!</v>
      </c>
      <c r="CS55" s="9" t="e">
        <f t="shared" ca="1" si="47"/>
        <v>#VALUE!</v>
      </c>
      <c r="CT55" s="1" t="e">
        <f t="shared" ca="1" si="47"/>
        <v>#VALUE!</v>
      </c>
    </row>
    <row r="56" spans="19:98" x14ac:dyDescent="0.25">
      <c r="S56" s="8"/>
      <c r="T56" s="8"/>
      <c r="U56" s="8"/>
      <c r="V56" s="8"/>
      <c r="W56" s="8" t="e">
        <f ca="1">MATCH($E56,OFFSET([4]Hoja1!$X$4,V56-3,0,500-V56,1),0)+V56</f>
        <v>#VALUE!</v>
      </c>
      <c r="X56" s="8" t="e">
        <f ca="1">MATCH($E56,OFFSET([4]Hoja1!$X$4,W56-3,0,500-W56,1),0)+W56</f>
        <v>#VALUE!</v>
      </c>
      <c r="Y56" s="8" t="e">
        <f ca="1">MATCH($E56,OFFSET([4]Hoja1!$X$4,X56-3,0,500-X56,1),0)+X56</f>
        <v>#VALUE!</v>
      </c>
      <c r="Z56" s="8" t="e">
        <f ca="1">MATCH($E56,OFFSET([4]Hoja1!$X$4,Y56-3,0,500-Y56,1),0)+Y56</f>
        <v>#VALUE!</v>
      </c>
      <c r="AA56" s="8" t="e">
        <f ca="1">MATCH($E56,OFFSET([4]Hoja1!$X$4,Z56-3,0,500-Z56,1),0)+Z56</f>
        <v>#VALUE!</v>
      </c>
      <c r="AB56" s="8" t="e">
        <f ca="1">MATCH($E56,OFFSET([4]Hoja1!$X$4,AA56-3,0,500-AA56,1),0)+AA56</f>
        <v>#VALUE!</v>
      </c>
      <c r="AC56" s="8" t="e">
        <f ca="1">MATCH($E56,OFFSET([4]Hoja1!$X$4,AB56-3,0,500-AB56,1),0)+AB56</f>
        <v>#VALUE!</v>
      </c>
      <c r="AD56" s="8" t="e">
        <f ca="1">MATCH($E56,OFFSET([4]Hoja1!$X$4,AC56-3,0,500-AC56,1),0)+AC56</f>
        <v>#VALUE!</v>
      </c>
      <c r="AE56" s="8" t="e">
        <f ca="1">MATCH($E56,OFFSET([4]Hoja1!$X$4,AD56-3,0,500-AD56,1),0)+AD56</f>
        <v>#VALUE!</v>
      </c>
      <c r="AF56" s="8" t="e">
        <f ca="1">MATCH($E56,OFFSET([4]Hoja1!$X$4,AE56-3,0,500-AE56,1),0)+AE56</f>
        <v>#VALUE!</v>
      </c>
      <c r="AG56" s="8" t="e">
        <f ca="1">MATCH($E56,OFFSET([4]Hoja1!$X$4,AF56-3,0,500-AF56,1),0)+AF56</f>
        <v>#VALUE!</v>
      </c>
      <c r="AH56" s="8" t="e">
        <f ca="1">MATCH($E56,OFFSET([4]Hoja1!$X$4,AG56-3,0,500-AG56,1),0)+AG56</f>
        <v>#VALUE!</v>
      </c>
      <c r="AI56" s="1" t="str">
        <f t="shared" si="0"/>
        <v>'[Archivo con planillas totales y estandarizadas.xlsx]Hoja1'!$F</v>
      </c>
      <c r="AJ56" s="1" t="str">
        <f t="shared" si="1"/>
        <v>'[Archivo con planillas totales y estandarizadas.xlsx]Hoja1'!$M</v>
      </c>
      <c r="AK56" s="9" t="e">
        <f t="shared" ca="1" si="2"/>
        <v>#REF!</v>
      </c>
      <c r="AL56" s="1" t="e">
        <f t="shared" ca="1" si="2"/>
        <v>#REF!</v>
      </c>
      <c r="AM56" s="1" t="str">
        <f t="shared" si="3"/>
        <v>'[Archivo con planillas totales y estandarizadas.xlsx]Hoja1'!$F</v>
      </c>
      <c r="AN56" s="1" t="str">
        <f t="shared" si="4"/>
        <v>'[Archivo con planillas totales y estandarizadas.xlsx]Hoja1'!$M</v>
      </c>
      <c r="AO56" s="9" t="e">
        <f t="shared" ca="1" si="5"/>
        <v>#REF!</v>
      </c>
      <c r="AP56" s="1" t="e">
        <f t="shared" ca="1" si="5"/>
        <v>#REF!</v>
      </c>
      <c r="AQ56" s="1" t="str">
        <f t="shared" si="6"/>
        <v>'[Archivo con planillas totales y estandarizadas.xlsx]Hoja1'!$F</v>
      </c>
      <c r="AR56" s="1" t="str">
        <f t="shared" si="7"/>
        <v>'[Archivo con planillas totales y estandarizadas.xlsx]Hoja1'!$M</v>
      </c>
      <c r="AS56" s="9" t="e">
        <f t="shared" ca="1" si="8"/>
        <v>#REF!</v>
      </c>
      <c r="AT56" s="1" t="e">
        <f t="shared" ca="1" si="8"/>
        <v>#REF!</v>
      </c>
      <c r="AU56" s="1" t="str">
        <f t="shared" si="9"/>
        <v>'[Archivo con planillas totales y estandarizadas.xlsx]Hoja1'!$F</v>
      </c>
      <c r="AV56" s="1" t="str">
        <f t="shared" si="10"/>
        <v>'[Archivo con planillas totales y estandarizadas.xlsx]Hoja1'!$M</v>
      </c>
      <c r="AW56" s="9" t="e">
        <f t="shared" ca="1" si="11"/>
        <v>#REF!</v>
      </c>
      <c r="AX56" s="1" t="e">
        <f t="shared" ca="1" si="11"/>
        <v>#REF!</v>
      </c>
      <c r="AY56" s="1" t="e">
        <f t="shared" ca="1" si="12"/>
        <v>#VALUE!</v>
      </c>
      <c r="AZ56" s="1" t="e">
        <f t="shared" ca="1" si="13"/>
        <v>#VALUE!</v>
      </c>
      <c r="BA56" s="9" t="e">
        <f t="shared" ca="1" si="14"/>
        <v>#VALUE!</v>
      </c>
      <c r="BB56" s="1" t="e">
        <f t="shared" ca="1" si="14"/>
        <v>#VALUE!</v>
      </c>
      <c r="BC56" s="1" t="e">
        <f t="shared" ca="1" si="15"/>
        <v>#VALUE!</v>
      </c>
      <c r="BD56" s="1" t="e">
        <f t="shared" ca="1" si="16"/>
        <v>#VALUE!</v>
      </c>
      <c r="BE56" s="9" t="e">
        <f t="shared" ca="1" si="17"/>
        <v>#VALUE!</v>
      </c>
      <c r="BF56" s="1" t="e">
        <f t="shared" ca="1" si="17"/>
        <v>#VALUE!</v>
      </c>
      <c r="BG56" s="1" t="e">
        <f t="shared" ca="1" si="18"/>
        <v>#VALUE!</v>
      </c>
      <c r="BH56" s="1" t="e">
        <f t="shared" ca="1" si="19"/>
        <v>#VALUE!</v>
      </c>
      <c r="BI56" s="9" t="e">
        <f t="shared" ca="1" si="20"/>
        <v>#VALUE!</v>
      </c>
      <c r="BJ56" s="1" t="e">
        <f t="shared" ca="1" si="20"/>
        <v>#VALUE!</v>
      </c>
      <c r="BK56" s="1" t="e">
        <f t="shared" ca="1" si="21"/>
        <v>#VALUE!</v>
      </c>
      <c r="BL56" s="1" t="e">
        <f t="shared" ca="1" si="22"/>
        <v>#VALUE!</v>
      </c>
      <c r="BM56" s="9" t="e">
        <f t="shared" ca="1" si="23"/>
        <v>#VALUE!</v>
      </c>
      <c r="BN56" s="1" t="e">
        <f t="shared" ca="1" si="23"/>
        <v>#VALUE!</v>
      </c>
      <c r="BO56" s="1" t="e">
        <f t="shared" ca="1" si="24"/>
        <v>#VALUE!</v>
      </c>
      <c r="BP56" s="1" t="e">
        <f t="shared" ca="1" si="25"/>
        <v>#VALUE!</v>
      </c>
      <c r="BQ56" s="9" t="e">
        <f t="shared" ca="1" si="26"/>
        <v>#VALUE!</v>
      </c>
      <c r="BR56" s="1" t="e">
        <f t="shared" ca="1" si="26"/>
        <v>#VALUE!</v>
      </c>
      <c r="BS56" s="1" t="e">
        <f t="shared" ca="1" si="27"/>
        <v>#VALUE!</v>
      </c>
      <c r="BT56" s="1" t="e">
        <f t="shared" ca="1" si="28"/>
        <v>#VALUE!</v>
      </c>
      <c r="BU56" s="9" t="e">
        <f t="shared" ca="1" si="29"/>
        <v>#VALUE!</v>
      </c>
      <c r="BV56" s="1" t="e">
        <f t="shared" ca="1" si="29"/>
        <v>#VALUE!</v>
      </c>
      <c r="BW56" s="1" t="e">
        <f t="shared" ca="1" si="30"/>
        <v>#VALUE!</v>
      </c>
      <c r="BX56" s="1" t="e">
        <f t="shared" ca="1" si="31"/>
        <v>#VALUE!</v>
      </c>
      <c r="BY56" s="9" t="e">
        <f t="shared" ca="1" si="32"/>
        <v>#VALUE!</v>
      </c>
      <c r="BZ56" s="1" t="e">
        <f t="shared" ca="1" si="32"/>
        <v>#VALUE!</v>
      </c>
      <c r="CA56" s="1" t="e">
        <f t="shared" ca="1" si="33"/>
        <v>#VALUE!</v>
      </c>
      <c r="CB56" s="1" t="e">
        <f t="shared" ca="1" si="34"/>
        <v>#VALUE!</v>
      </c>
      <c r="CC56" s="9" t="e">
        <f t="shared" ca="1" si="35"/>
        <v>#VALUE!</v>
      </c>
      <c r="CD56" s="1" t="e">
        <f t="shared" ca="1" si="35"/>
        <v>#VALUE!</v>
      </c>
      <c r="CE56" s="1" t="e">
        <f t="shared" ca="1" si="36"/>
        <v>#VALUE!</v>
      </c>
      <c r="CF56" s="1" t="e">
        <f t="shared" ca="1" si="37"/>
        <v>#VALUE!</v>
      </c>
      <c r="CG56" s="9" t="e">
        <f t="shared" ca="1" si="38"/>
        <v>#VALUE!</v>
      </c>
      <c r="CH56" s="1" t="e">
        <f t="shared" ca="1" si="38"/>
        <v>#VALUE!</v>
      </c>
      <c r="CI56" s="1" t="e">
        <f t="shared" ca="1" si="39"/>
        <v>#VALUE!</v>
      </c>
      <c r="CJ56" s="1" t="e">
        <f t="shared" ca="1" si="40"/>
        <v>#VALUE!</v>
      </c>
      <c r="CK56" s="9" t="e">
        <f t="shared" ca="1" si="41"/>
        <v>#VALUE!</v>
      </c>
      <c r="CL56" s="1" t="e">
        <f t="shared" ca="1" si="41"/>
        <v>#VALUE!</v>
      </c>
      <c r="CM56" s="1" t="e">
        <f t="shared" ca="1" si="42"/>
        <v>#VALUE!</v>
      </c>
      <c r="CN56" s="1" t="e">
        <f t="shared" ca="1" si="43"/>
        <v>#VALUE!</v>
      </c>
      <c r="CO56" s="9" t="e">
        <f t="shared" ca="1" si="44"/>
        <v>#VALUE!</v>
      </c>
      <c r="CP56" s="1" t="e">
        <f t="shared" ca="1" si="44"/>
        <v>#VALUE!</v>
      </c>
      <c r="CQ56" s="1" t="e">
        <f t="shared" ca="1" si="45"/>
        <v>#VALUE!</v>
      </c>
      <c r="CR56" s="1" t="e">
        <f t="shared" ca="1" si="46"/>
        <v>#VALUE!</v>
      </c>
      <c r="CS56" s="9" t="e">
        <f t="shared" ca="1" si="47"/>
        <v>#VALUE!</v>
      </c>
      <c r="CT56" s="1" t="e">
        <f t="shared" ca="1" si="47"/>
        <v>#VALUE!</v>
      </c>
    </row>
    <row r="57" spans="19:98" x14ac:dyDescent="0.25">
      <c r="S57" s="8"/>
      <c r="T57" s="8"/>
      <c r="U57" s="8"/>
      <c r="V57" s="8"/>
      <c r="W57" s="8" t="e">
        <f ca="1">MATCH($E57,OFFSET([4]Hoja1!$X$4,V57-3,0,500-V57,1),0)+V57</f>
        <v>#VALUE!</v>
      </c>
      <c r="X57" s="8" t="e">
        <f ca="1">MATCH($E57,OFFSET([4]Hoja1!$X$4,W57-3,0,500-W57,1),0)+W57</f>
        <v>#VALUE!</v>
      </c>
      <c r="Y57" s="8" t="e">
        <f ca="1">MATCH($E57,OFFSET([4]Hoja1!$X$4,X57-3,0,500-X57,1),0)+X57</f>
        <v>#VALUE!</v>
      </c>
      <c r="Z57" s="8" t="e">
        <f ca="1">MATCH($E57,OFFSET([4]Hoja1!$X$4,Y57-3,0,500-Y57,1),0)+Y57</f>
        <v>#VALUE!</v>
      </c>
      <c r="AA57" s="8" t="e">
        <f ca="1">MATCH($E57,OFFSET([4]Hoja1!$X$4,Z57-3,0,500-Z57,1),0)+Z57</f>
        <v>#VALUE!</v>
      </c>
      <c r="AB57" s="8" t="e">
        <f ca="1">MATCH($E57,OFFSET([4]Hoja1!$X$4,AA57-3,0,500-AA57,1),0)+AA57</f>
        <v>#VALUE!</v>
      </c>
      <c r="AC57" s="8" t="e">
        <f ca="1">MATCH($E57,OFFSET([4]Hoja1!$X$4,AB57-3,0,500-AB57,1),0)+AB57</f>
        <v>#VALUE!</v>
      </c>
      <c r="AD57" s="8" t="e">
        <f ca="1">MATCH($E57,OFFSET([4]Hoja1!$X$4,AC57-3,0,500-AC57,1),0)+AC57</f>
        <v>#VALUE!</v>
      </c>
      <c r="AE57" s="8" t="e">
        <f ca="1">MATCH($E57,OFFSET([4]Hoja1!$X$4,AD57-3,0,500-AD57,1),0)+AD57</f>
        <v>#VALUE!</v>
      </c>
      <c r="AF57" s="8" t="e">
        <f ca="1">MATCH($E57,OFFSET([4]Hoja1!$X$4,AE57-3,0,500-AE57,1),0)+AE57</f>
        <v>#VALUE!</v>
      </c>
      <c r="AG57" s="8" t="e">
        <f ca="1">MATCH($E57,OFFSET([4]Hoja1!$X$4,AF57-3,0,500-AF57,1),0)+AF57</f>
        <v>#VALUE!</v>
      </c>
      <c r="AH57" s="8" t="e">
        <f ca="1">MATCH($E57,OFFSET([4]Hoja1!$X$4,AG57-3,0,500-AG57,1),0)+AG57</f>
        <v>#VALUE!</v>
      </c>
      <c r="AI57" s="1" t="str">
        <f t="shared" si="0"/>
        <v>'[Archivo con planillas totales y estandarizadas.xlsx]Hoja1'!$F</v>
      </c>
      <c r="AJ57" s="1" t="str">
        <f t="shared" si="1"/>
        <v>'[Archivo con planillas totales y estandarizadas.xlsx]Hoja1'!$M</v>
      </c>
      <c r="AK57" s="9" t="e">
        <f t="shared" ca="1" si="2"/>
        <v>#REF!</v>
      </c>
      <c r="AL57" s="1" t="e">
        <f t="shared" ca="1" si="2"/>
        <v>#REF!</v>
      </c>
      <c r="AM57" s="1" t="str">
        <f t="shared" si="3"/>
        <v>'[Archivo con planillas totales y estandarizadas.xlsx]Hoja1'!$F</v>
      </c>
      <c r="AN57" s="1" t="str">
        <f t="shared" si="4"/>
        <v>'[Archivo con planillas totales y estandarizadas.xlsx]Hoja1'!$M</v>
      </c>
      <c r="AO57" s="9" t="e">
        <f t="shared" ca="1" si="5"/>
        <v>#REF!</v>
      </c>
      <c r="AP57" s="1" t="e">
        <f t="shared" ca="1" si="5"/>
        <v>#REF!</v>
      </c>
      <c r="AQ57" s="1" t="str">
        <f t="shared" si="6"/>
        <v>'[Archivo con planillas totales y estandarizadas.xlsx]Hoja1'!$F</v>
      </c>
      <c r="AR57" s="1" t="str">
        <f t="shared" si="7"/>
        <v>'[Archivo con planillas totales y estandarizadas.xlsx]Hoja1'!$M</v>
      </c>
      <c r="AS57" s="9" t="e">
        <f t="shared" ca="1" si="8"/>
        <v>#REF!</v>
      </c>
      <c r="AT57" s="1" t="e">
        <f t="shared" ca="1" si="8"/>
        <v>#REF!</v>
      </c>
      <c r="AU57" s="1" t="str">
        <f t="shared" si="9"/>
        <v>'[Archivo con planillas totales y estandarizadas.xlsx]Hoja1'!$F</v>
      </c>
      <c r="AV57" s="1" t="str">
        <f t="shared" si="10"/>
        <v>'[Archivo con planillas totales y estandarizadas.xlsx]Hoja1'!$M</v>
      </c>
      <c r="AW57" s="9" t="e">
        <f t="shared" ca="1" si="11"/>
        <v>#REF!</v>
      </c>
      <c r="AX57" s="1" t="e">
        <f t="shared" ca="1" si="11"/>
        <v>#REF!</v>
      </c>
      <c r="AY57" s="1" t="e">
        <f t="shared" ca="1" si="12"/>
        <v>#VALUE!</v>
      </c>
      <c r="AZ57" s="1" t="e">
        <f t="shared" ca="1" si="13"/>
        <v>#VALUE!</v>
      </c>
      <c r="BA57" s="9" t="e">
        <f t="shared" ca="1" si="14"/>
        <v>#VALUE!</v>
      </c>
      <c r="BB57" s="1" t="e">
        <f t="shared" ca="1" si="14"/>
        <v>#VALUE!</v>
      </c>
      <c r="BC57" s="1" t="e">
        <f t="shared" ca="1" si="15"/>
        <v>#VALUE!</v>
      </c>
      <c r="BD57" s="1" t="e">
        <f t="shared" ca="1" si="16"/>
        <v>#VALUE!</v>
      </c>
      <c r="BE57" s="9" t="e">
        <f t="shared" ca="1" si="17"/>
        <v>#VALUE!</v>
      </c>
      <c r="BF57" s="1" t="e">
        <f t="shared" ca="1" si="17"/>
        <v>#VALUE!</v>
      </c>
      <c r="BG57" s="1" t="e">
        <f t="shared" ca="1" si="18"/>
        <v>#VALUE!</v>
      </c>
      <c r="BH57" s="1" t="e">
        <f t="shared" ca="1" si="19"/>
        <v>#VALUE!</v>
      </c>
      <c r="BI57" s="9" t="e">
        <f t="shared" ca="1" si="20"/>
        <v>#VALUE!</v>
      </c>
      <c r="BJ57" s="1" t="e">
        <f t="shared" ca="1" si="20"/>
        <v>#VALUE!</v>
      </c>
      <c r="BK57" s="1" t="e">
        <f t="shared" ca="1" si="21"/>
        <v>#VALUE!</v>
      </c>
      <c r="BL57" s="1" t="e">
        <f t="shared" ca="1" si="22"/>
        <v>#VALUE!</v>
      </c>
      <c r="BM57" s="9" t="e">
        <f t="shared" ca="1" si="23"/>
        <v>#VALUE!</v>
      </c>
      <c r="BN57" s="1" t="e">
        <f t="shared" ca="1" si="23"/>
        <v>#VALUE!</v>
      </c>
      <c r="BO57" s="1" t="e">
        <f t="shared" ca="1" si="24"/>
        <v>#VALUE!</v>
      </c>
      <c r="BP57" s="1" t="e">
        <f t="shared" ca="1" si="25"/>
        <v>#VALUE!</v>
      </c>
      <c r="BQ57" s="9" t="e">
        <f t="shared" ca="1" si="26"/>
        <v>#VALUE!</v>
      </c>
      <c r="BR57" s="1" t="e">
        <f t="shared" ca="1" si="26"/>
        <v>#VALUE!</v>
      </c>
      <c r="BS57" s="1" t="e">
        <f t="shared" ca="1" si="27"/>
        <v>#VALUE!</v>
      </c>
      <c r="BT57" s="1" t="e">
        <f t="shared" ca="1" si="28"/>
        <v>#VALUE!</v>
      </c>
      <c r="BU57" s="9" t="e">
        <f t="shared" ca="1" si="29"/>
        <v>#VALUE!</v>
      </c>
      <c r="BV57" s="1" t="e">
        <f t="shared" ca="1" si="29"/>
        <v>#VALUE!</v>
      </c>
      <c r="BW57" s="1" t="e">
        <f t="shared" ca="1" si="30"/>
        <v>#VALUE!</v>
      </c>
      <c r="BX57" s="1" t="e">
        <f t="shared" ca="1" si="31"/>
        <v>#VALUE!</v>
      </c>
      <c r="BY57" s="9" t="e">
        <f t="shared" ca="1" si="32"/>
        <v>#VALUE!</v>
      </c>
      <c r="BZ57" s="1" t="e">
        <f t="shared" ca="1" si="32"/>
        <v>#VALUE!</v>
      </c>
      <c r="CA57" s="1" t="e">
        <f t="shared" ca="1" si="33"/>
        <v>#VALUE!</v>
      </c>
      <c r="CB57" s="1" t="e">
        <f t="shared" ca="1" si="34"/>
        <v>#VALUE!</v>
      </c>
      <c r="CC57" s="9" t="e">
        <f t="shared" ca="1" si="35"/>
        <v>#VALUE!</v>
      </c>
      <c r="CD57" s="1" t="e">
        <f t="shared" ca="1" si="35"/>
        <v>#VALUE!</v>
      </c>
      <c r="CE57" s="1" t="e">
        <f t="shared" ca="1" si="36"/>
        <v>#VALUE!</v>
      </c>
      <c r="CF57" s="1" t="e">
        <f t="shared" ca="1" si="37"/>
        <v>#VALUE!</v>
      </c>
      <c r="CG57" s="9" t="e">
        <f t="shared" ca="1" si="38"/>
        <v>#VALUE!</v>
      </c>
      <c r="CH57" s="1" t="e">
        <f t="shared" ca="1" si="38"/>
        <v>#VALUE!</v>
      </c>
      <c r="CI57" s="1" t="e">
        <f t="shared" ca="1" si="39"/>
        <v>#VALUE!</v>
      </c>
      <c r="CJ57" s="1" t="e">
        <f t="shared" ca="1" si="40"/>
        <v>#VALUE!</v>
      </c>
      <c r="CK57" s="9" t="e">
        <f t="shared" ca="1" si="41"/>
        <v>#VALUE!</v>
      </c>
      <c r="CL57" s="1" t="e">
        <f t="shared" ca="1" si="41"/>
        <v>#VALUE!</v>
      </c>
      <c r="CM57" s="1" t="e">
        <f t="shared" ca="1" si="42"/>
        <v>#VALUE!</v>
      </c>
      <c r="CN57" s="1" t="e">
        <f t="shared" ca="1" si="43"/>
        <v>#VALUE!</v>
      </c>
      <c r="CO57" s="9" t="e">
        <f t="shared" ca="1" si="44"/>
        <v>#VALUE!</v>
      </c>
      <c r="CP57" s="1" t="e">
        <f t="shared" ca="1" si="44"/>
        <v>#VALUE!</v>
      </c>
      <c r="CQ57" s="1" t="e">
        <f t="shared" ca="1" si="45"/>
        <v>#VALUE!</v>
      </c>
      <c r="CR57" s="1" t="e">
        <f t="shared" ca="1" si="46"/>
        <v>#VALUE!</v>
      </c>
      <c r="CS57" s="9" t="e">
        <f t="shared" ca="1" si="47"/>
        <v>#VALUE!</v>
      </c>
      <c r="CT57" s="1" t="e">
        <f t="shared" ca="1" si="47"/>
        <v>#VALUE!</v>
      </c>
    </row>
    <row r="58" spans="19:98" x14ac:dyDescent="0.25">
      <c r="S58" s="8"/>
      <c r="T58" s="8"/>
      <c r="U58" s="8"/>
      <c r="V58" s="8"/>
      <c r="W58" s="8" t="e">
        <f ca="1">MATCH($E58,OFFSET([4]Hoja1!$X$4,V58-3,0,500-V58,1),0)+V58</f>
        <v>#VALUE!</v>
      </c>
      <c r="X58" s="8" t="e">
        <f ca="1">MATCH($E58,OFFSET([4]Hoja1!$X$4,W58-3,0,500-W58,1),0)+W58</f>
        <v>#VALUE!</v>
      </c>
      <c r="Y58" s="8" t="e">
        <f ca="1">MATCH($E58,OFFSET([4]Hoja1!$X$4,X58-3,0,500-X58,1),0)+X58</f>
        <v>#VALUE!</v>
      </c>
      <c r="Z58" s="8" t="e">
        <f ca="1">MATCH($E58,OFFSET([4]Hoja1!$X$4,Y58-3,0,500-Y58,1),0)+Y58</f>
        <v>#VALUE!</v>
      </c>
      <c r="AA58" s="8" t="e">
        <f ca="1">MATCH($E58,OFFSET([4]Hoja1!$X$4,Z58-3,0,500-Z58,1),0)+Z58</f>
        <v>#VALUE!</v>
      </c>
      <c r="AB58" s="8" t="e">
        <f ca="1">MATCH($E58,OFFSET([4]Hoja1!$X$4,AA58-3,0,500-AA58,1),0)+AA58</f>
        <v>#VALUE!</v>
      </c>
      <c r="AC58" s="8" t="e">
        <f ca="1">MATCH($E58,OFFSET([4]Hoja1!$X$4,AB58-3,0,500-AB58,1),0)+AB58</f>
        <v>#VALUE!</v>
      </c>
      <c r="AD58" s="8" t="e">
        <f ca="1">MATCH($E58,OFFSET([4]Hoja1!$X$4,AC58-3,0,500-AC58,1),0)+AC58</f>
        <v>#VALUE!</v>
      </c>
      <c r="AE58" s="8" t="e">
        <f ca="1">MATCH($E58,OFFSET([4]Hoja1!$X$4,AD58-3,0,500-AD58,1),0)+AD58</f>
        <v>#VALUE!</v>
      </c>
      <c r="AF58" s="8" t="e">
        <f ca="1">MATCH($E58,OFFSET([4]Hoja1!$X$4,AE58-3,0,500-AE58,1),0)+AE58</f>
        <v>#VALUE!</v>
      </c>
      <c r="AG58" s="8" t="e">
        <f ca="1">MATCH($E58,OFFSET([4]Hoja1!$X$4,AF58-3,0,500-AF58,1),0)+AF58</f>
        <v>#VALUE!</v>
      </c>
      <c r="AH58" s="8" t="e">
        <f ca="1">MATCH($E58,OFFSET([4]Hoja1!$X$4,AG58-3,0,500-AG58,1),0)+AG58</f>
        <v>#VALUE!</v>
      </c>
      <c r="AI58" s="1" t="str">
        <f t="shared" si="0"/>
        <v>'[Archivo con planillas totales y estandarizadas.xlsx]Hoja1'!$F</v>
      </c>
      <c r="AJ58" s="1" t="str">
        <f t="shared" si="1"/>
        <v>'[Archivo con planillas totales y estandarizadas.xlsx]Hoja1'!$M</v>
      </c>
      <c r="AK58" s="9" t="e">
        <f t="shared" ca="1" si="2"/>
        <v>#REF!</v>
      </c>
      <c r="AL58" s="1" t="e">
        <f t="shared" ca="1" si="2"/>
        <v>#REF!</v>
      </c>
      <c r="AM58" s="1" t="str">
        <f t="shared" si="3"/>
        <v>'[Archivo con planillas totales y estandarizadas.xlsx]Hoja1'!$F</v>
      </c>
      <c r="AN58" s="1" t="str">
        <f t="shared" si="4"/>
        <v>'[Archivo con planillas totales y estandarizadas.xlsx]Hoja1'!$M</v>
      </c>
      <c r="AO58" s="9" t="e">
        <f t="shared" ca="1" si="5"/>
        <v>#REF!</v>
      </c>
      <c r="AP58" s="1" t="e">
        <f t="shared" ca="1" si="5"/>
        <v>#REF!</v>
      </c>
      <c r="AQ58" s="1" t="str">
        <f t="shared" si="6"/>
        <v>'[Archivo con planillas totales y estandarizadas.xlsx]Hoja1'!$F</v>
      </c>
      <c r="AR58" s="1" t="str">
        <f t="shared" si="7"/>
        <v>'[Archivo con planillas totales y estandarizadas.xlsx]Hoja1'!$M</v>
      </c>
      <c r="AS58" s="9" t="e">
        <f t="shared" ca="1" si="8"/>
        <v>#REF!</v>
      </c>
      <c r="AT58" s="1" t="e">
        <f t="shared" ca="1" si="8"/>
        <v>#REF!</v>
      </c>
      <c r="AU58" s="1" t="str">
        <f t="shared" si="9"/>
        <v>'[Archivo con planillas totales y estandarizadas.xlsx]Hoja1'!$F</v>
      </c>
      <c r="AV58" s="1" t="str">
        <f t="shared" si="10"/>
        <v>'[Archivo con planillas totales y estandarizadas.xlsx]Hoja1'!$M</v>
      </c>
      <c r="AW58" s="9" t="e">
        <f t="shared" ca="1" si="11"/>
        <v>#REF!</v>
      </c>
      <c r="AX58" s="1" t="e">
        <f t="shared" ca="1" si="11"/>
        <v>#REF!</v>
      </c>
      <c r="AY58" s="1" t="e">
        <f t="shared" ca="1" si="12"/>
        <v>#VALUE!</v>
      </c>
      <c r="AZ58" s="1" t="e">
        <f t="shared" ca="1" si="13"/>
        <v>#VALUE!</v>
      </c>
      <c r="BA58" s="9" t="e">
        <f t="shared" ca="1" si="14"/>
        <v>#VALUE!</v>
      </c>
      <c r="BB58" s="1" t="e">
        <f t="shared" ca="1" si="14"/>
        <v>#VALUE!</v>
      </c>
      <c r="BC58" s="1" t="e">
        <f t="shared" ca="1" si="15"/>
        <v>#VALUE!</v>
      </c>
      <c r="BD58" s="1" t="e">
        <f t="shared" ca="1" si="16"/>
        <v>#VALUE!</v>
      </c>
      <c r="BE58" s="9" t="e">
        <f t="shared" ca="1" si="17"/>
        <v>#VALUE!</v>
      </c>
      <c r="BF58" s="1" t="e">
        <f t="shared" ca="1" si="17"/>
        <v>#VALUE!</v>
      </c>
      <c r="BG58" s="1" t="e">
        <f t="shared" ca="1" si="18"/>
        <v>#VALUE!</v>
      </c>
      <c r="BH58" s="1" t="e">
        <f t="shared" ca="1" si="19"/>
        <v>#VALUE!</v>
      </c>
      <c r="BI58" s="9" t="e">
        <f t="shared" ca="1" si="20"/>
        <v>#VALUE!</v>
      </c>
      <c r="BJ58" s="1" t="e">
        <f t="shared" ca="1" si="20"/>
        <v>#VALUE!</v>
      </c>
      <c r="BK58" s="1" t="e">
        <f t="shared" ca="1" si="21"/>
        <v>#VALUE!</v>
      </c>
      <c r="BL58" s="1" t="e">
        <f t="shared" ca="1" si="22"/>
        <v>#VALUE!</v>
      </c>
      <c r="BM58" s="9" t="e">
        <f t="shared" ca="1" si="23"/>
        <v>#VALUE!</v>
      </c>
      <c r="BN58" s="1" t="e">
        <f t="shared" ca="1" si="23"/>
        <v>#VALUE!</v>
      </c>
      <c r="BO58" s="1" t="e">
        <f t="shared" ca="1" si="24"/>
        <v>#VALUE!</v>
      </c>
      <c r="BP58" s="1" t="e">
        <f t="shared" ca="1" si="25"/>
        <v>#VALUE!</v>
      </c>
      <c r="BQ58" s="9" t="e">
        <f t="shared" ca="1" si="26"/>
        <v>#VALUE!</v>
      </c>
      <c r="BR58" s="1" t="e">
        <f t="shared" ca="1" si="26"/>
        <v>#VALUE!</v>
      </c>
      <c r="BS58" s="1" t="e">
        <f t="shared" ca="1" si="27"/>
        <v>#VALUE!</v>
      </c>
      <c r="BT58" s="1" t="e">
        <f t="shared" ca="1" si="28"/>
        <v>#VALUE!</v>
      </c>
      <c r="BU58" s="9" t="e">
        <f t="shared" ca="1" si="29"/>
        <v>#VALUE!</v>
      </c>
      <c r="BV58" s="1" t="e">
        <f t="shared" ca="1" si="29"/>
        <v>#VALUE!</v>
      </c>
      <c r="BW58" s="1" t="e">
        <f t="shared" ca="1" si="30"/>
        <v>#VALUE!</v>
      </c>
      <c r="BX58" s="1" t="e">
        <f t="shared" ca="1" si="31"/>
        <v>#VALUE!</v>
      </c>
      <c r="BY58" s="9" t="e">
        <f t="shared" ca="1" si="32"/>
        <v>#VALUE!</v>
      </c>
      <c r="BZ58" s="1" t="e">
        <f t="shared" ca="1" si="32"/>
        <v>#VALUE!</v>
      </c>
      <c r="CA58" s="1" t="e">
        <f t="shared" ca="1" si="33"/>
        <v>#VALUE!</v>
      </c>
      <c r="CB58" s="1" t="e">
        <f t="shared" ca="1" si="34"/>
        <v>#VALUE!</v>
      </c>
      <c r="CC58" s="9" t="e">
        <f t="shared" ca="1" si="35"/>
        <v>#VALUE!</v>
      </c>
      <c r="CD58" s="1" t="e">
        <f t="shared" ca="1" si="35"/>
        <v>#VALUE!</v>
      </c>
      <c r="CE58" s="1" t="e">
        <f t="shared" ca="1" si="36"/>
        <v>#VALUE!</v>
      </c>
      <c r="CF58" s="1" t="e">
        <f t="shared" ca="1" si="37"/>
        <v>#VALUE!</v>
      </c>
      <c r="CG58" s="9" t="e">
        <f t="shared" ca="1" si="38"/>
        <v>#VALUE!</v>
      </c>
      <c r="CH58" s="1" t="e">
        <f t="shared" ca="1" si="38"/>
        <v>#VALUE!</v>
      </c>
      <c r="CI58" s="1" t="e">
        <f t="shared" ca="1" si="39"/>
        <v>#VALUE!</v>
      </c>
      <c r="CJ58" s="1" t="e">
        <f t="shared" ca="1" si="40"/>
        <v>#VALUE!</v>
      </c>
      <c r="CK58" s="9" t="e">
        <f t="shared" ca="1" si="41"/>
        <v>#VALUE!</v>
      </c>
      <c r="CL58" s="1" t="e">
        <f t="shared" ca="1" si="41"/>
        <v>#VALUE!</v>
      </c>
      <c r="CM58" s="1" t="e">
        <f t="shared" ca="1" si="42"/>
        <v>#VALUE!</v>
      </c>
      <c r="CN58" s="1" t="e">
        <f t="shared" ca="1" si="43"/>
        <v>#VALUE!</v>
      </c>
      <c r="CO58" s="9" t="e">
        <f t="shared" ca="1" si="44"/>
        <v>#VALUE!</v>
      </c>
      <c r="CP58" s="1" t="e">
        <f t="shared" ca="1" si="44"/>
        <v>#VALUE!</v>
      </c>
      <c r="CQ58" s="1" t="e">
        <f t="shared" ca="1" si="45"/>
        <v>#VALUE!</v>
      </c>
      <c r="CR58" s="1" t="e">
        <f t="shared" ca="1" si="46"/>
        <v>#VALUE!</v>
      </c>
      <c r="CS58" s="9" t="e">
        <f t="shared" ca="1" si="47"/>
        <v>#VALUE!</v>
      </c>
      <c r="CT58" s="1" t="e">
        <f t="shared" ca="1" si="47"/>
        <v>#VALUE!</v>
      </c>
    </row>
  </sheetData>
  <sheetProtection algorithmName="SHA-512" hashValue="LRbWT6CuvdxzLdlRsxdoOXO+PLdomp4+5sN1Y2xjykGmeZhR1TlQPXD3XN0aVP1UWcBrPG3sbJX0T6jEGW6Z7Q==" saltValue="N1+vogUdrKXsO2Qe9+DjTw=="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9"/>
  <sheetViews>
    <sheetView topLeftCell="A4" zoomScale="90" zoomScaleNormal="90" workbookViewId="0">
      <pane ySplit="5" topLeftCell="A9" activePane="bottomLeft" state="frozen"/>
      <selection activeCell="A4" sqref="A4"/>
      <selection pane="bottomLeft" activeCell="E9" sqref="E9"/>
    </sheetView>
  </sheetViews>
  <sheetFormatPr baseColWidth="10" defaultRowHeight="15" x14ac:dyDescent="0.25"/>
  <cols>
    <col min="1" max="1" width="12.5703125" style="1" customWidth="1"/>
    <col min="2" max="2" width="13.42578125" style="1" customWidth="1"/>
    <col min="3" max="3" width="15.140625" style="1" customWidth="1"/>
    <col min="4" max="4" width="11.42578125" style="1"/>
    <col min="5" max="5" width="17" style="1" customWidth="1"/>
    <col min="6" max="6" width="15.7109375" style="1" customWidth="1"/>
    <col min="7" max="7" width="13.42578125" style="1" customWidth="1"/>
    <col min="8" max="8" width="25.28515625" style="1" customWidth="1"/>
    <col min="9" max="9" width="15.85546875" style="1" customWidth="1"/>
    <col min="10" max="10" width="17" style="1" customWidth="1"/>
    <col min="11" max="11" width="24.28515625" style="1" customWidth="1"/>
    <col min="12" max="12" width="14.140625" style="1" customWidth="1"/>
    <col min="13" max="13" width="14.85546875" style="1" customWidth="1"/>
    <col min="14" max="14" width="15.7109375" style="1" customWidth="1"/>
    <col min="15" max="16" width="11.42578125" style="1"/>
    <col min="17" max="17" width="38.42578125" style="1" customWidth="1"/>
    <col min="18" max="256" width="11.42578125" style="1"/>
    <col min="257" max="257" width="12.5703125" style="1" customWidth="1"/>
    <col min="258" max="258" width="13.42578125" style="1" customWidth="1"/>
    <col min="259" max="259" width="15.140625" style="1" customWidth="1"/>
    <col min="260" max="260" width="11.42578125" style="1"/>
    <col min="261" max="261" width="17" style="1" customWidth="1"/>
    <col min="262" max="262" width="15.7109375" style="1" customWidth="1"/>
    <col min="263" max="263" width="13.42578125" style="1" customWidth="1"/>
    <col min="264" max="264" width="25.28515625" style="1" customWidth="1"/>
    <col min="265" max="265" width="15.85546875" style="1" customWidth="1"/>
    <col min="266" max="266" width="0" style="1" hidden="1" customWidth="1"/>
    <col min="267" max="267" width="24.28515625" style="1" customWidth="1"/>
    <col min="268" max="268" width="14.140625" style="1" customWidth="1"/>
    <col min="269" max="269" width="14.85546875" style="1" customWidth="1"/>
    <col min="270" max="270" width="15.7109375" style="1" customWidth="1"/>
    <col min="271" max="272" width="11.42578125" style="1"/>
    <col min="273" max="273" width="38.42578125" style="1" customWidth="1"/>
    <col min="274" max="512" width="11.42578125" style="1"/>
    <col min="513" max="513" width="12.5703125" style="1" customWidth="1"/>
    <col min="514" max="514" width="13.42578125" style="1" customWidth="1"/>
    <col min="515" max="515" width="15.140625" style="1" customWidth="1"/>
    <col min="516" max="516" width="11.42578125" style="1"/>
    <col min="517" max="517" width="17" style="1" customWidth="1"/>
    <col min="518" max="518" width="15.7109375" style="1" customWidth="1"/>
    <col min="519" max="519" width="13.42578125" style="1" customWidth="1"/>
    <col min="520" max="520" width="25.28515625" style="1" customWidth="1"/>
    <col min="521" max="521" width="15.85546875" style="1" customWidth="1"/>
    <col min="522" max="522" width="0" style="1" hidden="1" customWidth="1"/>
    <col min="523" max="523" width="24.28515625" style="1" customWidth="1"/>
    <col min="524" max="524" width="14.140625" style="1" customWidth="1"/>
    <col min="525" max="525" width="14.85546875" style="1" customWidth="1"/>
    <col min="526" max="526" width="15.7109375" style="1" customWidth="1"/>
    <col min="527" max="528" width="11.42578125" style="1"/>
    <col min="529" max="529" width="38.42578125" style="1" customWidth="1"/>
    <col min="530" max="768" width="11.42578125" style="1"/>
    <col min="769" max="769" width="12.5703125" style="1" customWidth="1"/>
    <col min="770" max="770" width="13.42578125" style="1" customWidth="1"/>
    <col min="771" max="771" width="15.140625" style="1" customWidth="1"/>
    <col min="772" max="772" width="11.42578125" style="1"/>
    <col min="773" max="773" width="17" style="1" customWidth="1"/>
    <col min="774" max="774" width="15.7109375" style="1" customWidth="1"/>
    <col min="775" max="775" width="13.42578125" style="1" customWidth="1"/>
    <col min="776" max="776" width="25.28515625" style="1" customWidth="1"/>
    <col min="777" max="777" width="15.85546875" style="1" customWidth="1"/>
    <col min="778" max="778" width="0" style="1" hidden="1" customWidth="1"/>
    <col min="779" max="779" width="24.28515625" style="1" customWidth="1"/>
    <col min="780" max="780" width="14.140625" style="1" customWidth="1"/>
    <col min="781" max="781" width="14.85546875" style="1" customWidth="1"/>
    <col min="782" max="782" width="15.7109375" style="1" customWidth="1"/>
    <col min="783" max="784" width="11.42578125" style="1"/>
    <col min="785" max="785" width="38.42578125" style="1" customWidth="1"/>
    <col min="786" max="1024" width="11.42578125" style="1"/>
    <col min="1025" max="1025" width="12.5703125" style="1" customWidth="1"/>
    <col min="1026" max="1026" width="13.42578125" style="1" customWidth="1"/>
    <col min="1027" max="1027" width="15.140625" style="1" customWidth="1"/>
    <col min="1028" max="1028" width="11.42578125" style="1"/>
    <col min="1029" max="1029" width="17" style="1" customWidth="1"/>
    <col min="1030" max="1030" width="15.7109375" style="1" customWidth="1"/>
    <col min="1031" max="1031" width="13.42578125" style="1" customWidth="1"/>
    <col min="1032" max="1032" width="25.28515625" style="1" customWidth="1"/>
    <col min="1033" max="1033" width="15.85546875" style="1" customWidth="1"/>
    <col min="1034" max="1034" width="0" style="1" hidden="1" customWidth="1"/>
    <col min="1035" max="1035" width="24.28515625" style="1" customWidth="1"/>
    <col min="1036" max="1036" width="14.140625" style="1" customWidth="1"/>
    <col min="1037" max="1037" width="14.85546875" style="1" customWidth="1"/>
    <col min="1038" max="1038" width="15.7109375" style="1" customWidth="1"/>
    <col min="1039" max="1040" width="11.42578125" style="1"/>
    <col min="1041" max="1041" width="38.42578125" style="1" customWidth="1"/>
    <col min="1042" max="1280" width="11.42578125" style="1"/>
    <col min="1281" max="1281" width="12.5703125" style="1" customWidth="1"/>
    <col min="1282" max="1282" width="13.42578125" style="1" customWidth="1"/>
    <col min="1283" max="1283" width="15.140625" style="1" customWidth="1"/>
    <col min="1284" max="1284" width="11.42578125" style="1"/>
    <col min="1285" max="1285" width="17" style="1" customWidth="1"/>
    <col min="1286" max="1286" width="15.7109375" style="1" customWidth="1"/>
    <col min="1287" max="1287" width="13.42578125" style="1" customWidth="1"/>
    <col min="1288" max="1288" width="25.28515625" style="1" customWidth="1"/>
    <col min="1289" max="1289" width="15.85546875" style="1" customWidth="1"/>
    <col min="1290" max="1290" width="0" style="1" hidden="1" customWidth="1"/>
    <col min="1291" max="1291" width="24.28515625" style="1" customWidth="1"/>
    <col min="1292" max="1292" width="14.140625" style="1" customWidth="1"/>
    <col min="1293" max="1293" width="14.85546875" style="1" customWidth="1"/>
    <col min="1294" max="1294" width="15.7109375" style="1" customWidth="1"/>
    <col min="1295" max="1296" width="11.42578125" style="1"/>
    <col min="1297" max="1297" width="38.42578125" style="1" customWidth="1"/>
    <col min="1298" max="1536" width="11.42578125" style="1"/>
    <col min="1537" max="1537" width="12.5703125" style="1" customWidth="1"/>
    <col min="1538" max="1538" width="13.42578125" style="1" customWidth="1"/>
    <col min="1539" max="1539" width="15.140625" style="1" customWidth="1"/>
    <col min="1540" max="1540" width="11.42578125" style="1"/>
    <col min="1541" max="1541" width="17" style="1" customWidth="1"/>
    <col min="1542" max="1542" width="15.7109375" style="1" customWidth="1"/>
    <col min="1543" max="1543" width="13.42578125" style="1" customWidth="1"/>
    <col min="1544" max="1544" width="25.28515625" style="1" customWidth="1"/>
    <col min="1545" max="1545" width="15.85546875" style="1" customWidth="1"/>
    <col min="1546" max="1546" width="0" style="1" hidden="1" customWidth="1"/>
    <col min="1547" max="1547" width="24.28515625" style="1" customWidth="1"/>
    <col min="1548" max="1548" width="14.140625" style="1" customWidth="1"/>
    <col min="1549" max="1549" width="14.85546875" style="1" customWidth="1"/>
    <col min="1550" max="1550" width="15.7109375" style="1" customWidth="1"/>
    <col min="1551" max="1552" width="11.42578125" style="1"/>
    <col min="1553" max="1553" width="38.42578125" style="1" customWidth="1"/>
    <col min="1554" max="1792" width="11.42578125" style="1"/>
    <col min="1793" max="1793" width="12.5703125" style="1" customWidth="1"/>
    <col min="1794" max="1794" width="13.42578125" style="1" customWidth="1"/>
    <col min="1795" max="1795" width="15.140625" style="1" customWidth="1"/>
    <col min="1796" max="1796" width="11.42578125" style="1"/>
    <col min="1797" max="1797" width="17" style="1" customWidth="1"/>
    <col min="1798" max="1798" width="15.7109375" style="1" customWidth="1"/>
    <col min="1799" max="1799" width="13.42578125" style="1" customWidth="1"/>
    <col min="1800" max="1800" width="25.28515625" style="1" customWidth="1"/>
    <col min="1801" max="1801" width="15.85546875" style="1" customWidth="1"/>
    <col min="1802" max="1802" width="0" style="1" hidden="1" customWidth="1"/>
    <col min="1803" max="1803" width="24.28515625" style="1" customWidth="1"/>
    <col min="1804" max="1804" width="14.140625" style="1" customWidth="1"/>
    <col min="1805" max="1805" width="14.85546875" style="1" customWidth="1"/>
    <col min="1806" max="1806" width="15.7109375" style="1" customWidth="1"/>
    <col min="1807" max="1808" width="11.42578125" style="1"/>
    <col min="1809" max="1809" width="38.42578125" style="1" customWidth="1"/>
    <col min="1810" max="2048" width="11.42578125" style="1"/>
    <col min="2049" max="2049" width="12.5703125" style="1" customWidth="1"/>
    <col min="2050" max="2050" width="13.42578125" style="1" customWidth="1"/>
    <col min="2051" max="2051" width="15.140625" style="1" customWidth="1"/>
    <col min="2052" max="2052" width="11.42578125" style="1"/>
    <col min="2053" max="2053" width="17" style="1" customWidth="1"/>
    <col min="2054" max="2054" width="15.7109375" style="1" customWidth="1"/>
    <col min="2055" max="2055" width="13.42578125" style="1" customWidth="1"/>
    <col min="2056" max="2056" width="25.28515625" style="1" customWidth="1"/>
    <col min="2057" max="2057" width="15.85546875" style="1" customWidth="1"/>
    <col min="2058" max="2058" width="0" style="1" hidden="1" customWidth="1"/>
    <col min="2059" max="2059" width="24.28515625" style="1" customWidth="1"/>
    <col min="2060" max="2060" width="14.140625" style="1" customWidth="1"/>
    <col min="2061" max="2061" width="14.85546875" style="1" customWidth="1"/>
    <col min="2062" max="2062" width="15.7109375" style="1" customWidth="1"/>
    <col min="2063" max="2064" width="11.42578125" style="1"/>
    <col min="2065" max="2065" width="38.42578125" style="1" customWidth="1"/>
    <col min="2066" max="2304" width="11.42578125" style="1"/>
    <col min="2305" max="2305" width="12.5703125" style="1" customWidth="1"/>
    <col min="2306" max="2306" width="13.42578125" style="1" customWidth="1"/>
    <col min="2307" max="2307" width="15.140625" style="1" customWidth="1"/>
    <col min="2308" max="2308" width="11.42578125" style="1"/>
    <col min="2309" max="2309" width="17" style="1" customWidth="1"/>
    <col min="2310" max="2310" width="15.7109375" style="1" customWidth="1"/>
    <col min="2311" max="2311" width="13.42578125" style="1" customWidth="1"/>
    <col min="2312" max="2312" width="25.28515625" style="1" customWidth="1"/>
    <col min="2313" max="2313" width="15.85546875" style="1" customWidth="1"/>
    <col min="2314" max="2314" width="0" style="1" hidden="1" customWidth="1"/>
    <col min="2315" max="2315" width="24.28515625" style="1" customWidth="1"/>
    <col min="2316" max="2316" width="14.140625" style="1" customWidth="1"/>
    <col min="2317" max="2317" width="14.85546875" style="1" customWidth="1"/>
    <col min="2318" max="2318" width="15.7109375" style="1" customWidth="1"/>
    <col min="2319" max="2320" width="11.42578125" style="1"/>
    <col min="2321" max="2321" width="38.42578125" style="1" customWidth="1"/>
    <col min="2322" max="2560" width="11.42578125" style="1"/>
    <col min="2561" max="2561" width="12.5703125" style="1" customWidth="1"/>
    <col min="2562" max="2562" width="13.42578125" style="1" customWidth="1"/>
    <col min="2563" max="2563" width="15.140625" style="1" customWidth="1"/>
    <col min="2564" max="2564" width="11.42578125" style="1"/>
    <col min="2565" max="2565" width="17" style="1" customWidth="1"/>
    <col min="2566" max="2566" width="15.7109375" style="1" customWidth="1"/>
    <col min="2567" max="2567" width="13.42578125" style="1" customWidth="1"/>
    <col min="2568" max="2568" width="25.28515625" style="1" customWidth="1"/>
    <col min="2569" max="2569" width="15.85546875" style="1" customWidth="1"/>
    <col min="2570" max="2570" width="0" style="1" hidden="1" customWidth="1"/>
    <col min="2571" max="2571" width="24.28515625" style="1" customWidth="1"/>
    <col min="2572" max="2572" width="14.140625" style="1" customWidth="1"/>
    <col min="2573" max="2573" width="14.85546875" style="1" customWidth="1"/>
    <col min="2574" max="2574" width="15.7109375" style="1" customWidth="1"/>
    <col min="2575" max="2576" width="11.42578125" style="1"/>
    <col min="2577" max="2577" width="38.42578125" style="1" customWidth="1"/>
    <col min="2578" max="2816" width="11.42578125" style="1"/>
    <col min="2817" max="2817" width="12.5703125" style="1" customWidth="1"/>
    <col min="2818" max="2818" width="13.42578125" style="1" customWidth="1"/>
    <col min="2819" max="2819" width="15.140625" style="1" customWidth="1"/>
    <col min="2820" max="2820" width="11.42578125" style="1"/>
    <col min="2821" max="2821" width="17" style="1" customWidth="1"/>
    <col min="2822" max="2822" width="15.7109375" style="1" customWidth="1"/>
    <col min="2823" max="2823" width="13.42578125" style="1" customWidth="1"/>
    <col min="2824" max="2824" width="25.28515625" style="1" customWidth="1"/>
    <col min="2825" max="2825" width="15.85546875" style="1" customWidth="1"/>
    <col min="2826" max="2826" width="0" style="1" hidden="1" customWidth="1"/>
    <col min="2827" max="2827" width="24.28515625" style="1" customWidth="1"/>
    <col min="2828" max="2828" width="14.140625" style="1" customWidth="1"/>
    <col min="2829" max="2829" width="14.85546875" style="1" customWidth="1"/>
    <col min="2830" max="2830" width="15.7109375" style="1" customWidth="1"/>
    <col min="2831" max="2832" width="11.42578125" style="1"/>
    <col min="2833" max="2833" width="38.42578125" style="1" customWidth="1"/>
    <col min="2834" max="3072" width="11.42578125" style="1"/>
    <col min="3073" max="3073" width="12.5703125" style="1" customWidth="1"/>
    <col min="3074" max="3074" width="13.42578125" style="1" customWidth="1"/>
    <col min="3075" max="3075" width="15.140625" style="1" customWidth="1"/>
    <col min="3076" max="3076" width="11.42578125" style="1"/>
    <col min="3077" max="3077" width="17" style="1" customWidth="1"/>
    <col min="3078" max="3078" width="15.7109375" style="1" customWidth="1"/>
    <col min="3079" max="3079" width="13.42578125" style="1" customWidth="1"/>
    <col min="3080" max="3080" width="25.28515625" style="1" customWidth="1"/>
    <col min="3081" max="3081" width="15.85546875" style="1" customWidth="1"/>
    <col min="3082" max="3082" width="0" style="1" hidden="1" customWidth="1"/>
    <col min="3083" max="3083" width="24.28515625" style="1" customWidth="1"/>
    <col min="3084" max="3084" width="14.140625" style="1" customWidth="1"/>
    <col min="3085" max="3085" width="14.85546875" style="1" customWidth="1"/>
    <col min="3086" max="3086" width="15.7109375" style="1" customWidth="1"/>
    <col min="3087" max="3088" width="11.42578125" style="1"/>
    <col min="3089" max="3089" width="38.42578125" style="1" customWidth="1"/>
    <col min="3090" max="3328" width="11.42578125" style="1"/>
    <col min="3329" max="3329" width="12.5703125" style="1" customWidth="1"/>
    <col min="3330" max="3330" width="13.42578125" style="1" customWidth="1"/>
    <col min="3331" max="3331" width="15.140625" style="1" customWidth="1"/>
    <col min="3332" max="3332" width="11.42578125" style="1"/>
    <col min="3333" max="3333" width="17" style="1" customWidth="1"/>
    <col min="3334" max="3334" width="15.7109375" style="1" customWidth="1"/>
    <col min="3335" max="3335" width="13.42578125" style="1" customWidth="1"/>
    <col min="3336" max="3336" width="25.28515625" style="1" customWidth="1"/>
    <col min="3337" max="3337" width="15.85546875" style="1" customWidth="1"/>
    <col min="3338" max="3338" width="0" style="1" hidden="1" customWidth="1"/>
    <col min="3339" max="3339" width="24.28515625" style="1" customWidth="1"/>
    <col min="3340" max="3340" width="14.140625" style="1" customWidth="1"/>
    <col min="3341" max="3341" width="14.85546875" style="1" customWidth="1"/>
    <col min="3342" max="3342" width="15.7109375" style="1" customWidth="1"/>
    <col min="3343" max="3344" width="11.42578125" style="1"/>
    <col min="3345" max="3345" width="38.42578125" style="1" customWidth="1"/>
    <col min="3346" max="3584" width="11.42578125" style="1"/>
    <col min="3585" max="3585" width="12.5703125" style="1" customWidth="1"/>
    <col min="3586" max="3586" width="13.42578125" style="1" customWidth="1"/>
    <col min="3587" max="3587" width="15.140625" style="1" customWidth="1"/>
    <col min="3588" max="3588" width="11.42578125" style="1"/>
    <col min="3589" max="3589" width="17" style="1" customWidth="1"/>
    <col min="3590" max="3590" width="15.7109375" style="1" customWidth="1"/>
    <col min="3591" max="3591" width="13.42578125" style="1" customWidth="1"/>
    <col min="3592" max="3592" width="25.28515625" style="1" customWidth="1"/>
    <col min="3593" max="3593" width="15.85546875" style="1" customWidth="1"/>
    <col min="3594" max="3594" width="0" style="1" hidden="1" customWidth="1"/>
    <col min="3595" max="3595" width="24.28515625" style="1" customWidth="1"/>
    <col min="3596" max="3596" width="14.140625" style="1" customWidth="1"/>
    <col min="3597" max="3597" width="14.85546875" style="1" customWidth="1"/>
    <col min="3598" max="3598" width="15.7109375" style="1" customWidth="1"/>
    <col min="3599" max="3600" width="11.42578125" style="1"/>
    <col min="3601" max="3601" width="38.42578125" style="1" customWidth="1"/>
    <col min="3602" max="3840" width="11.42578125" style="1"/>
    <col min="3841" max="3841" width="12.5703125" style="1" customWidth="1"/>
    <col min="3842" max="3842" width="13.42578125" style="1" customWidth="1"/>
    <col min="3843" max="3843" width="15.140625" style="1" customWidth="1"/>
    <col min="3844" max="3844" width="11.42578125" style="1"/>
    <col min="3845" max="3845" width="17" style="1" customWidth="1"/>
    <col min="3846" max="3846" width="15.7109375" style="1" customWidth="1"/>
    <col min="3847" max="3847" width="13.42578125" style="1" customWidth="1"/>
    <col min="3848" max="3848" width="25.28515625" style="1" customWidth="1"/>
    <col min="3849" max="3849" width="15.85546875" style="1" customWidth="1"/>
    <col min="3850" max="3850" width="0" style="1" hidden="1" customWidth="1"/>
    <col min="3851" max="3851" width="24.28515625" style="1" customWidth="1"/>
    <col min="3852" max="3852" width="14.140625" style="1" customWidth="1"/>
    <col min="3853" max="3853" width="14.85546875" style="1" customWidth="1"/>
    <col min="3854" max="3854" width="15.7109375" style="1" customWidth="1"/>
    <col min="3855" max="3856" width="11.42578125" style="1"/>
    <col min="3857" max="3857" width="38.42578125" style="1" customWidth="1"/>
    <col min="3858" max="4096" width="11.42578125" style="1"/>
    <col min="4097" max="4097" width="12.5703125" style="1" customWidth="1"/>
    <col min="4098" max="4098" width="13.42578125" style="1" customWidth="1"/>
    <col min="4099" max="4099" width="15.140625" style="1" customWidth="1"/>
    <col min="4100" max="4100" width="11.42578125" style="1"/>
    <col min="4101" max="4101" width="17" style="1" customWidth="1"/>
    <col min="4102" max="4102" width="15.7109375" style="1" customWidth="1"/>
    <col min="4103" max="4103" width="13.42578125" style="1" customWidth="1"/>
    <col min="4104" max="4104" width="25.28515625" style="1" customWidth="1"/>
    <col min="4105" max="4105" width="15.85546875" style="1" customWidth="1"/>
    <col min="4106" max="4106" width="0" style="1" hidden="1" customWidth="1"/>
    <col min="4107" max="4107" width="24.28515625" style="1" customWidth="1"/>
    <col min="4108" max="4108" width="14.140625" style="1" customWidth="1"/>
    <col min="4109" max="4109" width="14.85546875" style="1" customWidth="1"/>
    <col min="4110" max="4110" width="15.7109375" style="1" customWidth="1"/>
    <col min="4111" max="4112" width="11.42578125" style="1"/>
    <col min="4113" max="4113" width="38.42578125" style="1" customWidth="1"/>
    <col min="4114" max="4352" width="11.42578125" style="1"/>
    <col min="4353" max="4353" width="12.5703125" style="1" customWidth="1"/>
    <col min="4354" max="4354" width="13.42578125" style="1" customWidth="1"/>
    <col min="4355" max="4355" width="15.140625" style="1" customWidth="1"/>
    <col min="4356" max="4356" width="11.42578125" style="1"/>
    <col min="4357" max="4357" width="17" style="1" customWidth="1"/>
    <col min="4358" max="4358" width="15.7109375" style="1" customWidth="1"/>
    <col min="4359" max="4359" width="13.42578125" style="1" customWidth="1"/>
    <col min="4360" max="4360" width="25.28515625" style="1" customWidth="1"/>
    <col min="4361" max="4361" width="15.85546875" style="1" customWidth="1"/>
    <col min="4362" max="4362" width="0" style="1" hidden="1" customWidth="1"/>
    <col min="4363" max="4363" width="24.28515625" style="1" customWidth="1"/>
    <col min="4364" max="4364" width="14.140625" style="1" customWidth="1"/>
    <col min="4365" max="4365" width="14.85546875" style="1" customWidth="1"/>
    <col min="4366" max="4366" width="15.7109375" style="1" customWidth="1"/>
    <col min="4367" max="4368" width="11.42578125" style="1"/>
    <col min="4369" max="4369" width="38.42578125" style="1" customWidth="1"/>
    <col min="4370" max="4608" width="11.42578125" style="1"/>
    <col min="4609" max="4609" width="12.5703125" style="1" customWidth="1"/>
    <col min="4610" max="4610" width="13.42578125" style="1" customWidth="1"/>
    <col min="4611" max="4611" width="15.140625" style="1" customWidth="1"/>
    <col min="4612" max="4612" width="11.42578125" style="1"/>
    <col min="4613" max="4613" width="17" style="1" customWidth="1"/>
    <col min="4614" max="4614" width="15.7109375" style="1" customWidth="1"/>
    <col min="4615" max="4615" width="13.42578125" style="1" customWidth="1"/>
    <col min="4616" max="4616" width="25.28515625" style="1" customWidth="1"/>
    <col min="4617" max="4617" width="15.85546875" style="1" customWidth="1"/>
    <col min="4618" max="4618" width="0" style="1" hidden="1" customWidth="1"/>
    <col min="4619" max="4619" width="24.28515625" style="1" customWidth="1"/>
    <col min="4620" max="4620" width="14.140625" style="1" customWidth="1"/>
    <col min="4621" max="4621" width="14.85546875" style="1" customWidth="1"/>
    <col min="4622" max="4622" width="15.7109375" style="1" customWidth="1"/>
    <col min="4623" max="4624" width="11.42578125" style="1"/>
    <col min="4625" max="4625" width="38.42578125" style="1" customWidth="1"/>
    <col min="4626" max="4864" width="11.42578125" style="1"/>
    <col min="4865" max="4865" width="12.5703125" style="1" customWidth="1"/>
    <col min="4866" max="4866" width="13.42578125" style="1" customWidth="1"/>
    <col min="4867" max="4867" width="15.140625" style="1" customWidth="1"/>
    <col min="4868" max="4868" width="11.42578125" style="1"/>
    <col min="4869" max="4869" width="17" style="1" customWidth="1"/>
    <col min="4870" max="4870" width="15.7109375" style="1" customWidth="1"/>
    <col min="4871" max="4871" width="13.42578125" style="1" customWidth="1"/>
    <col min="4872" max="4872" width="25.28515625" style="1" customWidth="1"/>
    <col min="4873" max="4873" width="15.85546875" style="1" customWidth="1"/>
    <col min="4874" max="4874" width="0" style="1" hidden="1" customWidth="1"/>
    <col min="4875" max="4875" width="24.28515625" style="1" customWidth="1"/>
    <col min="4876" max="4876" width="14.140625" style="1" customWidth="1"/>
    <col min="4877" max="4877" width="14.85546875" style="1" customWidth="1"/>
    <col min="4878" max="4878" width="15.7109375" style="1" customWidth="1"/>
    <col min="4879" max="4880" width="11.42578125" style="1"/>
    <col min="4881" max="4881" width="38.42578125" style="1" customWidth="1"/>
    <col min="4882" max="5120" width="11.42578125" style="1"/>
    <col min="5121" max="5121" width="12.5703125" style="1" customWidth="1"/>
    <col min="5122" max="5122" width="13.42578125" style="1" customWidth="1"/>
    <col min="5123" max="5123" width="15.140625" style="1" customWidth="1"/>
    <col min="5124" max="5124" width="11.42578125" style="1"/>
    <col min="5125" max="5125" width="17" style="1" customWidth="1"/>
    <col min="5126" max="5126" width="15.7109375" style="1" customWidth="1"/>
    <col min="5127" max="5127" width="13.42578125" style="1" customWidth="1"/>
    <col min="5128" max="5128" width="25.28515625" style="1" customWidth="1"/>
    <col min="5129" max="5129" width="15.85546875" style="1" customWidth="1"/>
    <col min="5130" max="5130" width="0" style="1" hidden="1" customWidth="1"/>
    <col min="5131" max="5131" width="24.28515625" style="1" customWidth="1"/>
    <col min="5132" max="5132" width="14.140625" style="1" customWidth="1"/>
    <col min="5133" max="5133" width="14.85546875" style="1" customWidth="1"/>
    <col min="5134" max="5134" width="15.7109375" style="1" customWidth="1"/>
    <col min="5135" max="5136" width="11.42578125" style="1"/>
    <col min="5137" max="5137" width="38.42578125" style="1" customWidth="1"/>
    <col min="5138" max="5376" width="11.42578125" style="1"/>
    <col min="5377" max="5377" width="12.5703125" style="1" customWidth="1"/>
    <col min="5378" max="5378" width="13.42578125" style="1" customWidth="1"/>
    <col min="5379" max="5379" width="15.140625" style="1" customWidth="1"/>
    <col min="5380" max="5380" width="11.42578125" style="1"/>
    <col min="5381" max="5381" width="17" style="1" customWidth="1"/>
    <col min="5382" max="5382" width="15.7109375" style="1" customWidth="1"/>
    <col min="5383" max="5383" width="13.42578125" style="1" customWidth="1"/>
    <col min="5384" max="5384" width="25.28515625" style="1" customWidth="1"/>
    <col min="5385" max="5385" width="15.85546875" style="1" customWidth="1"/>
    <col min="5386" max="5386" width="0" style="1" hidden="1" customWidth="1"/>
    <col min="5387" max="5387" width="24.28515625" style="1" customWidth="1"/>
    <col min="5388" max="5388" width="14.140625" style="1" customWidth="1"/>
    <col min="5389" max="5389" width="14.85546875" style="1" customWidth="1"/>
    <col min="5390" max="5390" width="15.7109375" style="1" customWidth="1"/>
    <col min="5391" max="5392" width="11.42578125" style="1"/>
    <col min="5393" max="5393" width="38.42578125" style="1" customWidth="1"/>
    <col min="5394" max="5632" width="11.42578125" style="1"/>
    <col min="5633" max="5633" width="12.5703125" style="1" customWidth="1"/>
    <col min="5634" max="5634" width="13.42578125" style="1" customWidth="1"/>
    <col min="5635" max="5635" width="15.140625" style="1" customWidth="1"/>
    <col min="5636" max="5636" width="11.42578125" style="1"/>
    <col min="5637" max="5637" width="17" style="1" customWidth="1"/>
    <col min="5638" max="5638" width="15.7109375" style="1" customWidth="1"/>
    <col min="5639" max="5639" width="13.42578125" style="1" customWidth="1"/>
    <col min="5640" max="5640" width="25.28515625" style="1" customWidth="1"/>
    <col min="5641" max="5641" width="15.85546875" style="1" customWidth="1"/>
    <col min="5642" max="5642" width="0" style="1" hidden="1" customWidth="1"/>
    <col min="5643" max="5643" width="24.28515625" style="1" customWidth="1"/>
    <col min="5644" max="5644" width="14.140625" style="1" customWidth="1"/>
    <col min="5645" max="5645" width="14.85546875" style="1" customWidth="1"/>
    <col min="5646" max="5646" width="15.7109375" style="1" customWidth="1"/>
    <col min="5647" max="5648" width="11.42578125" style="1"/>
    <col min="5649" max="5649" width="38.42578125" style="1" customWidth="1"/>
    <col min="5650" max="5888" width="11.42578125" style="1"/>
    <col min="5889" max="5889" width="12.5703125" style="1" customWidth="1"/>
    <col min="5890" max="5890" width="13.42578125" style="1" customWidth="1"/>
    <col min="5891" max="5891" width="15.140625" style="1" customWidth="1"/>
    <col min="5892" max="5892" width="11.42578125" style="1"/>
    <col min="5893" max="5893" width="17" style="1" customWidth="1"/>
    <col min="5894" max="5894" width="15.7109375" style="1" customWidth="1"/>
    <col min="5895" max="5895" width="13.42578125" style="1" customWidth="1"/>
    <col min="5896" max="5896" width="25.28515625" style="1" customWidth="1"/>
    <col min="5897" max="5897" width="15.85546875" style="1" customWidth="1"/>
    <col min="5898" max="5898" width="0" style="1" hidden="1" customWidth="1"/>
    <col min="5899" max="5899" width="24.28515625" style="1" customWidth="1"/>
    <col min="5900" max="5900" width="14.140625" style="1" customWidth="1"/>
    <col min="5901" max="5901" width="14.85546875" style="1" customWidth="1"/>
    <col min="5902" max="5902" width="15.7109375" style="1" customWidth="1"/>
    <col min="5903" max="5904" width="11.42578125" style="1"/>
    <col min="5905" max="5905" width="38.42578125" style="1" customWidth="1"/>
    <col min="5906" max="6144" width="11.42578125" style="1"/>
    <col min="6145" max="6145" width="12.5703125" style="1" customWidth="1"/>
    <col min="6146" max="6146" width="13.42578125" style="1" customWidth="1"/>
    <col min="6147" max="6147" width="15.140625" style="1" customWidth="1"/>
    <col min="6148" max="6148" width="11.42578125" style="1"/>
    <col min="6149" max="6149" width="17" style="1" customWidth="1"/>
    <col min="6150" max="6150" width="15.7109375" style="1" customWidth="1"/>
    <col min="6151" max="6151" width="13.42578125" style="1" customWidth="1"/>
    <col min="6152" max="6152" width="25.28515625" style="1" customWidth="1"/>
    <col min="6153" max="6153" width="15.85546875" style="1" customWidth="1"/>
    <col min="6154" max="6154" width="0" style="1" hidden="1" customWidth="1"/>
    <col min="6155" max="6155" width="24.28515625" style="1" customWidth="1"/>
    <col min="6156" max="6156" width="14.140625" style="1" customWidth="1"/>
    <col min="6157" max="6157" width="14.85546875" style="1" customWidth="1"/>
    <col min="6158" max="6158" width="15.7109375" style="1" customWidth="1"/>
    <col min="6159" max="6160" width="11.42578125" style="1"/>
    <col min="6161" max="6161" width="38.42578125" style="1" customWidth="1"/>
    <col min="6162" max="6400" width="11.42578125" style="1"/>
    <col min="6401" max="6401" width="12.5703125" style="1" customWidth="1"/>
    <col min="6402" max="6402" width="13.42578125" style="1" customWidth="1"/>
    <col min="6403" max="6403" width="15.140625" style="1" customWidth="1"/>
    <col min="6404" max="6404" width="11.42578125" style="1"/>
    <col min="6405" max="6405" width="17" style="1" customWidth="1"/>
    <col min="6406" max="6406" width="15.7109375" style="1" customWidth="1"/>
    <col min="6407" max="6407" width="13.42578125" style="1" customWidth="1"/>
    <col min="6408" max="6408" width="25.28515625" style="1" customWidth="1"/>
    <col min="6409" max="6409" width="15.85546875" style="1" customWidth="1"/>
    <col min="6410" max="6410" width="0" style="1" hidden="1" customWidth="1"/>
    <col min="6411" max="6411" width="24.28515625" style="1" customWidth="1"/>
    <col min="6412" max="6412" width="14.140625" style="1" customWidth="1"/>
    <col min="6413" max="6413" width="14.85546875" style="1" customWidth="1"/>
    <col min="6414" max="6414" width="15.7109375" style="1" customWidth="1"/>
    <col min="6415" max="6416" width="11.42578125" style="1"/>
    <col min="6417" max="6417" width="38.42578125" style="1" customWidth="1"/>
    <col min="6418" max="6656" width="11.42578125" style="1"/>
    <col min="6657" max="6657" width="12.5703125" style="1" customWidth="1"/>
    <col min="6658" max="6658" width="13.42578125" style="1" customWidth="1"/>
    <col min="6659" max="6659" width="15.140625" style="1" customWidth="1"/>
    <col min="6660" max="6660" width="11.42578125" style="1"/>
    <col min="6661" max="6661" width="17" style="1" customWidth="1"/>
    <col min="6662" max="6662" width="15.7109375" style="1" customWidth="1"/>
    <col min="6663" max="6663" width="13.42578125" style="1" customWidth="1"/>
    <col min="6664" max="6664" width="25.28515625" style="1" customWidth="1"/>
    <col min="6665" max="6665" width="15.85546875" style="1" customWidth="1"/>
    <col min="6666" max="6666" width="0" style="1" hidden="1" customWidth="1"/>
    <col min="6667" max="6667" width="24.28515625" style="1" customWidth="1"/>
    <col min="6668" max="6668" width="14.140625" style="1" customWidth="1"/>
    <col min="6669" max="6669" width="14.85546875" style="1" customWidth="1"/>
    <col min="6670" max="6670" width="15.7109375" style="1" customWidth="1"/>
    <col min="6671" max="6672" width="11.42578125" style="1"/>
    <col min="6673" max="6673" width="38.42578125" style="1" customWidth="1"/>
    <col min="6674" max="6912" width="11.42578125" style="1"/>
    <col min="6913" max="6913" width="12.5703125" style="1" customWidth="1"/>
    <col min="6914" max="6914" width="13.42578125" style="1" customWidth="1"/>
    <col min="6915" max="6915" width="15.140625" style="1" customWidth="1"/>
    <col min="6916" max="6916" width="11.42578125" style="1"/>
    <col min="6917" max="6917" width="17" style="1" customWidth="1"/>
    <col min="6918" max="6918" width="15.7109375" style="1" customWidth="1"/>
    <col min="6919" max="6919" width="13.42578125" style="1" customWidth="1"/>
    <col min="6920" max="6920" width="25.28515625" style="1" customWidth="1"/>
    <col min="6921" max="6921" width="15.85546875" style="1" customWidth="1"/>
    <col min="6922" max="6922" width="0" style="1" hidden="1" customWidth="1"/>
    <col min="6923" max="6923" width="24.28515625" style="1" customWidth="1"/>
    <col min="6924" max="6924" width="14.140625" style="1" customWidth="1"/>
    <col min="6925" max="6925" width="14.85546875" style="1" customWidth="1"/>
    <col min="6926" max="6926" width="15.7109375" style="1" customWidth="1"/>
    <col min="6927" max="6928" width="11.42578125" style="1"/>
    <col min="6929" max="6929" width="38.42578125" style="1" customWidth="1"/>
    <col min="6930" max="7168" width="11.42578125" style="1"/>
    <col min="7169" max="7169" width="12.5703125" style="1" customWidth="1"/>
    <col min="7170" max="7170" width="13.42578125" style="1" customWidth="1"/>
    <col min="7171" max="7171" width="15.140625" style="1" customWidth="1"/>
    <col min="7172" max="7172" width="11.42578125" style="1"/>
    <col min="7173" max="7173" width="17" style="1" customWidth="1"/>
    <col min="7174" max="7174" width="15.7109375" style="1" customWidth="1"/>
    <col min="7175" max="7175" width="13.42578125" style="1" customWidth="1"/>
    <col min="7176" max="7176" width="25.28515625" style="1" customWidth="1"/>
    <col min="7177" max="7177" width="15.85546875" style="1" customWidth="1"/>
    <col min="7178" max="7178" width="0" style="1" hidden="1" customWidth="1"/>
    <col min="7179" max="7179" width="24.28515625" style="1" customWidth="1"/>
    <col min="7180" max="7180" width="14.140625" style="1" customWidth="1"/>
    <col min="7181" max="7181" width="14.85546875" style="1" customWidth="1"/>
    <col min="7182" max="7182" width="15.7109375" style="1" customWidth="1"/>
    <col min="7183" max="7184" width="11.42578125" style="1"/>
    <col min="7185" max="7185" width="38.42578125" style="1" customWidth="1"/>
    <col min="7186" max="7424" width="11.42578125" style="1"/>
    <col min="7425" max="7425" width="12.5703125" style="1" customWidth="1"/>
    <col min="7426" max="7426" width="13.42578125" style="1" customWidth="1"/>
    <col min="7427" max="7427" width="15.140625" style="1" customWidth="1"/>
    <col min="7428" max="7428" width="11.42578125" style="1"/>
    <col min="7429" max="7429" width="17" style="1" customWidth="1"/>
    <col min="7430" max="7430" width="15.7109375" style="1" customWidth="1"/>
    <col min="7431" max="7431" width="13.42578125" style="1" customWidth="1"/>
    <col min="7432" max="7432" width="25.28515625" style="1" customWidth="1"/>
    <col min="7433" max="7433" width="15.85546875" style="1" customWidth="1"/>
    <col min="7434" max="7434" width="0" style="1" hidden="1" customWidth="1"/>
    <col min="7435" max="7435" width="24.28515625" style="1" customWidth="1"/>
    <col min="7436" max="7436" width="14.140625" style="1" customWidth="1"/>
    <col min="7437" max="7437" width="14.85546875" style="1" customWidth="1"/>
    <col min="7438" max="7438" width="15.7109375" style="1" customWidth="1"/>
    <col min="7439" max="7440" width="11.42578125" style="1"/>
    <col min="7441" max="7441" width="38.42578125" style="1" customWidth="1"/>
    <col min="7442" max="7680" width="11.42578125" style="1"/>
    <col min="7681" max="7681" width="12.5703125" style="1" customWidth="1"/>
    <col min="7682" max="7682" width="13.42578125" style="1" customWidth="1"/>
    <col min="7683" max="7683" width="15.140625" style="1" customWidth="1"/>
    <col min="7684" max="7684" width="11.42578125" style="1"/>
    <col min="7685" max="7685" width="17" style="1" customWidth="1"/>
    <col min="7686" max="7686" width="15.7109375" style="1" customWidth="1"/>
    <col min="7687" max="7687" width="13.42578125" style="1" customWidth="1"/>
    <col min="7688" max="7688" width="25.28515625" style="1" customWidth="1"/>
    <col min="7689" max="7689" width="15.85546875" style="1" customWidth="1"/>
    <col min="7690" max="7690" width="0" style="1" hidden="1" customWidth="1"/>
    <col min="7691" max="7691" width="24.28515625" style="1" customWidth="1"/>
    <col min="7692" max="7692" width="14.140625" style="1" customWidth="1"/>
    <col min="7693" max="7693" width="14.85546875" style="1" customWidth="1"/>
    <col min="7694" max="7694" width="15.7109375" style="1" customWidth="1"/>
    <col min="7695" max="7696" width="11.42578125" style="1"/>
    <col min="7697" max="7697" width="38.42578125" style="1" customWidth="1"/>
    <col min="7698" max="7936" width="11.42578125" style="1"/>
    <col min="7937" max="7937" width="12.5703125" style="1" customWidth="1"/>
    <col min="7938" max="7938" width="13.42578125" style="1" customWidth="1"/>
    <col min="7939" max="7939" width="15.140625" style="1" customWidth="1"/>
    <col min="7940" max="7940" width="11.42578125" style="1"/>
    <col min="7941" max="7941" width="17" style="1" customWidth="1"/>
    <col min="7942" max="7942" width="15.7109375" style="1" customWidth="1"/>
    <col min="7943" max="7943" width="13.42578125" style="1" customWidth="1"/>
    <col min="7944" max="7944" width="25.28515625" style="1" customWidth="1"/>
    <col min="7945" max="7945" width="15.85546875" style="1" customWidth="1"/>
    <col min="7946" max="7946" width="0" style="1" hidden="1" customWidth="1"/>
    <col min="7947" max="7947" width="24.28515625" style="1" customWidth="1"/>
    <col min="7948" max="7948" width="14.140625" style="1" customWidth="1"/>
    <col min="7949" max="7949" width="14.85546875" style="1" customWidth="1"/>
    <col min="7950" max="7950" width="15.7109375" style="1" customWidth="1"/>
    <col min="7951" max="7952" width="11.42578125" style="1"/>
    <col min="7953" max="7953" width="38.42578125" style="1" customWidth="1"/>
    <col min="7954" max="8192" width="11.42578125" style="1"/>
    <col min="8193" max="8193" width="12.5703125" style="1" customWidth="1"/>
    <col min="8194" max="8194" width="13.42578125" style="1" customWidth="1"/>
    <col min="8195" max="8195" width="15.140625" style="1" customWidth="1"/>
    <col min="8196" max="8196" width="11.42578125" style="1"/>
    <col min="8197" max="8197" width="17" style="1" customWidth="1"/>
    <col min="8198" max="8198" width="15.7109375" style="1" customWidth="1"/>
    <col min="8199" max="8199" width="13.42578125" style="1" customWidth="1"/>
    <col min="8200" max="8200" width="25.28515625" style="1" customWidth="1"/>
    <col min="8201" max="8201" width="15.85546875" style="1" customWidth="1"/>
    <col min="8202" max="8202" width="0" style="1" hidden="1" customWidth="1"/>
    <col min="8203" max="8203" width="24.28515625" style="1" customWidth="1"/>
    <col min="8204" max="8204" width="14.140625" style="1" customWidth="1"/>
    <col min="8205" max="8205" width="14.85546875" style="1" customWidth="1"/>
    <col min="8206" max="8206" width="15.7109375" style="1" customWidth="1"/>
    <col min="8207" max="8208" width="11.42578125" style="1"/>
    <col min="8209" max="8209" width="38.42578125" style="1" customWidth="1"/>
    <col min="8210" max="8448" width="11.42578125" style="1"/>
    <col min="8449" max="8449" width="12.5703125" style="1" customWidth="1"/>
    <col min="8450" max="8450" width="13.42578125" style="1" customWidth="1"/>
    <col min="8451" max="8451" width="15.140625" style="1" customWidth="1"/>
    <col min="8452" max="8452" width="11.42578125" style="1"/>
    <col min="8453" max="8453" width="17" style="1" customWidth="1"/>
    <col min="8454" max="8454" width="15.7109375" style="1" customWidth="1"/>
    <col min="8455" max="8455" width="13.42578125" style="1" customWidth="1"/>
    <col min="8456" max="8456" width="25.28515625" style="1" customWidth="1"/>
    <col min="8457" max="8457" width="15.85546875" style="1" customWidth="1"/>
    <col min="8458" max="8458" width="0" style="1" hidden="1" customWidth="1"/>
    <col min="8459" max="8459" width="24.28515625" style="1" customWidth="1"/>
    <col min="8460" max="8460" width="14.140625" style="1" customWidth="1"/>
    <col min="8461" max="8461" width="14.85546875" style="1" customWidth="1"/>
    <col min="8462" max="8462" width="15.7109375" style="1" customWidth="1"/>
    <col min="8463" max="8464" width="11.42578125" style="1"/>
    <col min="8465" max="8465" width="38.42578125" style="1" customWidth="1"/>
    <col min="8466" max="8704" width="11.42578125" style="1"/>
    <col min="8705" max="8705" width="12.5703125" style="1" customWidth="1"/>
    <col min="8706" max="8706" width="13.42578125" style="1" customWidth="1"/>
    <col min="8707" max="8707" width="15.140625" style="1" customWidth="1"/>
    <col min="8708" max="8708" width="11.42578125" style="1"/>
    <col min="8709" max="8709" width="17" style="1" customWidth="1"/>
    <col min="8710" max="8710" width="15.7109375" style="1" customWidth="1"/>
    <col min="8711" max="8711" width="13.42578125" style="1" customWidth="1"/>
    <col min="8712" max="8712" width="25.28515625" style="1" customWidth="1"/>
    <col min="8713" max="8713" width="15.85546875" style="1" customWidth="1"/>
    <col min="8714" max="8714" width="0" style="1" hidden="1" customWidth="1"/>
    <col min="8715" max="8715" width="24.28515625" style="1" customWidth="1"/>
    <col min="8716" max="8716" width="14.140625" style="1" customWidth="1"/>
    <col min="8717" max="8717" width="14.85546875" style="1" customWidth="1"/>
    <col min="8718" max="8718" width="15.7109375" style="1" customWidth="1"/>
    <col min="8719" max="8720" width="11.42578125" style="1"/>
    <col min="8721" max="8721" width="38.42578125" style="1" customWidth="1"/>
    <col min="8722" max="8960" width="11.42578125" style="1"/>
    <col min="8961" max="8961" width="12.5703125" style="1" customWidth="1"/>
    <col min="8962" max="8962" width="13.42578125" style="1" customWidth="1"/>
    <col min="8963" max="8963" width="15.140625" style="1" customWidth="1"/>
    <col min="8964" max="8964" width="11.42578125" style="1"/>
    <col min="8965" max="8965" width="17" style="1" customWidth="1"/>
    <col min="8966" max="8966" width="15.7109375" style="1" customWidth="1"/>
    <col min="8967" max="8967" width="13.42578125" style="1" customWidth="1"/>
    <col min="8968" max="8968" width="25.28515625" style="1" customWidth="1"/>
    <col min="8969" max="8969" width="15.85546875" style="1" customWidth="1"/>
    <col min="8970" max="8970" width="0" style="1" hidden="1" customWidth="1"/>
    <col min="8971" max="8971" width="24.28515625" style="1" customWidth="1"/>
    <col min="8972" max="8972" width="14.140625" style="1" customWidth="1"/>
    <col min="8973" max="8973" width="14.85546875" style="1" customWidth="1"/>
    <col min="8974" max="8974" width="15.7109375" style="1" customWidth="1"/>
    <col min="8975" max="8976" width="11.42578125" style="1"/>
    <col min="8977" max="8977" width="38.42578125" style="1" customWidth="1"/>
    <col min="8978" max="9216" width="11.42578125" style="1"/>
    <col min="9217" max="9217" width="12.5703125" style="1" customWidth="1"/>
    <col min="9218" max="9218" width="13.42578125" style="1" customWidth="1"/>
    <col min="9219" max="9219" width="15.140625" style="1" customWidth="1"/>
    <col min="9220" max="9220" width="11.42578125" style="1"/>
    <col min="9221" max="9221" width="17" style="1" customWidth="1"/>
    <col min="9222" max="9222" width="15.7109375" style="1" customWidth="1"/>
    <col min="9223" max="9223" width="13.42578125" style="1" customWidth="1"/>
    <col min="9224" max="9224" width="25.28515625" style="1" customWidth="1"/>
    <col min="9225" max="9225" width="15.85546875" style="1" customWidth="1"/>
    <col min="9226" max="9226" width="0" style="1" hidden="1" customWidth="1"/>
    <col min="9227" max="9227" width="24.28515625" style="1" customWidth="1"/>
    <col min="9228" max="9228" width="14.140625" style="1" customWidth="1"/>
    <col min="9229" max="9229" width="14.85546875" style="1" customWidth="1"/>
    <col min="9230" max="9230" width="15.7109375" style="1" customWidth="1"/>
    <col min="9231" max="9232" width="11.42578125" style="1"/>
    <col min="9233" max="9233" width="38.42578125" style="1" customWidth="1"/>
    <col min="9234" max="9472" width="11.42578125" style="1"/>
    <col min="9473" max="9473" width="12.5703125" style="1" customWidth="1"/>
    <col min="9474" max="9474" width="13.42578125" style="1" customWidth="1"/>
    <col min="9475" max="9475" width="15.140625" style="1" customWidth="1"/>
    <col min="9476" max="9476" width="11.42578125" style="1"/>
    <col min="9477" max="9477" width="17" style="1" customWidth="1"/>
    <col min="9478" max="9478" width="15.7109375" style="1" customWidth="1"/>
    <col min="9479" max="9479" width="13.42578125" style="1" customWidth="1"/>
    <col min="9480" max="9480" width="25.28515625" style="1" customWidth="1"/>
    <col min="9481" max="9481" width="15.85546875" style="1" customWidth="1"/>
    <col min="9482" max="9482" width="0" style="1" hidden="1" customWidth="1"/>
    <col min="9483" max="9483" width="24.28515625" style="1" customWidth="1"/>
    <col min="9484" max="9484" width="14.140625" style="1" customWidth="1"/>
    <col min="9485" max="9485" width="14.85546875" style="1" customWidth="1"/>
    <col min="9486" max="9486" width="15.7109375" style="1" customWidth="1"/>
    <col min="9487" max="9488" width="11.42578125" style="1"/>
    <col min="9489" max="9489" width="38.42578125" style="1" customWidth="1"/>
    <col min="9490" max="9728" width="11.42578125" style="1"/>
    <col min="9729" max="9729" width="12.5703125" style="1" customWidth="1"/>
    <col min="9730" max="9730" width="13.42578125" style="1" customWidth="1"/>
    <col min="9731" max="9731" width="15.140625" style="1" customWidth="1"/>
    <col min="9732" max="9732" width="11.42578125" style="1"/>
    <col min="9733" max="9733" width="17" style="1" customWidth="1"/>
    <col min="9734" max="9734" width="15.7109375" style="1" customWidth="1"/>
    <col min="9735" max="9735" width="13.42578125" style="1" customWidth="1"/>
    <col min="9736" max="9736" width="25.28515625" style="1" customWidth="1"/>
    <col min="9737" max="9737" width="15.85546875" style="1" customWidth="1"/>
    <col min="9738" max="9738" width="0" style="1" hidden="1" customWidth="1"/>
    <col min="9739" max="9739" width="24.28515625" style="1" customWidth="1"/>
    <col min="9740" max="9740" width="14.140625" style="1" customWidth="1"/>
    <col min="9741" max="9741" width="14.85546875" style="1" customWidth="1"/>
    <col min="9742" max="9742" width="15.7109375" style="1" customWidth="1"/>
    <col min="9743" max="9744" width="11.42578125" style="1"/>
    <col min="9745" max="9745" width="38.42578125" style="1" customWidth="1"/>
    <col min="9746" max="9984" width="11.42578125" style="1"/>
    <col min="9985" max="9985" width="12.5703125" style="1" customWidth="1"/>
    <col min="9986" max="9986" width="13.42578125" style="1" customWidth="1"/>
    <col min="9987" max="9987" width="15.140625" style="1" customWidth="1"/>
    <col min="9988" max="9988" width="11.42578125" style="1"/>
    <col min="9989" max="9989" width="17" style="1" customWidth="1"/>
    <col min="9990" max="9990" width="15.7109375" style="1" customWidth="1"/>
    <col min="9991" max="9991" width="13.42578125" style="1" customWidth="1"/>
    <col min="9992" max="9992" width="25.28515625" style="1" customWidth="1"/>
    <col min="9993" max="9993" width="15.85546875" style="1" customWidth="1"/>
    <col min="9994" max="9994" width="0" style="1" hidden="1" customWidth="1"/>
    <col min="9995" max="9995" width="24.28515625" style="1" customWidth="1"/>
    <col min="9996" max="9996" width="14.140625" style="1" customWidth="1"/>
    <col min="9997" max="9997" width="14.85546875" style="1" customWidth="1"/>
    <col min="9998" max="9998" width="15.7109375" style="1" customWidth="1"/>
    <col min="9999" max="10000" width="11.42578125" style="1"/>
    <col min="10001" max="10001" width="38.42578125" style="1" customWidth="1"/>
    <col min="10002" max="10240" width="11.42578125" style="1"/>
    <col min="10241" max="10241" width="12.5703125" style="1" customWidth="1"/>
    <col min="10242" max="10242" width="13.42578125" style="1" customWidth="1"/>
    <col min="10243" max="10243" width="15.140625" style="1" customWidth="1"/>
    <col min="10244" max="10244" width="11.42578125" style="1"/>
    <col min="10245" max="10245" width="17" style="1" customWidth="1"/>
    <col min="10246" max="10246" width="15.7109375" style="1" customWidth="1"/>
    <col min="10247" max="10247" width="13.42578125" style="1" customWidth="1"/>
    <col min="10248" max="10248" width="25.28515625" style="1" customWidth="1"/>
    <col min="10249" max="10249" width="15.85546875" style="1" customWidth="1"/>
    <col min="10250" max="10250" width="0" style="1" hidden="1" customWidth="1"/>
    <col min="10251" max="10251" width="24.28515625" style="1" customWidth="1"/>
    <col min="10252" max="10252" width="14.140625" style="1" customWidth="1"/>
    <col min="10253" max="10253" width="14.85546875" style="1" customWidth="1"/>
    <col min="10254" max="10254" width="15.7109375" style="1" customWidth="1"/>
    <col min="10255" max="10256" width="11.42578125" style="1"/>
    <col min="10257" max="10257" width="38.42578125" style="1" customWidth="1"/>
    <col min="10258" max="10496" width="11.42578125" style="1"/>
    <col min="10497" max="10497" width="12.5703125" style="1" customWidth="1"/>
    <col min="10498" max="10498" width="13.42578125" style="1" customWidth="1"/>
    <col min="10499" max="10499" width="15.140625" style="1" customWidth="1"/>
    <col min="10500" max="10500" width="11.42578125" style="1"/>
    <col min="10501" max="10501" width="17" style="1" customWidth="1"/>
    <col min="10502" max="10502" width="15.7109375" style="1" customWidth="1"/>
    <col min="10503" max="10503" width="13.42578125" style="1" customWidth="1"/>
    <col min="10504" max="10504" width="25.28515625" style="1" customWidth="1"/>
    <col min="10505" max="10505" width="15.85546875" style="1" customWidth="1"/>
    <col min="10506" max="10506" width="0" style="1" hidden="1" customWidth="1"/>
    <col min="10507" max="10507" width="24.28515625" style="1" customWidth="1"/>
    <col min="10508" max="10508" width="14.140625" style="1" customWidth="1"/>
    <col min="10509" max="10509" width="14.85546875" style="1" customWidth="1"/>
    <col min="10510" max="10510" width="15.7109375" style="1" customWidth="1"/>
    <col min="10511" max="10512" width="11.42578125" style="1"/>
    <col min="10513" max="10513" width="38.42578125" style="1" customWidth="1"/>
    <col min="10514" max="10752" width="11.42578125" style="1"/>
    <col min="10753" max="10753" width="12.5703125" style="1" customWidth="1"/>
    <col min="10754" max="10754" width="13.42578125" style="1" customWidth="1"/>
    <col min="10755" max="10755" width="15.140625" style="1" customWidth="1"/>
    <col min="10756" max="10756" width="11.42578125" style="1"/>
    <col min="10757" max="10757" width="17" style="1" customWidth="1"/>
    <col min="10758" max="10758" width="15.7109375" style="1" customWidth="1"/>
    <col min="10759" max="10759" width="13.42578125" style="1" customWidth="1"/>
    <col min="10760" max="10760" width="25.28515625" style="1" customWidth="1"/>
    <col min="10761" max="10761" width="15.85546875" style="1" customWidth="1"/>
    <col min="10762" max="10762" width="0" style="1" hidden="1" customWidth="1"/>
    <col min="10763" max="10763" width="24.28515625" style="1" customWidth="1"/>
    <col min="10764" max="10764" width="14.140625" style="1" customWidth="1"/>
    <col min="10765" max="10765" width="14.85546875" style="1" customWidth="1"/>
    <col min="10766" max="10766" width="15.7109375" style="1" customWidth="1"/>
    <col min="10767" max="10768" width="11.42578125" style="1"/>
    <col min="10769" max="10769" width="38.42578125" style="1" customWidth="1"/>
    <col min="10770" max="11008" width="11.42578125" style="1"/>
    <col min="11009" max="11009" width="12.5703125" style="1" customWidth="1"/>
    <col min="11010" max="11010" width="13.42578125" style="1" customWidth="1"/>
    <col min="11011" max="11011" width="15.140625" style="1" customWidth="1"/>
    <col min="11012" max="11012" width="11.42578125" style="1"/>
    <col min="11013" max="11013" width="17" style="1" customWidth="1"/>
    <col min="11014" max="11014" width="15.7109375" style="1" customWidth="1"/>
    <col min="11015" max="11015" width="13.42578125" style="1" customWidth="1"/>
    <col min="11016" max="11016" width="25.28515625" style="1" customWidth="1"/>
    <col min="11017" max="11017" width="15.85546875" style="1" customWidth="1"/>
    <col min="11018" max="11018" width="0" style="1" hidden="1" customWidth="1"/>
    <col min="11019" max="11019" width="24.28515625" style="1" customWidth="1"/>
    <col min="11020" max="11020" width="14.140625" style="1" customWidth="1"/>
    <col min="11021" max="11021" width="14.85546875" style="1" customWidth="1"/>
    <col min="11022" max="11022" width="15.7109375" style="1" customWidth="1"/>
    <col min="11023" max="11024" width="11.42578125" style="1"/>
    <col min="11025" max="11025" width="38.42578125" style="1" customWidth="1"/>
    <col min="11026" max="11264" width="11.42578125" style="1"/>
    <col min="11265" max="11265" width="12.5703125" style="1" customWidth="1"/>
    <col min="11266" max="11266" width="13.42578125" style="1" customWidth="1"/>
    <col min="11267" max="11267" width="15.140625" style="1" customWidth="1"/>
    <col min="11268" max="11268" width="11.42578125" style="1"/>
    <col min="11269" max="11269" width="17" style="1" customWidth="1"/>
    <col min="11270" max="11270" width="15.7109375" style="1" customWidth="1"/>
    <col min="11271" max="11271" width="13.42578125" style="1" customWidth="1"/>
    <col min="11272" max="11272" width="25.28515625" style="1" customWidth="1"/>
    <col min="11273" max="11273" width="15.85546875" style="1" customWidth="1"/>
    <col min="11274" max="11274" width="0" style="1" hidden="1" customWidth="1"/>
    <col min="11275" max="11275" width="24.28515625" style="1" customWidth="1"/>
    <col min="11276" max="11276" width="14.140625" style="1" customWidth="1"/>
    <col min="11277" max="11277" width="14.85546875" style="1" customWidth="1"/>
    <col min="11278" max="11278" width="15.7109375" style="1" customWidth="1"/>
    <col min="11279" max="11280" width="11.42578125" style="1"/>
    <col min="11281" max="11281" width="38.42578125" style="1" customWidth="1"/>
    <col min="11282" max="11520" width="11.42578125" style="1"/>
    <col min="11521" max="11521" width="12.5703125" style="1" customWidth="1"/>
    <col min="11522" max="11522" width="13.42578125" style="1" customWidth="1"/>
    <col min="11523" max="11523" width="15.140625" style="1" customWidth="1"/>
    <col min="11524" max="11524" width="11.42578125" style="1"/>
    <col min="11525" max="11525" width="17" style="1" customWidth="1"/>
    <col min="11526" max="11526" width="15.7109375" style="1" customWidth="1"/>
    <col min="11527" max="11527" width="13.42578125" style="1" customWidth="1"/>
    <col min="11528" max="11528" width="25.28515625" style="1" customWidth="1"/>
    <col min="11529" max="11529" width="15.85546875" style="1" customWidth="1"/>
    <col min="11530" max="11530" width="0" style="1" hidden="1" customWidth="1"/>
    <col min="11531" max="11531" width="24.28515625" style="1" customWidth="1"/>
    <col min="11532" max="11532" width="14.140625" style="1" customWidth="1"/>
    <col min="11533" max="11533" width="14.85546875" style="1" customWidth="1"/>
    <col min="11534" max="11534" width="15.7109375" style="1" customWidth="1"/>
    <col min="11535" max="11536" width="11.42578125" style="1"/>
    <col min="11537" max="11537" width="38.42578125" style="1" customWidth="1"/>
    <col min="11538" max="11776" width="11.42578125" style="1"/>
    <col min="11777" max="11777" width="12.5703125" style="1" customWidth="1"/>
    <col min="11778" max="11778" width="13.42578125" style="1" customWidth="1"/>
    <col min="11779" max="11779" width="15.140625" style="1" customWidth="1"/>
    <col min="11780" max="11780" width="11.42578125" style="1"/>
    <col min="11781" max="11781" width="17" style="1" customWidth="1"/>
    <col min="11782" max="11782" width="15.7109375" style="1" customWidth="1"/>
    <col min="11783" max="11783" width="13.42578125" style="1" customWidth="1"/>
    <col min="11784" max="11784" width="25.28515625" style="1" customWidth="1"/>
    <col min="11785" max="11785" width="15.85546875" style="1" customWidth="1"/>
    <col min="11786" max="11786" width="0" style="1" hidden="1" customWidth="1"/>
    <col min="11787" max="11787" width="24.28515625" style="1" customWidth="1"/>
    <col min="11788" max="11788" width="14.140625" style="1" customWidth="1"/>
    <col min="11789" max="11789" width="14.85546875" style="1" customWidth="1"/>
    <col min="11790" max="11790" width="15.7109375" style="1" customWidth="1"/>
    <col min="11791" max="11792" width="11.42578125" style="1"/>
    <col min="11793" max="11793" width="38.42578125" style="1" customWidth="1"/>
    <col min="11794" max="12032" width="11.42578125" style="1"/>
    <col min="12033" max="12033" width="12.5703125" style="1" customWidth="1"/>
    <col min="12034" max="12034" width="13.42578125" style="1" customWidth="1"/>
    <col min="12035" max="12035" width="15.140625" style="1" customWidth="1"/>
    <col min="12036" max="12036" width="11.42578125" style="1"/>
    <col min="12037" max="12037" width="17" style="1" customWidth="1"/>
    <col min="12038" max="12038" width="15.7109375" style="1" customWidth="1"/>
    <col min="12039" max="12039" width="13.42578125" style="1" customWidth="1"/>
    <col min="12040" max="12040" width="25.28515625" style="1" customWidth="1"/>
    <col min="12041" max="12041" width="15.85546875" style="1" customWidth="1"/>
    <col min="12042" max="12042" width="0" style="1" hidden="1" customWidth="1"/>
    <col min="12043" max="12043" width="24.28515625" style="1" customWidth="1"/>
    <col min="12044" max="12044" width="14.140625" style="1" customWidth="1"/>
    <col min="12045" max="12045" width="14.85546875" style="1" customWidth="1"/>
    <col min="12046" max="12046" width="15.7109375" style="1" customWidth="1"/>
    <col min="12047" max="12048" width="11.42578125" style="1"/>
    <col min="12049" max="12049" width="38.42578125" style="1" customWidth="1"/>
    <col min="12050" max="12288" width="11.42578125" style="1"/>
    <col min="12289" max="12289" width="12.5703125" style="1" customWidth="1"/>
    <col min="12290" max="12290" width="13.42578125" style="1" customWidth="1"/>
    <col min="12291" max="12291" width="15.140625" style="1" customWidth="1"/>
    <col min="12292" max="12292" width="11.42578125" style="1"/>
    <col min="12293" max="12293" width="17" style="1" customWidth="1"/>
    <col min="12294" max="12294" width="15.7109375" style="1" customWidth="1"/>
    <col min="12295" max="12295" width="13.42578125" style="1" customWidth="1"/>
    <col min="12296" max="12296" width="25.28515625" style="1" customWidth="1"/>
    <col min="12297" max="12297" width="15.85546875" style="1" customWidth="1"/>
    <col min="12298" max="12298" width="0" style="1" hidden="1" customWidth="1"/>
    <col min="12299" max="12299" width="24.28515625" style="1" customWidth="1"/>
    <col min="12300" max="12300" width="14.140625" style="1" customWidth="1"/>
    <col min="12301" max="12301" width="14.85546875" style="1" customWidth="1"/>
    <col min="12302" max="12302" width="15.7109375" style="1" customWidth="1"/>
    <col min="12303" max="12304" width="11.42578125" style="1"/>
    <col min="12305" max="12305" width="38.42578125" style="1" customWidth="1"/>
    <col min="12306" max="12544" width="11.42578125" style="1"/>
    <col min="12545" max="12545" width="12.5703125" style="1" customWidth="1"/>
    <col min="12546" max="12546" width="13.42578125" style="1" customWidth="1"/>
    <col min="12547" max="12547" width="15.140625" style="1" customWidth="1"/>
    <col min="12548" max="12548" width="11.42578125" style="1"/>
    <col min="12549" max="12549" width="17" style="1" customWidth="1"/>
    <col min="12550" max="12550" width="15.7109375" style="1" customWidth="1"/>
    <col min="12551" max="12551" width="13.42578125" style="1" customWidth="1"/>
    <col min="12552" max="12552" width="25.28515625" style="1" customWidth="1"/>
    <col min="12553" max="12553" width="15.85546875" style="1" customWidth="1"/>
    <col min="12554" max="12554" width="0" style="1" hidden="1" customWidth="1"/>
    <col min="12555" max="12555" width="24.28515625" style="1" customWidth="1"/>
    <col min="12556" max="12556" width="14.140625" style="1" customWidth="1"/>
    <col min="12557" max="12557" width="14.85546875" style="1" customWidth="1"/>
    <col min="12558" max="12558" width="15.7109375" style="1" customWidth="1"/>
    <col min="12559" max="12560" width="11.42578125" style="1"/>
    <col min="12561" max="12561" width="38.42578125" style="1" customWidth="1"/>
    <col min="12562" max="12800" width="11.42578125" style="1"/>
    <col min="12801" max="12801" width="12.5703125" style="1" customWidth="1"/>
    <col min="12802" max="12802" width="13.42578125" style="1" customWidth="1"/>
    <col min="12803" max="12803" width="15.140625" style="1" customWidth="1"/>
    <col min="12804" max="12804" width="11.42578125" style="1"/>
    <col min="12805" max="12805" width="17" style="1" customWidth="1"/>
    <col min="12806" max="12806" width="15.7109375" style="1" customWidth="1"/>
    <col min="12807" max="12807" width="13.42578125" style="1" customWidth="1"/>
    <col min="12808" max="12808" width="25.28515625" style="1" customWidth="1"/>
    <col min="12809" max="12809" width="15.85546875" style="1" customWidth="1"/>
    <col min="12810" max="12810" width="0" style="1" hidden="1" customWidth="1"/>
    <col min="12811" max="12811" width="24.28515625" style="1" customWidth="1"/>
    <col min="12812" max="12812" width="14.140625" style="1" customWidth="1"/>
    <col min="12813" max="12813" width="14.85546875" style="1" customWidth="1"/>
    <col min="12814" max="12814" width="15.7109375" style="1" customWidth="1"/>
    <col min="12815" max="12816" width="11.42578125" style="1"/>
    <col min="12817" max="12817" width="38.42578125" style="1" customWidth="1"/>
    <col min="12818" max="13056" width="11.42578125" style="1"/>
    <col min="13057" max="13057" width="12.5703125" style="1" customWidth="1"/>
    <col min="13058" max="13058" width="13.42578125" style="1" customWidth="1"/>
    <col min="13059" max="13059" width="15.140625" style="1" customWidth="1"/>
    <col min="13060" max="13060" width="11.42578125" style="1"/>
    <col min="13061" max="13061" width="17" style="1" customWidth="1"/>
    <col min="13062" max="13062" width="15.7109375" style="1" customWidth="1"/>
    <col min="13063" max="13063" width="13.42578125" style="1" customWidth="1"/>
    <col min="13064" max="13064" width="25.28515625" style="1" customWidth="1"/>
    <col min="13065" max="13065" width="15.85546875" style="1" customWidth="1"/>
    <col min="13066" max="13066" width="0" style="1" hidden="1" customWidth="1"/>
    <col min="13067" max="13067" width="24.28515625" style="1" customWidth="1"/>
    <col min="13068" max="13068" width="14.140625" style="1" customWidth="1"/>
    <col min="13069" max="13069" width="14.85546875" style="1" customWidth="1"/>
    <col min="13070" max="13070" width="15.7109375" style="1" customWidth="1"/>
    <col min="13071" max="13072" width="11.42578125" style="1"/>
    <col min="13073" max="13073" width="38.42578125" style="1" customWidth="1"/>
    <col min="13074" max="13312" width="11.42578125" style="1"/>
    <col min="13313" max="13313" width="12.5703125" style="1" customWidth="1"/>
    <col min="13314" max="13314" width="13.42578125" style="1" customWidth="1"/>
    <col min="13315" max="13315" width="15.140625" style="1" customWidth="1"/>
    <col min="13316" max="13316" width="11.42578125" style="1"/>
    <col min="13317" max="13317" width="17" style="1" customWidth="1"/>
    <col min="13318" max="13318" width="15.7109375" style="1" customWidth="1"/>
    <col min="13319" max="13319" width="13.42578125" style="1" customWidth="1"/>
    <col min="13320" max="13320" width="25.28515625" style="1" customWidth="1"/>
    <col min="13321" max="13321" width="15.85546875" style="1" customWidth="1"/>
    <col min="13322" max="13322" width="0" style="1" hidden="1" customWidth="1"/>
    <col min="13323" max="13323" width="24.28515625" style="1" customWidth="1"/>
    <col min="13324" max="13324" width="14.140625" style="1" customWidth="1"/>
    <col min="13325" max="13325" width="14.85546875" style="1" customWidth="1"/>
    <col min="13326" max="13326" width="15.7109375" style="1" customWidth="1"/>
    <col min="13327" max="13328" width="11.42578125" style="1"/>
    <col min="13329" max="13329" width="38.42578125" style="1" customWidth="1"/>
    <col min="13330" max="13568" width="11.42578125" style="1"/>
    <col min="13569" max="13569" width="12.5703125" style="1" customWidth="1"/>
    <col min="13570" max="13570" width="13.42578125" style="1" customWidth="1"/>
    <col min="13571" max="13571" width="15.140625" style="1" customWidth="1"/>
    <col min="13572" max="13572" width="11.42578125" style="1"/>
    <col min="13573" max="13573" width="17" style="1" customWidth="1"/>
    <col min="13574" max="13574" width="15.7109375" style="1" customWidth="1"/>
    <col min="13575" max="13575" width="13.42578125" style="1" customWidth="1"/>
    <col min="13576" max="13576" width="25.28515625" style="1" customWidth="1"/>
    <col min="13577" max="13577" width="15.85546875" style="1" customWidth="1"/>
    <col min="13578" max="13578" width="0" style="1" hidden="1" customWidth="1"/>
    <col min="13579" max="13579" width="24.28515625" style="1" customWidth="1"/>
    <col min="13580" max="13580" width="14.140625" style="1" customWidth="1"/>
    <col min="13581" max="13581" width="14.85546875" style="1" customWidth="1"/>
    <col min="13582" max="13582" width="15.7109375" style="1" customWidth="1"/>
    <col min="13583" max="13584" width="11.42578125" style="1"/>
    <col min="13585" max="13585" width="38.42578125" style="1" customWidth="1"/>
    <col min="13586" max="13824" width="11.42578125" style="1"/>
    <col min="13825" max="13825" width="12.5703125" style="1" customWidth="1"/>
    <col min="13826" max="13826" width="13.42578125" style="1" customWidth="1"/>
    <col min="13827" max="13827" width="15.140625" style="1" customWidth="1"/>
    <col min="13828" max="13828" width="11.42578125" style="1"/>
    <col min="13829" max="13829" width="17" style="1" customWidth="1"/>
    <col min="13830" max="13830" width="15.7109375" style="1" customWidth="1"/>
    <col min="13831" max="13831" width="13.42578125" style="1" customWidth="1"/>
    <col min="13832" max="13832" width="25.28515625" style="1" customWidth="1"/>
    <col min="13833" max="13833" width="15.85546875" style="1" customWidth="1"/>
    <col min="13834" max="13834" width="0" style="1" hidden="1" customWidth="1"/>
    <col min="13835" max="13835" width="24.28515625" style="1" customWidth="1"/>
    <col min="13836" max="13836" width="14.140625" style="1" customWidth="1"/>
    <col min="13837" max="13837" width="14.85546875" style="1" customWidth="1"/>
    <col min="13838" max="13838" width="15.7109375" style="1" customWidth="1"/>
    <col min="13839" max="13840" width="11.42578125" style="1"/>
    <col min="13841" max="13841" width="38.42578125" style="1" customWidth="1"/>
    <col min="13842" max="14080" width="11.42578125" style="1"/>
    <col min="14081" max="14081" width="12.5703125" style="1" customWidth="1"/>
    <col min="14082" max="14082" width="13.42578125" style="1" customWidth="1"/>
    <col min="14083" max="14083" width="15.140625" style="1" customWidth="1"/>
    <col min="14084" max="14084" width="11.42578125" style="1"/>
    <col min="14085" max="14085" width="17" style="1" customWidth="1"/>
    <col min="14086" max="14086" width="15.7109375" style="1" customWidth="1"/>
    <col min="14087" max="14087" width="13.42578125" style="1" customWidth="1"/>
    <col min="14088" max="14088" width="25.28515625" style="1" customWidth="1"/>
    <col min="14089" max="14089" width="15.85546875" style="1" customWidth="1"/>
    <col min="14090" max="14090" width="0" style="1" hidden="1" customWidth="1"/>
    <col min="14091" max="14091" width="24.28515625" style="1" customWidth="1"/>
    <col min="14092" max="14092" width="14.140625" style="1" customWidth="1"/>
    <col min="14093" max="14093" width="14.85546875" style="1" customWidth="1"/>
    <col min="14094" max="14094" width="15.7109375" style="1" customWidth="1"/>
    <col min="14095" max="14096" width="11.42578125" style="1"/>
    <col min="14097" max="14097" width="38.42578125" style="1" customWidth="1"/>
    <col min="14098" max="14336" width="11.42578125" style="1"/>
    <col min="14337" max="14337" width="12.5703125" style="1" customWidth="1"/>
    <col min="14338" max="14338" width="13.42578125" style="1" customWidth="1"/>
    <col min="14339" max="14339" width="15.140625" style="1" customWidth="1"/>
    <col min="14340" max="14340" width="11.42578125" style="1"/>
    <col min="14341" max="14341" width="17" style="1" customWidth="1"/>
    <col min="14342" max="14342" width="15.7109375" style="1" customWidth="1"/>
    <col min="14343" max="14343" width="13.42578125" style="1" customWidth="1"/>
    <col min="14344" max="14344" width="25.28515625" style="1" customWidth="1"/>
    <col min="14345" max="14345" width="15.85546875" style="1" customWidth="1"/>
    <col min="14346" max="14346" width="0" style="1" hidden="1" customWidth="1"/>
    <col min="14347" max="14347" width="24.28515625" style="1" customWidth="1"/>
    <col min="14348" max="14348" width="14.140625" style="1" customWidth="1"/>
    <col min="14349" max="14349" width="14.85546875" style="1" customWidth="1"/>
    <col min="14350" max="14350" width="15.7109375" style="1" customWidth="1"/>
    <col min="14351" max="14352" width="11.42578125" style="1"/>
    <col min="14353" max="14353" width="38.42578125" style="1" customWidth="1"/>
    <col min="14354" max="14592" width="11.42578125" style="1"/>
    <col min="14593" max="14593" width="12.5703125" style="1" customWidth="1"/>
    <col min="14594" max="14594" width="13.42578125" style="1" customWidth="1"/>
    <col min="14595" max="14595" width="15.140625" style="1" customWidth="1"/>
    <col min="14596" max="14596" width="11.42578125" style="1"/>
    <col min="14597" max="14597" width="17" style="1" customWidth="1"/>
    <col min="14598" max="14598" width="15.7109375" style="1" customWidth="1"/>
    <col min="14599" max="14599" width="13.42578125" style="1" customWidth="1"/>
    <col min="14600" max="14600" width="25.28515625" style="1" customWidth="1"/>
    <col min="14601" max="14601" width="15.85546875" style="1" customWidth="1"/>
    <col min="14602" max="14602" width="0" style="1" hidden="1" customWidth="1"/>
    <col min="14603" max="14603" width="24.28515625" style="1" customWidth="1"/>
    <col min="14604" max="14604" width="14.140625" style="1" customWidth="1"/>
    <col min="14605" max="14605" width="14.85546875" style="1" customWidth="1"/>
    <col min="14606" max="14606" width="15.7109375" style="1" customWidth="1"/>
    <col min="14607" max="14608" width="11.42578125" style="1"/>
    <col min="14609" max="14609" width="38.42578125" style="1" customWidth="1"/>
    <col min="14610" max="14848" width="11.42578125" style="1"/>
    <col min="14849" max="14849" width="12.5703125" style="1" customWidth="1"/>
    <col min="14850" max="14850" width="13.42578125" style="1" customWidth="1"/>
    <col min="14851" max="14851" width="15.140625" style="1" customWidth="1"/>
    <col min="14852" max="14852" width="11.42578125" style="1"/>
    <col min="14853" max="14853" width="17" style="1" customWidth="1"/>
    <col min="14854" max="14854" width="15.7109375" style="1" customWidth="1"/>
    <col min="14855" max="14855" width="13.42578125" style="1" customWidth="1"/>
    <col min="14856" max="14856" width="25.28515625" style="1" customWidth="1"/>
    <col min="14857" max="14857" width="15.85546875" style="1" customWidth="1"/>
    <col min="14858" max="14858" width="0" style="1" hidden="1" customWidth="1"/>
    <col min="14859" max="14859" width="24.28515625" style="1" customWidth="1"/>
    <col min="14860" max="14860" width="14.140625" style="1" customWidth="1"/>
    <col min="14861" max="14861" width="14.85546875" style="1" customWidth="1"/>
    <col min="14862" max="14862" width="15.7109375" style="1" customWidth="1"/>
    <col min="14863" max="14864" width="11.42578125" style="1"/>
    <col min="14865" max="14865" width="38.42578125" style="1" customWidth="1"/>
    <col min="14866" max="15104" width="11.42578125" style="1"/>
    <col min="15105" max="15105" width="12.5703125" style="1" customWidth="1"/>
    <col min="15106" max="15106" width="13.42578125" style="1" customWidth="1"/>
    <col min="15107" max="15107" width="15.140625" style="1" customWidth="1"/>
    <col min="15108" max="15108" width="11.42578125" style="1"/>
    <col min="15109" max="15109" width="17" style="1" customWidth="1"/>
    <col min="15110" max="15110" width="15.7109375" style="1" customWidth="1"/>
    <col min="15111" max="15111" width="13.42578125" style="1" customWidth="1"/>
    <col min="15112" max="15112" width="25.28515625" style="1" customWidth="1"/>
    <col min="15113" max="15113" width="15.85546875" style="1" customWidth="1"/>
    <col min="15114" max="15114" width="0" style="1" hidden="1" customWidth="1"/>
    <col min="15115" max="15115" width="24.28515625" style="1" customWidth="1"/>
    <col min="15116" max="15116" width="14.140625" style="1" customWidth="1"/>
    <col min="15117" max="15117" width="14.85546875" style="1" customWidth="1"/>
    <col min="15118" max="15118" width="15.7109375" style="1" customWidth="1"/>
    <col min="15119" max="15120" width="11.42578125" style="1"/>
    <col min="15121" max="15121" width="38.42578125" style="1" customWidth="1"/>
    <col min="15122" max="15360" width="11.42578125" style="1"/>
    <col min="15361" max="15361" width="12.5703125" style="1" customWidth="1"/>
    <col min="15362" max="15362" width="13.42578125" style="1" customWidth="1"/>
    <col min="15363" max="15363" width="15.140625" style="1" customWidth="1"/>
    <col min="15364" max="15364" width="11.42578125" style="1"/>
    <col min="15365" max="15365" width="17" style="1" customWidth="1"/>
    <col min="15366" max="15366" width="15.7109375" style="1" customWidth="1"/>
    <col min="15367" max="15367" width="13.42578125" style="1" customWidth="1"/>
    <col min="15368" max="15368" width="25.28515625" style="1" customWidth="1"/>
    <col min="15369" max="15369" width="15.85546875" style="1" customWidth="1"/>
    <col min="15370" max="15370" width="0" style="1" hidden="1" customWidth="1"/>
    <col min="15371" max="15371" width="24.28515625" style="1" customWidth="1"/>
    <col min="15372" max="15372" width="14.140625" style="1" customWidth="1"/>
    <col min="15373" max="15373" width="14.85546875" style="1" customWidth="1"/>
    <col min="15374" max="15374" width="15.7109375" style="1" customWidth="1"/>
    <col min="15375" max="15376" width="11.42578125" style="1"/>
    <col min="15377" max="15377" width="38.42578125" style="1" customWidth="1"/>
    <col min="15378" max="15616" width="11.42578125" style="1"/>
    <col min="15617" max="15617" width="12.5703125" style="1" customWidth="1"/>
    <col min="15618" max="15618" width="13.42578125" style="1" customWidth="1"/>
    <col min="15619" max="15619" width="15.140625" style="1" customWidth="1"/>
    <col min="15620" max="15620" width="11.42578125" style="1"/>
    <col min="15621" max="15621" width="17" style="1" customWidth="1"/>
    <col min="15622" max="15622" width="15.7109375" style="1" customWidth="1"/>
    <col min="15623" max="15623" width="13.42578125" style="1" customWidth="1"/>
    <col min="15624" max="15624" width="25.28515625" style="1" customWidth="1"/>
    <col min="15625" max="15625" width="15.85546875" style="1" customWidth="1"/>
    <col min="15626" max="15626" width="0" style="1" hidden="1" customWidth="1"/>
    <col min="15627" max="15627" width="24.28515625" style="1" customWidth="1"/>
    <col min="15628" max="15628" width="14.140625" style="1" customWidth="1"/>
    <col min="15629" max="15629" width="14.85546875" style="1" customWidth="1"/>
    <col min="15630" max="15630" width="15.7109375" style="1" customWidth="1"/>
    <col min="15631" max="15632" width="11.42578125" style="1"/>
    <col min="15633" max="15633" width="38.42578125" style="1" customWidth="1"/>
    <col min="15634" max="15872" width="11.42578125" style="1"/>
    <col min="15873" max="15873" width="12.5703125" style="1" customWidth="1"/>
    <col min="15874" max="15874" width="13.42578125" style="1" customWidth="1"/>
    <col min="15875" max="15875" width="15.140625" style="1" customWidth="1"/>
    <col min="15876" max="15876" width="11.42578125" style="1"/>
    <col min="15877" max="15877" width="17" style="1" customWidth="1"/>
    <col min="15878" max="15878" width="15.7109375" style="1" customWidth="1"/>
    <col min="15879" max="15879" width="13.42578125" style="1" customWidth="1"/>
    <col min="15880" max="15880" width="25.28515625" style="1" customWidth="1"/>
    <col min="15881" max="15881" width="15.85546875" style="1" customWidth="1"/>
    <col min="15882" max="15882" width="0" style="1" hidden="1" customWidth="1"/>
    <col min="15883" max="15883" width="24.28515625" style="1" customWidth="1"/>
    <col min="15884" max="15884" width="14.140625" style="1" customWidth="1"/>
    <col min="15885" max="15885" width="14.85546875" style="1" customWidth="1"/>
    <col min="15886" max="15886" width="15.7109375" style="1" customWidth="1"/>
    <col min="15887" max="15888" width="11.42578125" style="1"/>
    <col min="15889" max="15889" width="38.42578125" style="1" customWidth="1"/>
    <col min="15890" max="16128" width="11.42578125" style="1"/>
    <col min="16129" max="16129" width="12.5703125" style="1" customWidth="1"/>
    <col min="16130" max="16130" width="13.42578125" style="1" customWidth="1"/>
    <col min="16131" max="16131" width="15.140625" style="1" customWidth="1"/>
    <col min="16132" max="16132" width="11.42578125" style="1"/>
    <col min="16133" max="16133" width="17" style="1" customWidth="1"/>
    <col min="16134" max="16134" width="15.7109375" style="1" customWidth="1"/>
    <col min="16135" max="16135" width="13.42578125" style="1" customWidth="1"/>
    <col min="16136" max="16136" width="25.28515625" style="1" customWidth="1"/>
    <col min="16137" max="16137" width="15.85546875" style="1" customWidth="1"/>
    <col min="16138" max="16138" width="0" style="1" hidden="1" customWidth="1"/>
    <col min="16139" max="16139" width="24.28515625" style="1" customWidth="1"/>
    <col min="16140" max="16140" width="14.140625" style="1" customWidth="1"/>
    <col min="16141" max="16141" width="14.85546875" style="1" customWidth="1"/>
    <col min="16142" max="16142" width="15.7109375" style="1" customWidth="1"/>
    <col min="16143" max="16144" width="11.42578125" style="1"/>
    <col min="16145" max="16145" width="38.42578125" style="1" customWidth="1"/>
    <col min="16146" max="16384" width="11.42578125" style="1"/>
  </cols>
  <sheetData>
    <row r="1" spans="1:21" x14ac:dyDescent="0.25">
      <c r="A1" s="605" t="s">
        <v>0</v>
      </c>
      <c r="B1" s="605"/>
      <c r="C1" s="605"/>
      <c r="D1" s="605"/>
      <c r="E1" s="605"/>
      <c r="F1" s="605"/>
      <c r="G1" s="605"/>
      <c r="H1" s="605"/>
      <c r="I1" s="605"/>
      <c r="J1" s="605"/>
      <c r="K1" s="605"/>
      <c r="L1" s="605"/>
      <c r="M1" s="605"/>
      <c r="N1" s="605"/>
      <c r="O1" s="605"/>
    </row>
    <row r="2" spans="1:21" x14ac:dyDescent="0.25">
      <c r="A2" s="605" t="s">
        <v>1</v>
      </c>
      <c r="B2" s="605"/>
      <c r="C2" s="605"/>
      <c r="D2" s="605"/>
      <c r="E2" s="605"/>
      <c r="F2" s="605"/>
      <c r="G2" s="605"/>
      <c r="H2" s="605"/>
      <c r="I2" s="605"/>
      <c r="J2" s="605"/>
      <c r="K2" s="605"/>
      <c r="L2" s="605"/>
      <c r="M2" s="605"/>
      <c r="N2" s="605"/>
      <c r="O2" s="605"/>
    </row>
    <row r="3" spans="1:21" x14ac:dyDescent="0.25">
      <c r="A3" s="605" t="s">
        <v>2</v>
      </c>
      <c r="B3" s="605"/>
      <c r="C3" s="605"/>
      <c r="D3" s="605"/>
      <c r="E3" s="605"/>
      <c r="F3" s="605"/>
      <c r="G3" s="605"/>
      <c r="H3" s="605" t="s">
        <v>3</v>
      </c>
      <c r="I3" s="605"/>
      <c r="J3" s="605"/>
      <c r="K3" s="605"/>
      <c r="L3" s="605"/>
      <c r="M3" s="605"/>
      <c r="N3" s="605"/>
      <c r="O3" s="605"/>
    </row>
    <row r="4" spans="1:21" x14ac:dyDescent="0.25">
      <c r="A4" s="605">
        <v>2013</v>
      </c>
      <c r="B4" s="605"/>
      <c r="C4" s="605"/>
      <c r="D4" s="605"/>
      <c r="E4" s="605"/>
      <c r="F4" s="605"/>
      <c r="G4" s="605"/>
      <c r="H4" s="605"/>
      <c r="I4" s="605"/>
      <c r="J4" s="605"/>
      <c r="K4" s="605"/>
      <c r="L4" s="605"/>
      <c r="M4" s="605"/>
      <c r="N4" s="605"/>
      <c r="O4" s="605"/>
    </row>
    <row r="5" spans="1:21" x14ac:dyDescent="0.25">
      <c r="A5" s="271"/>
      <c r="B5" s="271"/>
      <c r="C5" s="271"/>
      <c r="D5" s="271"/>
      <c r="E5" s="271"/>
      <c r="F5" s="271"/>
      <c r="G5" s="271"/>
      <c r="H5" s="271"/>
      <c r="I5" s="271"/>
      <c r="J5" s="271"/>
      <c r="K5" s="271"/>
      <c r="L5" s="272"/>
      <c r="M5" s="5"/>
      <c r="N5" s="5"/>
      <c r="O5" s="5"/>
      <c r="P5" s="155"/>
    </row>
    <row r="6" spans="1:21" x14ac:dyDescent="0.25">
      <c r="A6" s="7" t="s">
        <v>4</v>
      </c>
      <c r="B6" s="606" t="s">
        <v>1672</v>
      </c>
      <c r="C6" s="606"/>
      <c r="D6" s="606"/>
      <c r="E6" s="606"/>
      <c r="F6" s="606"/>
      <c r="G6" s="606"/>
      <c r="H6" s="606"/>
      <c r="I6" s="606"/>
      <c r="J6" s="606"/>
      <c r="K6" s="606"/>
      <c r="L6" s="606"/>
      <c r="M6" s="606"/>
      <c r="N6" s="606"/>
      <c r="O6" s="606"/>
    </row>
    <row r="7" spans="1:21" ht="15" customHeight="1" x14ac:dyDescent="0.25">
      <c r="A7" s="633" t="s">
        <v>6</v>
      </c>
      <c r="B7" s="633" t="s">
        <v>7</v>
      </c>
      <c r="C7" s="633" t="s">
        <v>8</v>
      </c>
      <c r="D7" s="633" t="s">
        <v>1673</v>
      </c>
      <c r="E7" s="633" t="s">
        <v>10</v>
      </c>
      <c r="F7" s="633" t="s">
        <v>11</v>
      </c>
      <c r="G7" s="633" t="s">
        <v>12</v>
      </c>
      <c r="H7" s="633" t="s">
        <v>13</v>
      </c>
      <c r="I7" s="667" t="s">
        <v>14</v>
      </c>
      <c r="J7" s="621" t="s">
        <v>15</v>
      </c>
      <c r="K7" s="633" t="s">
        <v>16</v>
      </c>
      <c r="L7" s="633" t="s">
        <v>17</v>
      </c>
      <c r="M7" s="633" t="s">
        <v>18</v>
      </c>
      <c r="N7" s="669" t="s">
        <v>19</v>
      </c>
      <c r="O7" s="669" t="s">
        <v>20</v>
      </c>
      <c r="P7" s="623" t="s">
        <v>21</v>
      </c>
      <c r="Q7" s="665" t="s">
        <v>22</v>
      </c>
    </row>
    <row r="8" spans="1:21" ht="32.25" customHeight="1" x14ac:dyDescent="0.25">
      <c r="A8" s="645"/>
      <c r="B8" s="645"/>
      <c r="C8" s="645"/>
      <c r="D8" s="645"/>
      <c r="E8" s="645"/>
      <c r="F8" s="645"/>
      <c r="G8" s="645"/>
      <c r="H8" s="645"/>
      <c r="I8" s="668"/>
      <c r="J8" s="622"/>
      <c r="K8" s="645"/>
      <c r="L8" s="645"/>
      <c r="M8" s="645"/>
      <c r="N8" s="670"/>
      <c r="O8" s="670"/>
      <c r="P8" s="624"/>
      <c r="Q8" s="666"/>
      <c r="S8" s="8"/>
      <c r="T8" s="8"/>
      <c r="U8" s="8"/>
    </row>
    <row r="9" spans="1:21" ht="105" x14ac:dyDescent="0.25">
      <c r="A9" s="273" t="s">
        <v>156</v>
      </c>
      <c r="B9" s="273" t="s">
        <v>982</v>
      </c>
      <c r="C9" s="273">
        <v>77</v>
      </c>
      <c r="D9" s="273">
        <v>222120000</v>
      </c>
      <c r="E9" s="273" t="s">
        <v>1674</v>
      </c>
      <c r="F9" s="274" t="s">
        <v>1675</v>
      </c>
      <c r="G9" s="273" t="s">
        <v>1676</v>
      </c>
      <c r="H9" s="273" t="s">
        <v>1677</v>
      </c>
      <c r="I9" s="275">
        <v>158500000</v>
      </c>
      <c r="J9" s="276">
        <f>'[21]FINANCIERO PRODUCTIVIDAD'!J9-'[21]FINANCIERO PRODUCTIVIDAD'!H9</f>
        <v>-70000000</v>
      </c>
      <c r="K9" s="273" t="s">
        <v>1678</v>
      </c>
      <c r="L9" s="273">
        <v>2</v>
      </c>
      <c r="M9" s="18">
        <v>4</v>
      </c>
      <c r="N9" s="18"/>
      <c r="O9" s="277">
        <v>7</v>
      </c>
      <c r="P9" s="64">
        <v>9</v>
      </c>
      <c r="Q9" s="278" t="s">
        <v>1679</v>
      </c>
      <c r="R9" s="16"/>
      <c r="U9" s="17"/>
    </row>
    <row r="10" spans="1:21" ht="135" x14ac:dyDescent="0.25">
      <c r="A10" s="273"/>
      <c r="B10" s="273"/>
      <c r="C10" s="273"/>
      <c r="D10" s="273"/>
      <c r="E10" s="273"/>
      <c r="F10" s="274"/>
      <c r="G10" s="273"/>
      <c r="H10" s="273"/>
      <c r="I10" s="273"/>
      <c r="J10" s="273"/>
      <c r="K10" s="273" t="s">
        <v>1680</v>
      </c>
      <c r="L10" s="273">
        <v>600</v>
      </c>
      <c r="M10" s="18">
        <v>0</v>
      </c>
      <c r="N10" s="18"/>
      <c r="O10" s="18">
        <v>2942</v>
      </c>
      <c r="P10" s="279">
        <v>2942</v>
      </c>
      <c r="Q10" s="278" t="s">
        <v>1681</v>
      </c>
      <c r="R10" s="16"/>
      <c r="U10" s="17"/>
    </row>
    <row r="11" spans="1:21" ht="105" x14ac:dyDescent="0.25">
      <c r="A11" s="273" t="s">
        <v>156</v>
      </c>
      <c r="B11" s="273" t="s">
        <v>982</v>
      </c>
      <c r="C11" s="273" t="s">
        <v>1682</v>
      </c>
      <c r="D11" s="273">
        <v>222210000</v>
      </c>
      <c r="E11" s="273" t="s">
        <v>1683</v>
      </c>
      <c r="F11" s="274" t="s">
        <v>1684</v>
      </c>
      <c r="G11" s="273" t="s">
        <v>1685</v>
      </c>
      <c r="H11" s="273" t="s">
        <v>1686</v>
      </c>
      <c r="I11" s="280"/>
      <c r="J11" s="144">
        <f>'[21]FINANCIERO PRODUCTIVIDAD'!J11-'[21]FINANCIERO PRODUCTIVIDAD'!H11</f>
        <v>0</v>
      </c>
      <c r="K11" s="273" t="s">
        <v>1687</v>
      </c>
      <c r="L11" s="273">
        <v>860</v>
      </c>
      <c r="M11" s="18">
        <v>2</v>
      </c>
      <c r="N11" s="18"/>
      <c r="O11" s="18">
        <v>4039</v>
      </c>
      <c r="P11" s="281">
        <v>4039</v>
      </c>
      <c r="Q11" s="278" t="s">
        <v>1688</v>
      </c>
      <c r="R11" s="16"/>
      <c r="U11" s="17"/>
    </row>
    <row r="12" spans="1:21" ht="120" x14ac:dyDescent="0.25">
      <c r="A12" s="273" t="s">
        <v>156</v>
      </c>
      <c r="B12" s="273" t="s">
        <v>982</v>
      </c>
      <c r="C12" s="273" t="s">
        <v>1682</v>
      </c>
      <c r="D12" s="273">
        <v>222220000</v>
      </c>
      <c r="E12" s="273" t="s">
        <v>1689</v>
      </c>
      <c r="F12" s="274" t="s">
        <v>1690</v>
      </c>
      <c r="G12" s="273" t="s">
        <v>1691</v>
      </c>
      <c r="H12" s="273" t="s">
        <v>1692</v>
      </c>
      <c r="I12" s="282">
        <f>SUBTOTAL(9,I10:I11)</f>
        <v>0</v>
      </c>
      <c r="J12" s="276">
        <f>'[21]FINANCIERO PRODUCTIVIDAD'!J12-'[21]FINANCIERO PRODUCTIVIDAD'!H12</f>
        <v>0</v>
      </c>
      <c r="K12" s="273" t="s">
        <v>1693</v>
      </c>
      <c r="L12" s="273">
        <v>13</v>
      </c>
      <c r="M12" s="18">
        <v>10</v>
      </c>
      <c r="N12" s="18"/>
      <c r="O12" s="18">
        <v>14</v>
      </c>
      <c r="P12" s="281">
        <v>15</v>
      </c>
      <c r="Q12" s="278" t="s">
        <v>1694</v>
      </c>
      <c r="R12" s="16"/>
      <c r="U12" s="17"/>
    </row>
    <row r="13" spans="1:21" ht="120" x14ac:dyDescent="0.25">
      <c r="A13" s="273" t="s">
        <v>156</v>
      </c>
      <c r="B13" s="273" t="s">
        <v>982</v>
      </c>
      <c r="C13" s="273" t="s">
        <v>1682</v>
      </c>
      <c r="D13" s="273">
        <v>222220000</v>
      </c>
      <c r="E13" s="273" t="s">
        <v>1689</v>
      </c>
      <c r="F13" s="274" t="s">
        <v>1690</v>
      </c>
      <c r="G13" s="273" t="s">
        <v>1691</v>
      </c>
      <c r="H13" s="273" t="s">
        <v>1692</v>
      </c>
      <c r="I13" s="273"/>
      <c r="J13" s="275"/>
      <c r="K13" s="273" t="s">
        <v>1695</v>
      </c>
      <c r="L13" s="273">
        <v>90</v>
      </c>
      <c r="M13" s="18">
        <v>0</v>
      </c>
      <c r="N13" s="18"/>
      <c r="O13" s="18">
        <v>0</v>
      </c>
      <c r="P13" s="281">
        <v>90</v>
      </c>
      <c r="Q13" s="278" t="s">
        <v>1696</v>
      </c>
      <c r="R13" s="16"/>
      <c r="U13" s="17"/>
    </row>
    <row r="14" spans="1:21" ht="225" x14ac:dyDescent="0.25">
      <c r="A14" s="273" t="s">
        <v>156</v>
      </c>
      <c r="B14" s="273" t="s">
        <v>982</v>
      </c>
      <c r="C14" s="273" t="s">
        <v>983</v>
      </c>
      <c r="D14" s="273">
        <v>222310000</v>
      </c>
      <c r="E14" s="273" t="s">
        <v>984</v>
      </c>
      <c r="F14" s="274" t="s">
        <v>1697</v>
      </c>
      <c r="G14" s="273" t="s">
        <v>1698</v>
      </c>
      <c r="H14" s="273" t="s">
        <v>1699</v>
      </c>
      <c r="I14" s="273"/>
      <c r="J14" s="275">
        <f>'[21]FINANCIERO PRODUCTIVIDAD'!J14-'[21]FINANCIERO PRODUCTIVIDAD'!H14</f>
        <v>-12637035</v>
      </c>
      <c r="K14" s="273" t="s">
        <v>1700</v>
      </c>
      <c r="L14" s="273">
        <v>1500</v>
      </c>
      <c r="M14" s="18">
        <v>0</v>
      </c>
      <c r="N14" s="18"/>
      <c r="O14" s="18">
        <f>350+210+350+168+60</f>
        <v>1138</v>
      </c>
      <c r="P14" s="281">
        <f>359+358+217+86+104+20+20+38+28+160+110</f>
        <v>1500</v>
      </c>
      <c r="Q14" s="278" t="s">
        <v>1701</v>
      </c>
      <c r="R14" s="16"/>
      <c r="U14" s="17"/>
    </row>
    <row r="15" spans="1:21" x14ac:dyDescent="0.25">
      <c r="A15" s="273"/>
      <c r="B15" s="273"/>
      <c r="C15" s="273"/>
      <c r="D15" s="273"/>
      <c r="E15" s="273"/>
      <c r="F15" s="274"/>
      <c r="G15" s="273"/>
      <c r="H15" s="273"/>
      <c r="I15" s="273"/>
      <c r="J15" s="273"/>
      <c r="K15" s="273" t="s">
        <v>1702</v>
      </c>
      <c r="L15" s="273">
        <v>400</v>
      </c>
      <c r="M15" s="18">
        <v>0</v>
      </c>
      <c r="N15" s="18"/>
      <c r="O15" s="18">
        <v>412</v>
      </c>
      <c r="P15" s="281">
        <v>412</v>
      </c>
      <c r="Q15" s="278"/>
      <c r="R15" s="16"/>
      <c r="U15" s="17"/>
    </row>
    <row r="16" spans="1:21" ht="404.25" x14ac:dyDescent="0.25">
      <c r="A16" s="273"/>
      <c r="B16" s="273"/>
      <c r="C16" s="273"/>
      <c r="D16" s="273"/>
      <c r="E16" s="273"/>
      <c r="F16" s="274"/>
      <c r="G16" s="273"/>
      <c r="H16" s="273"/>
      <c r="I16" s="273"/>
      <c r="J16" s="273"/>
      <c r="K16" s="273" t="s">
        <v>1703</v>
      </c>
      <c r="L16" s="273">
        <v>17</v>
      </c>
      <c r="M16" s="18">
        <v>0</v>
      </c>
      <c r="N16" s="18"/>
      <c r="O16" s="18">
        <v>9</v>
      </c>
      <c r="P16" s="281">
        <v>17</v>
      </c>
      <c r="Q16" s="278" t="s">
        <v>1704</v>
      </c>
      <c r="R16" s="16"/>
      <c r="U16" s="17"/>
    </row>
    <row r="17" spans="1:21" ht="165" x14ac:dyDescent="0.25">
      <c r="A17" s="273" t="s">
        <v>156</v>
      </c>
      <c r="B17" s="273" t="s">
        <v>982</v>
      </c>
      <c r="C17" s="273" t="s">
        <v>983</v>
      </c>
      <c r="D17" s="273">
        <v>222320000</v>
      </c>
      <c r="E17" s="273" t="s">
        <v>1705</v>
      </c>
      <c r="F17" s="274" t="s">
        <v>1706</v>
      </c>
      <c r="G17" s="273" t="s">
        <v>1707</v>
      </c>
      <c r="H17" s="273" t="s">
        <v>1708</v>
      </c>
      <c r="I17" s="273"/>
      <c r="J17" s="275">
        <f>'[21]FINANCIERO PRODUCTIVIDAD'!J26-'[21]FINANCIERO PRODUCTIVIDAD'!H26</f>
        <v>0</v>
      </c>
      <c r="K17" s="273" t="s">
        <v>1709</v>
      </c>
      <c r="L17" s="273">
        <v>700</v>
      </c>
      <c r="M17" s="18">
        <v>0</v>
      </c>
      <c r="N17" s="18"/>
      <c r="O17" s="18">
        <v>639</v>
      </c>
      <c r="P17" s="64">
        <v>700</v>
      </c>
      <c r="Q17" s="278" t="s">
        <v>1710</v>
      </c>
      <c r="R17" s="16"/>
      <c r="U17" s="17"/>
    </row>
    <row r="18" spans="1:21" ht="165" x14ac:dyDescent="0.25">
      <c r="A18" s="273" t="s">
        <v>156</v>
      </c>
      <c r="B18" s="273" t="s">
        <v>982</v>
      </c>
      <c r="C18" s="273" t="s">
        <v>983</v>
      </c>
      <c r="D18" s="273">
        <v>222330000</v>
      </c>
      <c r="E18" s="273" t="s">
        <v>1711</v>
      </c>
      <c r="F18" s="274" t="s">
        <v>1712</v>
      </c>
      <c r="G18" s="273" t="s">
        <v>1713</v>
      </c>
      <c r="H18" s="273" t="s">
        <v>1714</v>
      </c>
      <c r="I18" s="273"/>
      <c r="J18" s="275">
        <f>'[21]FINANCIERO PRODUCTIVIDAD'!J27-'[21]FINANCIERO PRODUCTIVIDAD'!H27</f>
        <v>88000000</v>
      </c>
      <c r="K18" s="273" t="s">
        <v>1715</v>
      </c>
      <c r="L18" s="273">
        <v>15</v>
      </c>
      <c r="M18" s="18">
        <v>3</v>
      </c>
      <c r="N18" s="18"/>
      <c r="O18" s="18">
        <v>10</v>
      </c>
      <c r="P18" s="64">
        <v>15</v>
      </c>
      <c r="Q18" s="278" t="s">
        <v>1716</v>
      </c>
      <c r="R18" s="16"/>
      <c r="U18" s="17"/>
    </row>
    <row r="19" spans="1:21" ht="120" x14ac:dyDescent="0.25">
      <c r="A19" s="273" t="s">
        <v>156</v>
      </c>
      <c r="B19" s="273" t="s">
        <v>982</v>
      </c>
      <c r="C19" s="273" t="s">
        <v>983</v>
      </c>
      <c r="D19" s="273">
        <v>222340000</v>
      </c>
      <c r="E19" s="273" t="s">
        <v>1717</v>
      </c>
      <c r="F19" s="274" t="s">
        <v>1608</v>
      </c>
      <c r="G19" s="273" t="s">
        <v>1718</v>
      </c>
      <c r="H19" s="273" t="s">
        <v>1719</v>
      </c>
      <c r="I19" s="273"/>
      <c r="J19" s="275">
        <f>'[21]FINANCIERO PRODUCTIVIDAD'!J36-'[21]FINANCIERO PRODUCTIVIDAD'!H36</f>
        <v>-200000000</v>
      </c>
      <c r="K19" s="273" t="s">
        <v>1720</v>
      </c>
      <c r="L19" s="273">
        <v>1800</v>
      </c>
      <c r="M19" s="18"/>
      <c r="N19" s="18"/>
      <c r="O19" s="18">
        <v>1800</v>
      </c>
      <c r="P19" s="64">
        <v>1800</v>
      </c>
      <c r="Q19" s="278" t="s">
        <v>1721</v>
      </c>
      <c r="R19" s="16"/>
      <c r="U19" s="17"/>
    </row>
    <row r="20" spans="1:21" ht="105" x14ac:dyDescent="0.25">
      <c r="A20" s="273" t="s">
        <v>156</v>
      </c>
      <c r="B20" s="273" t="s">
        <v>982</v>
      </c>
      <c r="C20" s="273" t="s">
        <v>994</v>
      </c>
      <c r="D20" s="273">
        <v>222410000</v>
      </c>
      <c r="E20" s="273" t="s">
        <v>1722</v>
      </c>
      <c r="F20" s="274" t="s">
        <v>1723</v>
      </c>
      <c r="G20" s="273" t="s">
        <v>1724</v>
      </c>
      <c r="H20" s="273" t="s">
        <v>1725</v>
      </c>
      <c r="I20" s="273"/>
      <c r="J20" s="275">
        <f>'[21]FINANCIERO PRODUCTIVIDAD'!J43-'[21]FINANCIERO PRODUCTIVIDAD'!H43</f>
        <v>-6139604</v>
      </c>
      <c r="K20" s="273" t="s">
        <v>1726</v>
      </c>
      <c r="L20" s="273">
        <v>1250</v>
      </c>
      <c r="M20" s="18"/>
      <c r="N20" s="18"/>
      <c r="O20" s="18">
        <f>46+17</f>
        <v>63</v>
      </c>
      <c r="P20" s="64">
        <v>389</v>
      </c>
      <c r="Q20" s="278" t="s">
        <v>1727</v>
      </c>
      <c r="R20" s="16"/>
      <c r="U20" s="17"/>
    </row>
    <row r="21" spans="1:21" ht="45" x14ac:dyDescent="0.25">
      <c r="A21" s="273"/>
      <c r="B21" s="273"/>
      <c r="C21" s="273"/>
      <c r="D21" s="273"/>
      <c r="E21" s="273"/>
      <c r="F21" s="274"/>
      <c r="G21" s="273"/>
      <c r="H21" s="273"/>
      <c r="I21" s="273"/>
      <c r="J21" s="273"/>
      <c r="K21" s="273" t="s">
        <v>1728</v>
      </c>
      <c r="L21" s="273">
        <v>0</v>
      </c>
      <c r="M21" s="18"/>
      <c r="N21" s="18"/>
      <c r="O21" s="18">
        <v>1</v>
      </c>
      <c r="P21" s="64">
        <v>1</v>
      </c>
      <c r="Q21" s="278" t="s">
        <v>1729</v>
      </c>
      <c r="R21" s="16"/>
      <c r="U21" s="17"/>
    </row>
    <row r="22" spans="1:21" ht="105" x14ac:dyDescent="0.25">
      <c r="A22" s="273" t="s">
        <v>156</v>
      </c>
      <c r="B22" s="273" t="s">
        <v>982</v>
      </c>
      <c r="C22" s="273" t="s">
        <v>1730</v>
      </c>
      <c r="D22" s="273">
        <v>222510000</v>
      </c>
      <c r="E22" s="273" t="s">
        <v>1731</v>
      </c>
      <c r="F22" s="274" t="s">
        <v>1732</v>
      </c>
      <c r="G22" s="273" t="s">
        <v>1733</v>
      </c>
      <c r="H22" s="273" t="s">
        <v>1734</v>
      </c>
      <c r="I22" s="273"/>
      <c r="J22" s="275">
        <f>'[21]FINANCIERO PRODUCTIVIDAD'!J44-'[21]FINANCIERO PRODUCTIVIDAD'!H44</f>
        <v>-165000000</v>
      </c>
      <c r="K22" s="273" t="s">
        <v>1735</v>
      </c>
      <c r="L22" s="273">
        <v>4</v>
      </c>
      <c r="M22" s="18"/>
      <c r="N22" s="18">
        <v>4</v>
      </c>
      <c r="O22" s="18"/>
      <c r="P22" s="64">
        <v>2</v>
      </c>
      <c r="Q22" s="278" t="s">
        <v>1736</v>
      </c>
      <c r="R22" s="16"/>
      <c r="U22" s="17"/>
    </row>
    <row r="23" spans="1:21" ht="30" x14ac:dyDescent="0.25">
      <c r="A23" s="273"/>
      <c r="B23" s="273"/>
      <c r="C23" s="273"/>
      <c r="D23" s="273"/>
      <c r="E23" s="273"/>
      <c r="F23" s="274"/>
      <c r="G23" s="273"/>
      <c r="H23" s="273"/>
      <c r="I23" s="273"/>
      <c r="J23" s="273"/>
      <c r="K23" s="273" t="s">
        <v>1737</v>
      </c>
      <c r="L23" s="273">
        <v>4</v>
      </c>
      <c r="M23" s="18"/>
      <c r="N23" s="18"/>
      <c r="O23" s="18"/>
      <c r="P23" s="64"/>
      <c r="Q23" s="278"/>
      <c r="R23" s="16"/>
      <c r="U23" s="17"/>
    </row>
    <row r="24" spans="1:21" ht="184.5" customHeight="1" x14ac:dyDescent="0.25">
      <c r="A24" s="273" t="s">
        <v>156</v>
      </c>
      <c r="B24" s="273" t="s">
        <v>982</v>
      </c>
      <c r="C24" s="273" t="s">
        <v>1738</v>
      </c>
      <c r="D24" s="273">
        <v>222610000</v>
      </c>
      <c r="E24" s="273" t="s">
        <v>1739</v>
      </c>
      <c r="F24" s="274" t="s">
        <v>1740</v>
      </c>
      <c r="G24" s="273" t="s">
        <v>1741</v>
      </c>
      <c r="H24" s="273" t="s">
        <v>1742</v>
      </c>
      <c r="I24" s="273">
        <v>0</v>
      </c>
      <c r="J24" s="275">
        <f>'[21]FINANCIERO PRODUCTIVIDAD'!J45-'[21]FINANCIERO PRODUCTIVIDAD'!H45</f>
        <v>0</v>
      </c>
      <c r="K24" s="273" t="s">
        <v>1743</v>
      </c>
      <c r="L24" s="273">
        <v>3</v>
      </c>
      <c r="M24" s="18">
        <v>3</v>
      </c>
      <c r="N24" s="18"/>
      <c r="O24" s="18">
        <v>3</v>
      </c>
      <c r="P24" s="64">
        <v>4</v>
      </c>
      <c r="Q24" s="278" t="s">
        <v>1744</v>
      </c>
      <c r="R24" s="16"/>
      <c r="U24" s="17"/>
    </row>
    <row r="25" spans="1:21" ht="90" x14ac:dyDescent="0.25">
      <c r="A25" s="273">
        <v>0</v>
      </c>
      <c r="B25" s="273">
        <v>0</v>
      </c>
      <c r="C25" s="273">
        <v>0</v>
      </c>
      <c r="D25" s="273">
        <v>0</v>
      </c>
      <c r="E25" s="273" t="s">
        <v>342</v>
      </c>
      <c r="F25" s="274">
        <v>0</v>
      </c>
      <c r="G25" s="273">
        <v>0</v>
      </c>
      <c r="H25" s="273">
        <v>0</v>
      </c>
      <c r="I25" s="273"/>
      <c r="J25" s="273"/>
      <c r="K25" s="273" t="s">
        <v>1745</v>
      </c>
      <c r="L25" s="273">
        <v>1</v>
      </c>
      <c r="M25" s="18">
        <v>1</v>
      </c>
      <c r="N25" s="18"/>
      <c r="O25" s="18">
        <v>1</v>
      </c>
      <c r="P25" s="64">
        <v>1</v>
      </c>
      <c r="Q25" s="278" t="s">
        <v>1746</v>
      </c>
      <c r="R25" s="16"/>
      <c r="U25" s="17"/>
    </row>
    <row r="26" spans="1:21" ht="210" x14ac:dyDescent="0.25">
      <c r="A26" s="273">
        <v>0</v>
      </c>
      <c r="B26" s="273">
        <v>0</v>
      </c>
      <c r="C26" s="273">
        <v>0</v>
      </c>
      <c r="D26" s="273">
        <v>0</v>
      </c>
      <c r="E26" s="273" t="s">
        <v>342</v>
      </c>
      <c r="F26" s="274">
        <v>0</v>
      </c>
      <c r="G26" s="273">
        <v>0</v>
      </c>
      <c r="H26" s="273">
        <v>0</v>
      </c>
      <c r="I26" s="273"/>
      <c r="J26" s="273"/>
      <c r="K26" s="273" t="s">
        <v>1747</v>
      </c>
      <c r="L26" s="273">
        <v>3</v>
      </c>
      <c r="M26" s="18"/>
      <c r="N26" s="18"/>
      <c r="O26" s="18">
        <v>3</v>
      </c>
      <c r="P26" s="64">
        <v>4</v>
      </c>
      <c r="Q26" s="278" t="s">
        <v>1748</v>
      </c>
      <c r="R26" s="16"/>
      <c r="U26" s="17"/>
    </row>
    <row r="27" spans="1:21" ht="135" x14ac:dyDescent="0.25">
      <c r="A27" s="273">
        <v>0</v>
      </c>
      <c r="B27" s="273">
        <v>0</v>
      </c>
      <c r="C27" s="273">
        <v>0</v>
      </c>
      <c r="D27" s="273">
        <v>0</v>
      </c>
      <c r="E27" s="273" t="s">
        <v>342</v>
      </c>
      <c r="F27" s="274">
        <v>0</v>
      </c>
      <c r="G27" s="273">
        <v>0</v>
      </c>
      <c r="H27" s="273">
        <v>0</v>
      </c>
      <c r="I27" s="273"/>
      <c r="J27" s="273"/>
      <c r="K27" s="273" t="s">
        <v>1749</v>
      </c>
      <c r="L27" s="273">
        <v>5</v>
      </c>
      <c r="M27" s="18">
        <v>15</v>
      </c>
      <c r="N27" s="18"/>
      <c r="O27" s="18">
        <v>15</v>
      </c>
      <c r="P27" s="64">
        <v>17</v>
      </c>
      <c r="Q27" s="278" t="s">
        <v>1750</v>
      </c>
      <c r="R27" s="16"/>
      <c r="U27" s="17"/>
    </row>
    <row r="28" spans="1:21" ht="285" x14ac:dyDescent="0.25">
      <c r="A28" s="273" t="s">
        <v>156</v>
      </c>
      <c r="B28" s="273" t="s">
        <v>982</v>
      </c>
      <c r="C28" s="273" t="s">
        <v>1738</v>
      </c>
      <c r="D28" s="273">
        <v>222620000</v>
      </c>
      <c r="E28" s="273" t="s">
        <v>1751</v>
      </c>
      <c r="F28" s="274" t="s">
        <v>1752</v>
      </c>
      <c r="G28" s="273" t="s">
        <v>1753</v>
      </c>
      <c r="H28" s="273" t="s">
        <v>1754</v>
      </c>
      <c r="I28" s="273">
        <v>0</v>
      </c>
      <c r="J28" s="275">
        <f>'[21]FINANCIERO PRODUCTIVIDAD'!J55-'[21]FINANCIERO PRODUCTIVIDAD'!H55</f>
        <v>0</v>
      </c>
      <c r="K28" s="273" t="s">
        <v>1755</v>
      </c>
      <c r="L28" s="273">
        <v>1</v>
      </c>
      <c r="M28" s="18">
        <v>0</v>
      </c>
      <c r="N28" s="18"/>
      <c r="O28" s="18">
        <v>0</v>
      </c>
      <c r="P28" s="64">
        <v>1</v>
      </c>
      <c r="Q28" s="278" t="s">
        <v>1756</v>
      </c>
      <c r="R28" s="16"/>
      <c r="U28" s="17"/>
    </row>
    <row r="29" spans="1:21" ht="225" x14ac:dyDescent="0.25">
      <c r="A29" s="273" t="s">
        <v>156</v>
      </c>
      <c r="B29" s="273" t="s">
        <v>982</v>
      </c>
      <c r="C29" s="273" t="s">
        <v>1738</v>
      </c>
      <c r="D29" s="273">
        <v>222630000</v>
      </c>
      <c r="E29" s="273" t="s">
        <v>1757</v>
      </c>
      <c r="F29" s="274" t="s">
        <v>1758</v>
      </c>
      <c r="G29" s="273" t="s">
        <v>1759</v>
      </c>
      <c r="H29" s="273" t="s">
        <v>1760</v>
      </c>
      <c r="I29" s="273">
        <v>0</v>
      </c>
      <c r="J29" s="275">
        <f>'[21]FINANCIERO PRODUCTIVIDAD'!J56-'[21]FINANCIERO PRODUCTIVIDAD'!H56</f>
        <v>0</v>
      </c>
      <c r="K29" s="273" t="s">
        <v>1761</v>
      </c>
      <c r="L29" s="273">
        <v>12</v>
      </c>
      <c r="M29" s="18">
        <v>5</v>
      </c>
      <c r="N29" s="18"/>
      <c r="O29" s="18">
        <v>5</v>
      </c>
      <c r="P29" s="64">
        <v>12</v>
      </c>
      <c r="Q29" s="278" t="s">
        <v>1762</v>
      </c>
      <c r="R29" s="16"/>
      <c r="U29" s="17"/>
    </row>
    <row r="30" spans="1:21" ht="270" x14ac:dyDescent="0.25">
      <c r="A30" s="273"/>
      <c r="B30" s="273"/>
      <c r="C30" s="273"/>
      <c r="D30" s="273"/>
      <c r="E30" s="273"/>
      <c r="F30" s="274"/>
      <c r="G30" s="273"/>
      <c r="H30" s="273"/>
      <c r="I30" s="273"/>
      <c r="J30" s="273"/>
      <c r="K30" s="273" t="s">
        <v>1763</v>
      </c>
      <c r="L30" s="273">
        <v>625</v>
      </c>
      <c r="M30" s="18">
        <v>106</v>
      </c>
      <c r="N30" s="18"/>
      <c r="O30" s="18">
        <v>106</v>
      </c>
      <c r="P30" s="64">
        <v>985</v>
      </c>
      <c r="Q30" s="278" t="s">
        <v>1764</v>
      </c>
      <c r="R30" s="16"/>
      <c r="U30" s="17"/>
    </row>
    <row r="31" spans="1:21" ht="45" x14ac:dyDescent="0.25">
      <c r="A31" s="273"/>
      <c r="B31" s="273"/>
      <c r="C31" s="273"/>
      <c r="D31" s="273"/>
      <c r="E31" s="273"/>
      <c r="F31" s="274"/>
      <c r="G31" s="273"/>
      <c r="H31" s="273"/>
      <c r="I31" s="273"/>
      <c r="J31" s="273"/>
      <c r="K31" s="273" t="s">
        <v>1765</v>
      </c>
      <c r="L31" s="273">
        <v>1</v>
      </c>
      <c r="M31" s="18">
        <v>1</v>
      </c>
      <c r="N31" s="18"/>
      <c r="O31" s="18">
        <v>1</v>
      </c>
      <c r="P31" s="64">
        <v>1</v>
      </c>
      <c r="Q31" s="278" t="s">
        <v>1766</v>
      </c>
      <c r="R31" s="16"/>
      <c r="U31" s="17"/>
    </row>
    <row r="32" spans="1:21" ht="105" x14ac:dyDescent="0.25">
      <c r="A32" s="273" t="s">
        <v>156</v>
      </c>
      <c r="B32" s="273" t="s">
        <v>982</v>
      </c>
      <c r="C32" s="273" t="s">
        <v>1006</v>
      </c>
      <c r="D32" s="273">
        <v>222710000</v>
      </c>
      <c r="E32" s="273" t="s">
        <v>1767</v>
      </c>
      <c r="F32" s="274" t="s">
        <v>1768</v>
      </c>
      <c r="G32" s="273" t="s">
        <v>1769</v>
      </c>
      <c r="H32" s="273" t="s">
        <v>1770</v>
      </c>
      <c r="I32" s="273"/>
      <c r="J32" s="275">
        <f>'[21]FINANCIERO PRODUCTIVIDAD'!J60-'[21]FINANCIERO PRODUCTIVIDAD'!H60</f>
        <v>-4421250</v>
      </c>
      <c r="K32" s="273" t="s">
        <v>1771</v>
      </c>
      <c r="L32" s="273">
        <v>16</v>
      </c>
      <c r="M32" s="18"/>
      <c r="N32" s="18">
        <v>16</v>
      </c>
      <c r="O32" s="18">
        <v>16</v>
      </c>
      <c r="P32" s="64">
        <v>18</v>
      </c>
      <c r="Q32" s="278" t="s">
        <v>1772</v>
      </c>
      <c r="R32" s="16"/>
      <c r="U32" s="17"/>
    </row>
    <row r="33" spans="1:97" ht="105" x14ac:dyDescent="0.25">
      <c r="A33" s="273" t="s">
        <v>156</v>
      </c>
      <c r="B33" s="273" t="s">
        <v>982</v>
      </c>
      <c r="C33" s="273" t="s">
        <v>1015</v>
      </c>
      <c r="D33" s="273">
        <v>222810000</v>
      </c>
      <c r="E33" s="273" t="s">
        <v>1016</v>
      </c>
      <c r="F33" s="274" t="s">
        <v>1773</v>
      </c>
      <c r="G33" s="273" t="s">
        <v>1774</v>
      </c>
      <c r="H33" s="273" t="s">
        <v>1775</v>
      </c>
      <c r="I33" s="273"/>
      <c r="J33" s="275">
        <f>'[21]FINANCIERO PRODUCTIVIDAD'!J62-'[21]FINANCIERO PRODUCTIVIDAD'!H62</f>
        <v>-427399960</v>
      </c>
      <c r="K33" s="273" t="s">
        <v>1776</v>
      </c>
      <c r="L33" s="273">
        <v>11</v>
      </c>
      <c r="M33" s="18"/>
      <c r="N33" s="18">
        <v>16</v>
      </c>
      <c r="O33" s="18">
        <v>16</v>
      </c>
      <c r="P33" s="64">
        <v>18</v>
      </c>
      <c r="Q33" s="278" t="s">
        <v>1777</v>
      </c>
      <c r="R33" s="16"/>
      <c r="U33" s="17"/>
    </row>
    <row r="34" spans="1:97" ht="105" x14ac:dyDescent="0.25">
      <c r="A34" s="273" t="s">
        <v>156</v>
      </c>
      <c r="B34" s="273" t="s">
        <v>982</v>
      </c>
      <c r="C34" s="273" t="s">
        <v>1015</v>
      </c>
      <c r="D34" s="273">
        <v>222820000</v>
      </c>
      <c r="E34" s="273" t="s">
        <v>1778</v>
      </c>
      <c r="F34" s="274" t="s">
        <v>1779</v>
      </c>
      <c r="G34" s="273" t="s">
        <v>1780</v>
      </c>
      <c r="H34" s="273" t="s">
        <v>1781</v>
      </c>
      <c r="I34" s="273"/>
      <c r="J34" s="275">
        <f>'[21]FINANCIERO PRODUCTIVIDAD'!J64-'[21]FINANCIERO PRODUCTIVIDAD'!H64</f>
        <v>0</v>
      </c>
      <c r="K34" s="273" t="s">
        <v>1782</v>
      </c>
      <c r="L34" s="283">
        <v>0.25</v>
      </c>
      <c r="M34" s="18"/>
      <c r="N34" s="284">
        <v>0.25</v>
      </c>
      <c r="O34" s="18"/>
      <c r="P34" s="64">
        <v>1</v>
      </c>
      <c r="Q34" s="278" t="s">
        <v>1783</v>
      </c>
      <c r="R34" s="16"/>
      <c r="U34" s="17"/>
    </row>
    <row r="35" spans="1:97" s="285" customFormat="1" ht="147.75" customHeight="1" x14ac:dyDescent="0.25">
      <c r="A35" s="273" t="s">
        <v>1615</v>
      </c>
      <c r="B35" s="273" t="s">
        <v>1616</v>
      </c>
      <c r="C35" s="273" t="s">
        <v>1617</v>
      </c>
      <c r="D35" s="273">
        <v>234220005</v>
      </c>
      <c r="E35" s="273" t="s">
        <v>1618</v>
      </c>
      <c r="F35" s="274" t="s">
        <v>1784</v>
      </c>
      <c r="G35" s="273" t="s">
        <v>1785</v>
      </c>
      <c r="H35" s="273" t="s">
        <v>1786</v>
      </c>
      <c r="I35" s="273"/>
      <c r="J35" s="275">
        <f>'[21]FINANCIERO PRODUCTIVIDAD'!J65-'[21]FINANCIERO PRODUCTIVIDAD'!H65</f>
        <v>49637035</v>
      </c>
      <c r="K35" s="273" t="s">
        <v>1622</v>
      </c>
      <c r="L35" s="273">
        <v>600</v>
      </c>
      <c r="M35" s="18">
        <v>3</v>
      </c>
      <c r="N35" s="18"/>
      <c r="O35" s="18"/>
      <c r="P35" s="64"/>
      <c r="Q35" s="278" t="s">
        <v>1787</v>
      </c>
      <c r="R35" s="16"/>
      <c r="S35" s="1"/>
      <c r="T35" s="1"/>
      <c r="U35" s="17"/>
    </row>
    <row r="36" spans="1:97" ht="165" x14ac:dyDescent="0.25">
      <c r="A36" s="273" t="s">
        <v>1788</v>
      </c>
      <c r="B36" s="273" t="s">
        <v>1789</v>
      </c>
      <c r="C36" s="273" t="s">
        <v>1790</v>
      </c>
      <c r="D36" s="273">
        <v>271110000</v>
      </c>
      <c r="E36" s="273" t="s">
        <v>1791</v>
      </c>
      <c r="F36" s="274" t="s">
        <v>1792</v>
      </c>
      <c r="G36" s="273" t="s">
        <v>1793</v>
      </c>
      <c r="H36" s="273" t="s">
        <v>1794</v>
      </c>
      <c r="I36" s="273"/>
      <c r="J36" s="275">
        <f>'[21]FINANCIERO PRODUCTIVIDAD'!J66-'[21]FINANCIERO PRODUCTIVIDAD'!H66</f>
        <v>960000000</v>
      </c>
      <c r="K36" s="273" t="s">
        <v>1795</v>
      </c>
      <c r="L36" s="273">
        <v>3</v>
      </c>
      <c r="M36" s="18"/>
      <c r="N36" s="18"/>
      <c r="O36" s="18"/>
      <c r="P36" s="64">
        <v>9</v>
      </c>
      <c r="Q36" s="278" t="s">
        <v>1796</v>
      </c>
      <c r="R36" s="16"/>
      <c r="U36" s="17"/>
    </row>
    <row r="37" spans="1:97" ht="120" x14ac:dyDescent="0.25">
      <c r="A37" s="273">
        <v>0</v>
      </c>
      <c r="B37" s="273">
        <v>0</v>
      </c>
      <c r="C37" s="273">
        <v>0</v>
      </c>
      <c r="D37" s="273">
        <v>0</v>
      </c>
      <c r="E37" s="273" t="s">
        <v>1797</v>
      </c>
      <c r="F37" s="273">
        <v>0</v>
      </c>
      <c r="G37" s="273">
        <v>0</v>
      </c>
      <c r="H37" s="273" t="s">
        <v>1798</v>
      </c>
      <c r="I37" s="273"/>
      <c r="J37" s="273"/>
      <c r="K37" s="273" t="s">
        <v>1799</v>
      </c>
      <c r="L37" s="273">
        <v>1</v>
      </c>
      <c r="M37" s="18"/>
      <c r="N37" s="18"/>
      <c r="O37" s="18"/>
      <c r="P37" s="286">
        <v>1</v>
      </c>
      <c r="Q37" s="49" t="s">
        <v>1800</v>
      </c>
      <c r="R37" s="16"/>
      <c r="U37" s="17"/>
    </row>
    <row r="38" spans="1:97" s="289" customFormat="1" ht="105" x14ac:dyDescent="0.25">
      <c r="A38" s="273" t="s">
        <v>156</v>
      </c>
      <c r="B38" s="273" t="s">
        <v>982</v>
      </c>
      <c r="C38" s="273" t="s">
        <v>1801</v>
      </c>
      <c r="D38" s="273" t="s">
        <v>1802</v>
      </c>
      <c r="E38" s="273" t="s">
        <v>1803</v>
      </c>
      <c r="F38" s="274" t="s">
        <v>1804</v>
      </c>
      <c r="G38" s="273">
        <v>22057001</v>
      </c>
      <c r="H38" s="273" t="s">
        <v>1805</v>
      </c>
      <c r="I38" s="287"/>
      <c r="J38" s="275">
        <f>'[21]FINANCIERO PRODUCTIVIDAD'!J68-'[21]FINANCIERO PRODUCTIVIDAD'!H68</f>
        <v>-1000000000</v>
      </c>
      <c r="K38" s="273" t="s">
        <v>1806</v>
      </c>
      <c r="L38" s="273">
        <v>6000</v>
      </c>
      <c r="M38" s="273">
        <v>1</v>
      </c>
      <c r="N38" s="273"/>
      <c r="O38" s="140">
        <v>11090</v>
      </c>
      <c r="P38" s="64">
        <v>12050</v>
      </c>
      <c r="Q38" s="278"/>
      <c r="R38" s="16"/>
      <c r="S38" s="1"/>
      <c r="T38" s="1"/>
      <c r="U38" s="17"/>
      <c r="V38" s="288"/>
      <c r="W38" s="288"/>
      <c r="X38" s="288"/>
      <c r="Y38" s="288"/>
      <c r="Z38" s="288"/>
      <c r="AA38" s="288"/>
      <c r="AB38" s="288"/>
      <c r="AC38" s="288"/>
      <c r="AD38" s="288"/>
      <c r="AE38" s="288"/>
      <c r="AF38" s="288"/>
      <c r="AG38" s="288"/>
      <c r="AH38" s="288"/>
      <c r="AK38" s="290"/>
      <c r="AO38" s="290"/>
      <c r="AS38" s="290"/>
      <c r="AW38" s="290"/>
      <c r="BA38" s="290"/>
      <c r="BE38" s="290"/>
      <c r="BI38" s="290"/>
      <c r="BM38" s="290"/>
      <c r="BQ38" s="290"/>
      <c r="BU38" s="290"/>
      <c r="BY38" s="290"/>
      <c r="CC38" s="290"/>
      <c r="CG38" s="290"/>
      <c r="CK38" s="290"/>
      <c r="CO38" s="290"/>
      <c r="CS38" s="290"/>
    </row>
    <row r="39" spans="1:97" ht="165" x14ac:dyDescent="0.25">
      <c r="A39" s="273" t="s">
        <v>156</v>
      </c>
      <c r="B39" s="273" t="s">
        <v>982</v>
      </c>
      <c r="C39" s="273" t="s">
        <v>983</v>
      </c>
      <c r="D39" s="273">
        <v>222340000</v>
      </c>
      <c r="E39" s="273" t="s">
        <v>1807</v>
      </c>
      <c r="F39" s="274" t="s">
        <v>1808</v>
      </c>
      <c r="G39" s="273" t="s">
        <v>1718</v>
      </c>
      <c r="H39" s="273" t="s">
        <v>1809</v>
      </c>
      <c r="I39" s="291">
        <f>1000000000-800000000</f>
        <v>200000000</v>
      </c>
      <c r="J39" s="275">
        <f>'[21]FINANCIERO PRODUCTIVIDAD'!J75-'[21]FINANCIERO PRODUCTIVIDAD'!H75</f>
        <v>-200000000</v>
      </c>
      <c r="K39" s="273" t="s">
        <v>1810</v>
      </c>
      <c r="L39" s="273">
        <v>5000</v>
      </c>
      <c r="M39" s="18"/>
      <c r="N39" s="18"/>
      <c r="O39" s="18">
        <v>850</v>
      </c>
      <c r="P39" s="64">
        <v>2748</v>
      </c>
      <c r="Q39" s="45" t="s">
        <v>1811</v>
      </c>
      <c r="R39" s="16"/>
      <c r="U39" s="17"/>
    </row>
  </sheetData>
  <sheetProtection algorithmName="SHA-512" hashValue="GCtlAls0AfzEcVEs333BnQ0aSlByJfKRRmvcSWKxi6jKsSGSK3HCjJnRL4hSKYoYxxktsYONDdpahwRLnWp9/g==" saltValue="rO04/oyGJQVIxVRPxArmCA=="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0"/>
  <sheetViews>
    <sheetView showZeros="0" zoomScale="90" zoomScaleNormal="90" workbookViewId="0">
      <selection activeCell="H9" sqref="H9"/>
    </sheetView>
  </sheetViews>
  <sheetFormatPr baseColWidth="10" defaultRowHeight="15" x14ac:dyDescent="0.25"/>
  <cols>
    <col min="1" max="1" width="14.85546875" style="1" customWidth="1"/>
    <col min="2" max="2" width="15" style="1" customWidth="1"/>
    <col min="3" max="3" width="15.7109375" style="1" customWidth="1"/>
    <col min="4" max="4" width="18.42578125" style="1" customWidth="1"/>
    <col min="5" max="5" width="16.7109375" style="1" customWidth="1"/>
    <col min="6" max="6" width="13.42578125" style="1" customWidth="1"/>
    <col min="7" max="7" width="20.42578125" style="1" customWidth="1"/>
    <col min="8" max="8" width="14.140625" style="1" customWidth="1"/>
    <col min="9" max="9" width="18.140625" style="1" customWidth="1"/>
    <col min="10" max="10" width="13.7109375" style="1" customWidth="1"/>
    <col min="11" max="11" width="12.85546875" style="1" customWidth="1"/>
    <col min="12" max="12" width="15.42578125" style="1" customWidth="1"/>
    <col min="13" max="13" width="12.140625" style="1" customWidth="1"/>
    <col min="14" max="14" width="16.42578125" style="1" customWidth="1"/>
    <col min="15" max="15" width="13.5703125" style="1" customWidth="1"/>
    <col min="16" max="16" width="13.7109375" style="1" customWidth="1"/>
    <col min="17" max="17" width="16" style="1" customWidth="1"/>
    <col min="18" max="18" width="12.7109375" style="1" customWidth="1"/>
    <col min="19" max="19" width="15" style="1" customWidth="1"/>
    <col min="20" max="20" width="26.5703125" style="1" customWidth="1"/>
    <col min="21" max="21" width="10.7109375" style="1" customWidth="1"/>
    <col min="22" max="22" width="11.42578125" style="1"/>
    <col min="23" max="23" width="12.7109375" style="1" customWidth="1"/>
    <col min="24" max="24" width="13.140625" style="1" customWidth="1"/>
    <col min="25" max="25" width="11.7109375" style="1" customWidth="1"/>
    <col min="26" max="26" width="11.42578125" style="1"/>
    <col min="27" max="27" width="14.85546875" style="1" customWidth="1"/>
    <col min="28" max="29" width="11.42578125" style="1"/>
    <col min="30" max="30" width="75.140625" style="1" customWidth="1"/>
    <col min="31" max="31" width="12.5703125" style="1" customWidth="1"/>
    <col min="32" max="32" width="13" style="1" customWidth="1"/>
    <col min="33" max="33" width="14.28515625" style="1" customWidth="1"/>
    <col min="34" max="34" width="13.7109375" style="1" customWidth="1"/>
    <col min="35" max="35" width="10.85546875" style="1" customWidth="1"/>
    <col min="36" max="36" width="12.28515625" style="1" customWidth="1"/>
    <col min="37" max="37" width="12.7109375" style="1" bestFit="1" customWidth="1"/>
    <col min="38" max="38" width="11.85546875" style="1" customWidth="1"/>
    <col min="39" max="39" width="10.85546875" style="1" customWidth="1"/>
    <col min="40" max="40" width="12.140625" style="1" customWidth="1"/>
    <col min="41" max="41" width="13.5703125" style="1" bestFit="1" customWidth="1"/>
    <col min="42" max="42" width="11" style="1" bestFit="1" customWidth="1"/>
    <col min="43" max="16384" width="11.42578125" style="1"/>
  </cols>
  <sheetData>
    <row r="1" spans="1:43" x14ac:dyDescent="0.25">
      <c r="A1" s="605" t="s">
        <v>0</v>
      </c>
      <c r="B1" s="605"/>
      <c r="C1" s="605"/>
      <c r="D1" s="605"/>
      <c r="E1" s="605"/>
      <c r="F1" s="605"/>
      <c r="G1" s="605"/>
      <c r="H1" s="605"/>
      <c r="I1" s="605"/>
      <c r="J1" s="605"/>
      <c r="K1" s="605"/>
      <c r="L1" s="605"/>
      <c r="M1" s="605"/>
      <c r="N1" s="605"/>
      <c r="O1" s="605"/>
      <c r="P1" s="605"/>
    </row>
    <row r="2" spans="1:43" x14ac:dyDescent="0.25">
      <c r="A2" s="605" t="s">
        <v>1</v>
      </c>
      <c r="B2" s="605"/>
      <c r="C2" s="605"/>
      <c r="D2" s="605"/>
      <c r="E2" s="605"/>
      <c r="F2" s="605"/>
      <c r="G2" s="605"/>
      <c r="H2" s="605"/>
      <c r="I2" s="605"/>
      <c r="J2" s="605"/>
      <c r="K2" s="605"/>
      <c r="L2" s="605"/>
      <c r="M2" s="605"/>
      <c r="N2" s="605"/>
      <c r="O2" s="605"/>
      <c r="P2" s="605"/>
    </row>
    <row r="3" spans="1:43" x14ac:dyDescent="0.25">
      <c r="A3" s="605" t="s">
        <v>61</v>
      </c>
      <c r="B3" s="605"/>
      <c r="C3" s="605"/>
      <c r="D3" s="605"/>
      <c r="E3" s="605"/>
      <c r="F3" s="605"/>
      <c r="G3" s="605"/>
      <c r="H3" s="605"/>
      <c r="I3" s="605"/>
      <c r="J3" s="605"/>
      <c r="K3" s="605"/>
      <c r="L3" s="605"/>
      <c r="M3" s="605"/>
      <c r="N3" s="605"/>
      <c r="O3" s="605"/>
      <c r="P3" s="605"/>
    </row>
    <row r="4" spans="1:43" x14ac:dyDescent="0.25">
      <c r="A4" s="605">
        <v>2013</v>
      </c>
      <c r="B4" s="605"/>
      <c r="C4" s="605"/>
      <c r="D4" s="605"/>
      <c r="E4" s="605"/>
      <c r="F4" s="605"/>
      <c r="G4" s="605"/>
      <c r="H4" s="605"/>
      <c r="I4" s="605"/>
      <c r="J4" s="605"/>
      <c r="K4" s="605"/>
      <c r="L4" s="605"/>
      <c r="M4" s="605"/>
      <c r="N4" s="605"/>
      <c r="O4" s="605"/>
      <c r="P4" s="605"/>
    </row>
    <row r="5" spans="1:43" x14ac:dyDescent="0.25">
      <c r="A5" s="606" t="s">
        <v>4</v>
      </c>
      <c r="B5" s="606"/>
      <c r="C5" s="24" t="s">
        <v>1565</v>
      </c>
      <c r="D5" s="24"/>
      <c r="E5" s="24"/>
      <c r="F5" s="24"/>
      <c r="G5" s="24"/>
      <c r="H5" s="24"/>
      <c r="I5" s="25"/>
      <c r="J5" s="25"/>
      <c r="K5" s="24"/>
      <c r="L5" s="25"/>
      <c r="M5" s="25"/>
      <c r="N5" s="25"/>
      <c r="O5" s="25"/>
      <c r="P5" s="25"/>
      <c r="Q5" s="27"/>
      <c r="R5" s="27"/>
      <c r="S5" s="27"/>
      <c r="T5" s="27"/>
      <c r="U5" s="27"/>
      <c r="V5" s="27"/>
      <c r="W5" s="27"/>
      <c r="X5" s="27"/>
      <c r="Y5" s="27"/>
      <c r="Z5" s="27"/>
      <c r="AA5" s="27"/>
      <c r="AB5" s="27"/>
      <c r="AC5" s="27"/>
      <c r="AD5" s="27"/>
    </row>
    <row r="7" spans="1:43" s="29" customFormat="1" ht="14.25"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3" ht="54"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1646</v>
      </c>
      <c r="AA8" s="32" t="s">
        <v>83</v>
      </c>
      <c r="AB8" s="31" t="s">
        <v>84</v>
      </c>
      <c r="AC8" s="31" t="s">
        <v>1647</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3" ht="180" x14ac:dyDescent="0.25">
      <c r="A9" s="34" t="s">
        <v>23</v>
      </c>
      <c r="B9" s="34" t="s">
        <v>136</v>
      </c>
      <c r="C9" s="34" t="s">
        <v>137</v>
      </c>
      <c r="D9" s="34">
        <v>211110000</v>
      </c>
      <c r="E9" s="74" t="s">
        <v>1568</v>
      </c>
      <c r="F9" s="34" t="s">
        <v>1569</v>
      </c>
      <c r="G9" s="34" t="s">
        <v>1570</v>
      </c>
      <c r="H9" s="36">
        <v>191000000</v>
      </c>
      <c r="I9" s="36">
        <v>0</v>
      </c>
      <c r="J9" s="36">
        <v>0</v>
      </c>
      <c r="K9" s="36">
        <v>0</v>
      </c>
      <c r="L9" s="36"/>
      <c r="M9" s="36"/>
      <c r="N9" s="36">
        <f>H9+K9</f>
        <v>191000000</v>
      </c>
      <c r="O9" s="36">
        <f>I9+L9</f>
        <v>0</v>
      </c>
      <c r="P9" s="36">
        <f>J9+M9</f>
        <v>0</v>
      </c>
      <c r="Q9" s="36">
        <v>0</v>
      </c>
      <c r="R9" s="36">
        <v>0</v>
      </c>
      <c r="S9" s="36">
        <f>Q9+R9</f>
        <v>0</v>
      </c>
      <c r="T9" s="37" t="s">
        <v>1648</v>
      </c>
      <c r="U9" s="37" t="s">
        <v>1649</v>
      </c>
      <c r="V9" s="37">
        <v>60</v>
      </c>
      <c r="W9" s="34">
        <v>60</v>
      </c>
      <c r="X9" s="34"/>
      <c r="Y9" s="34">
        <v>0</v>
      </c>
      <c r="Z9" s="34">
        <v>40</v>
      </c>
      <c r="AA9" s="34">
        <v>300</v>
      </c>
      <c r="AB9" s="34"/>
      <c r="AC9" s="34">
        <v>150</v>
      </c>
      <c r="AD9" s="34" t="s">
        <v>1572</v>
      </c>
      <c r="AE9" s="10">
        <v>0</v>
      </c>
      <c r="AF9" s="124">
        <v>0</v>
      </c>
      <c r="AG9" s="252">
        <v>63000000</v>
      </c>
      <c r="AH9" s="124">
        <v>0</v>
      </c>
      <c r="AI9" s="124">
        <v>0</v>
      </c>
      <c r="AJ9" s="252">
        <v>64000000</v>
      </c>
      <c r="AK9" s="124">
        <v>0</v>
      </c>
      <c r="AL9" s="124">
        <v>0</v>
      </c>
      <c r="AM9" s="124">
        <v>0</v>
      </c>
      <c r="AN9" s="124">
        <v>0</v>
      </c>
      <c r="AO9" s="252">
        <v>64000000</v>
      </c>
      <c r="AP9" s="124">
        <v>0</v>
      </c>
    </row>
    <row r="10" spans="1:43" ht="300" x14ac:dyDescent="0.25">
      <c r="A10" s="34" t="s">
        <v>23</v>
      </c>
      <c r="B10" s="34" t="s">
        <v>1573</v>
      </c>
      <c r="C10" s="34" t="s">
        <v>1574</v>
      </c>
      <c r="D10" s="34">
        <v>214210000</v>
      </c>
      <c r="E10" s="74" t="s">
        <v>1576</v>
      </c>
      <c r="F10" s="34" t="s">
        <v>1577</v>
      </c>
      <c r="G10" s="34" t="s">
        <v>1578</v>
      </c>
      <c r="H10" s="36">
        <v>4200000000</v>
      </c>
      <c r="I10" s="39">
        <v>4333863879</v>
      </c>
      <c r="J10" s="39">
        <v>133863879</v>
      </c>
      <c r="K10" s="39"/>
      <c r="L10" s="39"/>
      <c r="M10" s="39">
        <v>0</v>
      </c>
      <c r="N10" s="36">
        <f t="shared" ref="N10:P26" si="0">H10+K10</f>
        <v>4200000000</v>
      </c>
      <c r="O10" s="36">
        <f t="shared" si="0"/>
        <v>4333863879</v>
      </c>
      <c r="P10" s="36">
        <f t="shared" si="0"/>
        <v>133863879</v>
      </c>
      <c r="Q10" s="36"/>
      <c r="R10" s="36">
        <v>0</v>
      </c>
      <c r="S10" s="36">
        <f t="shared" ref="S10:S26" si="1">Q10+R10</f>
        <v>0</v>
      </c>
      <c r="T10" s="37" t="s">
        <v>1650</v>
      </c>
      <c r="U10" s="37" t="s">
        <v>316</v>
      </c>
      <c r="V10" s="37">
        <v>2817</v>
      </c>
      <c r="W10" s="10">
        <v>2817</v>
      </c>
      <c r="X10" s="10"/>
      <c r="Y10" s="10">
        <v>1163</v>
      </c>
      <c r="Z10" s="10">
        <v>2623</v>
      </c>
      <c r="AA10" s="34">
        <v>365</v>
      </c>
      <c r="AB10" s="11">
        <f>365/2</f>
        <v>182.5</v>
      </c>
      <c r="AC10" s="10">
        <v>240</v>
      </c>
      <c r="AD10" s="34" t="s">
        <v>1651</v>
      </c>
      <c r="AE10" s="39">
        <v>0</v>
      </c>
      <c r="AF10" s="253">
        <v>0</v>
      </c>
      <c r="AG10" s="253">
        <v>0</v>
      </c>
      <c r="AH10" s="253">
        <v>0</v>
      </c>
      <c r="AI10" s="253">
        <v>0</v>
      </c>
      <c r="AJ10" s="253">
        <v>0</v>
      </c>
      <c r="AK10" s="253">
        <v>2100000000</v>
      </c>
      <c r="AL10" s="253">
        <v>0</v>
      </c>
      <c r="AM10" s="253">
        <v>0</v>
      </c>
      <c r="AN10" s="253">
        <v>0</v>
      </c>
      <c r="AO10" s="253">
        <v>2100000000</v>
      </c>
      <c r="AP10" s="253">
        <v>0</v>
      </c>
    </row>
    <row r="11" spans="1:43" ht="360" x14ac:dyDescent="0.25">
      <c r="A11" s="34" t="s">
        <v>23</v>
      </c>
      <c r="B11" s="34" t="s">
        <v>1573</v>
      </c>
      <c r="C11" s="34" t="s">
        <v>1574</v>
      </c>
      <c r="D11" s="34">
        <v>214220000</v>
      </c>
      <c r="E11" s="74" t="s">
        <v>1582</v>
      </c>
      <c r="F11" s="34" t="s">
        <v>1583</v>
      </c>
      <c r="G11" s="34" t="s">
        <v>1584</v>
      </c>
      <c r="H11" s="36">
        <v>1584000000</v>
      </c>
      <c r="I11" s="39">
        <v>3513675812</v>
      </c>
      <c r="J11" s="39">
        <v>3513675812</v>
      </c>
      <c r="K11" s="39"/>
      <c r="L11" s="254">
        <v>199950000</v>
      </c>
      <c r="M11" s="39">
        <v>0</v>
      </c>
      <c r="N11" s="36">
        <f t="shared" si="0"/>
        <v>1584000000</v>
      </c>
      <c r="O11" s="36">
        <f t="shared" si="0"/>
        <v>3713625812</v>
      </c>
      <c r="P11" s="36">
        <f t="shared" si="0"/>
        <v>3513675812</v>
      </c>
      <c r="Q11" s="39">
        <v>1345723737</v>
      </c>
      <c r="R11" s="36">
        <f>M11</f>
        <v>0</v>
      </c>
      <c r="S11" s="36">
        <f>Q11+R11</f>
        <v>1345723737</v>
      </c>
      <c r="T11" s="37" t="s">
        <v>1652</v>
      </c>
      <c r="U11" s="37" t="s">
        <v>316</v>
      </c>
      <c r="V11" s="37">
        <v>310</v>
      </c>
      <c r="W11" s="10">
        <v>310</v>
      </c>
      <c r="X11" s="10"/>
      <c r="Y11" s="10">
        <v>91</v>
      </c>
      <c r="Z11" s="10">
        <v>244</v>
      </c>
      <c r="AA11" s="34">
        <v>300</v>
      </c>
      <c r="AB11" s="10">
        <f>30*5</f>
        <v>150</v>
      </c>
      <c r="AC11" s="10">
        <v>240</v>
      </c>
      <c r="AD11" s="38" t="s">
        <v>1586</v>
      </c>
      <c r="AE11" s="10">
        <v>0</v>
      </c>
      <c r="AF11" s="124">
        <v>0</v>
      </c>
      <c r="AG11" s="124">
        <v>150000000</v>
      </c>
      <c r="AH11" s="124">
        <v>0</v>
      </c>
      <c r="AI11" s="124">
        <v>380000000</v>
      </c>
      <c r="AJ11" s="124">
        <v>0</v>
      </c>
      <c r="AK11" s="124">
        <v>400000000</v>
      </c>
      <c r="AL11" s="124">
        <v>0</v>
      </c>
      <c r="AM11" s="124">
        <v>354000000</v>
      </c>
      <c r="AN11" s="124">
        <v>0</v>
      </c>
      <c r="AO11" s="124">
        <v>300000000</v>
      </c>
      <c r="AP11" s="124">
        <v>0</v>
      </c>
    </row>
    <row r="12" spans="1:43" ht="252" x14ac:dyDescent="0.25">
      <c r="A12" s="34" t="s">
        <v>23</v>
      </c>
      <c r="B12" s="34" t="s">
        <v>1573</v>
      </c>
      <c r="C12" s="34" t="s">
        <v>1574</v>
      </c>
      <c r="D12" s="34">
        <v>214230000</v>
      </c>
      <c r="E12" s="74" t="s">
        <v>1588</v>
      </c>
      <c r="F12" s="34" t="s">
        <v>1589</v>
      </c>
      <c r="G12" s="34" t="s">
        <v>1590</v>
      </c>
      <c r="H12" s="36">
        <v>630000000</v>
      </c>
      <c r="I12" s="39">
        <v>0</v>
      </c>
      <c r="J12" s="39">
        <v>0</v>
      </c>
      <c r="K12" s="39"/>
      <c r="L12" s="39"/>
      <c r="M12" s="39"/>
      <c r="N12" s="36">
        <f t="shared" si="0"/>
        <v>630000000</v>
      </c>
      <c r="O12" s="36">
        <f t="shared" si="0"/>
        <v>0</v>
      </c>
      <c r="P12" s="36">
        <f t="shared" si="0"/>
        <v>0</v>
      </c>
      <c r="Q12" s="36">
        <v>0</v>
      </c>
      <c r="R12" s="36">
        <f t="shared" ref="R12:R25" si="2">M12</f>
        <v>0</v>
      </c>
      <c r="S12" s="36">
        <f t="shared" si="1"/>
        <v>0</v>
      </c>
      <c r="T12" s="37" t="s">
        <v>1653</v>
      </c>
      <c r="U12" s="37" t="s">
        <v>316</v>
      </c>
      <c r="V12" s="37">
        <v>1800</v>
      </c>
      <c r="W12" s="10">
        <v>1800</v>
      </c>
      <c r="X12" s="10"/>
      <c r="Y12" s="10">
        <v>349</v>
      </c>
      <c r="Z12" s="10">
        <v>1236</v>
      </c>
      <c r="AA12" s="34">
        <v>330</v>
      </c>
      <c r="AB12" s="10">
        <f>30*5</f>
        <v>150</v>
      </c>
      <c r="AC12" s="10">
        <v>180</v>
      </c>
      <c r="AD12" s="34" t="s">
        <v>1654</v>
      </c>
      <c r="AE12" s="10">
        <v>0</v>
      </c>
      <c r="AF12" s="124">
        <v>100000000</v>
      </c>
      <c r="AG12" s="124">
        <v>0</v>
      </c>
      <c r="AH12" s="124">
        <v>100000000</v>
      </c>
      <c r="AI12" s="124">
        <v>0</v>
      </c>
      <c r="AJ12" s="124">
        <v>130000000</v>
      </c>
      <c r="AK12" s="124">
        <v>0</v>
      </c>
      <c r="AL12" s="124">
        <v>100000000</v>
      </c>
      <c r="AM12" s="124">
        <v>0</v>
      </c>
      <c r="AN12" s="124">
        <v>100000000</v>
      </c>
      <c r="AO12" s="124">
        <v>0</v>
      </c>
      <c r="AP12" s="124">
        <v>100000000</v>
      </c>
    </row>
    <row r="13" spans="1:43" ht="60" x14ac:dyDescent="0.25">
      <c r="A13" s="34" t="s">
        <v>156</v>
      </c>
      <c r="B13" s="34" t="s">
        <v>982</v>
      </c>
      <c r="C13" s="34" t="s">
        <v>983</v>
      </c>
      <c r="D13" s="34">
        <v>222350000</v>
      </c>
      <c r="E13" s="74" t="s">
        <v>1594</v>
      </c>
      <c r="F13" s="34" t="s">
        <v>1595</v>
      </c>
      <c r="G13" s="34" t="s">
        <v>1596</v>
      </c>
      <c r="H13" s="36">
        <v>5579837175</v>
      </c>
      <c r="I13" s="39">
        <v>20380675201</v>
      </c>
      <c r="J13" s="255">
        <v>14013971363</v>
      </c>
      <c r="K13" s="39"/>
      <c r="L13" s="254">
        <v>420582915</v>
      </c>
      <c r="M13" s="255">
        <v>4389394924</v>
      </c>
      <c r="N13" s="36">
        <f t="shared" si="0"/>
        <v>5579837175</v>
      </c>
      <c r="O13" s="36">
        <f t="shared" si="0"/>
        <v>20801258116</v>
      </c>
      <c r="P13" s="36">
        <f t="shared" si="0"/>
        <v>18403366287</v>
      </c>
      <c r="Q13" s="39">
        <v>11343479489</v>
      </c>
      <c r="R13" s="36">
        <v>2368857884</v>
      </c>
      <c r="S13" s="36">
        <f t="shared" si="1"/>
        <v>13712337373</v>
      </c>
      <c r="T13" s="37">
        <v>0</v>
      </c>
      <c r="U13" s="37">
        <v>0</v>
      </c>
      <c r="V13" s="37">
        <v>0</v>
      </c>
      <c r="W13" s="10"/>
      <c r="X13" s="10"/>
      <c r="Y13" s="10"/>
      <c r="Z13" s="10"/>
      <c r="AA13" s="34">
        <v>0</v>
      </c>
      <c r="AB13" s="10"/>
      <c r="AC13" s="10"/>
      <c r="AD13" s="10"/>
      <c r="AE13" s="10">
        <v>250000000</v>
      </c>
      <c r="AF13" s="124">
        <v>250000000</v>
      </c>
      <c r="AG13" s="124">
        <v>250000000</v>
      </c>
      <c r="AH13" s="124">
        <v>1250000000</v>
      </c>
      <c r="AI13" s="124">
        <v>250000000</v>
      </c>
      <c r="AJ13" s="124">
        <v>250000000</v>
      </c>
      <c r="AK13" s="124">
        <v>1250000000</v>
      </c>
      <c r="AL13" s="124">
        <v>250000000</v>
      </c>
      <c r="AM13" s="124">
        <v>279837000</v>
      </c>
      <c r="AN13" s="124">
        <v>300000000</v>
      </c>
      <c r="AO13" s="124">
        <v>1000000000</v>
      </c>
      <c r="AP13" s="124">
        <v>0</v>
      </c>
    </row>
    <row r="14" spans="1:43" ht="240" x14ac:dyDescent="0.25">
      <c r="A14" s="34">
        <v>0</v>
      </c>
      <c r="B14" s="34">
        <v>0</v>
      </c>
      <c r="C14" s="34">
        <v>0</v>
      </c>
      <c r="D14" s="34">
        <v>0</v>
      </c>
      <c r="E14" s="74">
        <v>0</v>
      </c>
      <c r="F14" s="34">
        <v>0</v>
      </c>
      <c r="G14" s="34">
        <v>0</v>
      </c>
      <c r="H14" s="36">
        <v>0</v>
      </c>
      <c r="I14" s="39"/>
      <c r="J14" s="39"/>
      <c r="K14" s="39"/>
      <c r="L14" s="39"/>
      <c r="M14" s="39"/>
      <c r="N14" s="36">
        <f t="shared" si="0"/>
        <v>0</v>
      </c>
      <c r="O14" s="36">
        <f t="shared" si="0"/>
        <v>0</v>
      </c>
      <c r="P14" s="36">
        <f t="shared" si="0"/>
        <v>0</v>
      </c>
      <c r="Q14" s="36"/>
      <c r="R14" s="36">
        <f t="shared" si="2"/>
        <v>0</v>
      </c>
      <c r="S14" s="36">
        <f t="shared" si="1"/>
        <v>0</v>
      </c>
      <c r="T14" s="37" t="s">
        <v>1599</v>
      </c>
      <c r="U14" s="37" t="s">
        <v>316</v>
      </c>
      <c r="V14" s="37">
        <v>340</v>
      </c>
      <c r="W14" s="10">
        <v>340</v>
      </c>
      <c r="X14" s="10"/>
      <c r="Y14" s="10">
        <v>0</v>
      </c>
      <c r="Z14" s="10">
        <v>239</v>
      </c>
      <c r="AA14" s="34">
        <v>300</v>
      </c>
      <c r="AB14" s="10"/>
      <c r="AC14" s="10">
        <v>100</v>
      </c>
      <c r="AD14" s="34" t="s">
        <v>1655</v>
      </c>
      <c r="AE14" s="10">
        <v>0</v>
      </c>
      <c r="AF14" s="124">
        <v>0</v>
      </c>
      <c r="AG14" s="124">
        <v>0</v>
      </c>
      <c r="AH14" s="124">
        <v>0</v>
      </c>
      <c r="AI14" s="124">
        <v>0</v>
      </c>
      <c r="AJ14" s="124">
        <v>0</v>
      </c>
      <c r="AK14" s="124">
        <v>0</v>
      </c>
      <c r="AL14" s="124">
        <v>0</v>
      </c>
      <c r="AM14" s="124">
        <v>0</v>
      </c>
      <c r="AN14" s="124">
        <v>0</v>
      </c>
      <c r="AO14" s="124">
        <v>0</v>
      </c>
      <c r="AP14" s="124">
        <v>0</v>
      </c>
    </row>
    <row r="15" spans="1:43" ht="60" x14ac:dyDescent="0.25">
      <c r="A15" s="34">
        <v>0</v>
      </c>
      <c r="B15" s="34">
        <v>0</v>
      </c>
      <c r="C15" s="34">
        <v>0</v>
      </c>
      <c r="D15" s="34">
        <v>0</v>
      </c>
      <c r="E15" s="74">
        <v>0</v>
      </c>
      <c r="F15" s="34">
        <v>0</v>
      </c>
      <c r="G15" s="34">
        <v>0</v>
      </c>
      <c r="H15" s="36">
        <v>0</v>
      </c>
      <c r="I15" s="39"/>
      <c r="J15" s="39"/>
      <c r="K15" s="39"/>
      <c r="L15" s="39"/>
      <c r="M15" s="39"/>
      <c r="N15" s="36">
        <f t="shared" si="0"/>
        <v>0</v>
      </c>
      <c r="O15" s="36">
        <f t="shared" si="0"/>
        <v>0</v>
      </c>
      <c r="P15" s="36">
        <f t="shared" si="0"/>
        <v>0</v>
      </c>
      <c r="Q15" s="36"/>
      <c r="R15" s="36">
        <f t="shared" si="2"/>
        <v>0</v>
      </c>
      <c r="S15" s="36">
        <f t="shared" si="1"/>
        <v>0</v>
      </c>
      <c r="T15" s="37" t="s">
        <v>1656</v>
      </c>
      <c r="U15" s="37" t="s">
        <v>316</v>
      </c>
      <c r="V15" s="37">
        <v>20</v>
      </c>
      <c r="W15" s="10">
        <v>20</v>
      </c>
      <c r="X15" s="10"/>
      <c r="Y15" s="10">
        <v>0</v>
      </c>
      <c r="Z15" s="10">
        <v>84</v>
      </c>
      <c r="AA15" s="34">
        <v>300</v>
      </c>
      <c r="AB15" s="10"/>
      <c r="AC15" s="10">
        <v>140</v>
      </c>
      <c r="AD15" s="34" t="s">
        <v>1598</v>
      </c>
      <c r="AE15" s="10">
        <v>0</v>
      </c>
      <c r="AF15" s="124">
        <v>0</v>
      </c>
      <c r="AG15" s="124">
        <v>0</v>
      </c>
      <c r="AH15" s="124">
        <v>0</v>
      </c>
      <c r="AI15" s="124">
        <v>0</v>
      </c>
      <c r="AJ15" s="124">
        <v>0</v>
      </c>
      <c r="AK15" s="124">
        <v>0</v>
      </c>
      <c r="AL15" s="124">
        <v>0</v>
      </c>
      <c r="AM15" s="124">
        <v>0</v>
      </c>
      <c r="AN15" s="124">
        <v>0</v>
      </c>
      <c r="AO15" s="124">
        <v>0</v>
      </c>
      <c r="AP15" s="124">
        <v>0</v>
      </c>
    </row>
    <row r="16" spans="1:43" ht="90" x14ac:dyDescent="0.25">
      <c r="A16" s="34">
        <v>0</v>
      </c>
      <c r="B16" s="34">
        <v>0</v>
      </c>
      <c r="C16" s="34">
        <v>0</v>
      </c>
      <c r="D16" s="34">
        <v>0</v>
      </c>
      <c r="E16" s="74">
        <v>0</v>
      </c>
      <c r="F16" s="34">
        <v>0</v>
      </c>
      <c r="G16" s="34">
        <v>0</v>
      </c>
      <c r="H16" s="36">
        <v>0</v>
      </c>
      <c r="I16" s="39"/>
      <c r="J16" s="39"/>
      <c r="K16" s="39"/>
      <c r="L16" s="39"/>
      <c r="M16" s="39"/>
      <c r="N16" s="36">
        <f t="shared" si="0"/>
        <v>0</v>
      </c>
      <c r="O16" s="36">
        <f t="shared" si="0"/>
        <v>0</v>
      </c>
      <c r="P16" s="36">
        <f t="shared" si="0"/>
        <v>0</v>
      </c>
      <c r="Q16" s="36"/>
      <c r="R16" s="36">
        <f t="shared" si="2"/>
        <v>0</v>
      </c>
      <c r="S16" s="36">
        <f t="shared" si="1"/>
        <v>0</v>
      </c>
      <c r="T16" s="37" t="s">
        <v>1657</v>
      </c>
      <c r="U16" s="37" t="s">
        <v>316</v>
      </c>
      <c r="V16" s="37">
        <v>10</v>
      </c>
      <c r="W16" s="10">
        <v>10</v>
      </c>
      <c r="X16" s="10"/>
      <c r="Y16" s="10">
        <v>4</v>
      </c>
      <c r="Z16" s="10">
        <v>4</v>
      </c>
      <c r="AA16" s="34">
        <v>330</v>
      </c>
      <c r="AB16" s="10">
        <v>46</v>
      </c>
      <c r="AC16" s="10">
        <v>220</v>
      </c>
      <c r="AD16" s="34" t="s">
        <v>1658</v>
      </c>
      <c r="AE16" s="10">
        <v>0</v>
      </c>
      <c r="AF16" s="124">
        <v>0</v>
      </c>
      <c r="AG16" s="124">
        <v>0</v>
      </c>
      <c r="AH16" s="124">
        <v>0</v>
      </c>
      <c r="AI16" s="124">
        <v>0</v>
      </c>
      <c r="AJ16" s="124">
        <v>0</v>
      </c>
      <c r="AK16" s="124">
        <v>0</v>
      </c>
      <c r="AL16" s="124">
        <v>0</v>
      </c>
      <c r="AM16" s="124">
        <v>0</v>
      </c>
      <c r="AN16" s="124">
        <v>0</v>
      </c>
      <c r="AO16" s="124">
        <v>0</v>
      </c>
      <c r="AP16" s="124">
        <v>0</v>
      </c>
      <c r="AQ16" s="256" t="s">
        <v>1659</v>
      </c>
    </row>
    <row r="17" spans="1:44" ht="156" x14ac:dyDescent="0.25">
      <c r="A17" s="34" t="s">
        <v>156</v>
      </c>
      <c r="B17" s="34" t="s">
        <v>982</v>
      </c>
      <c r="C17" s="34" t="s">
        <v>983</v>
      </c>
      <c r="D17" s="34">
        <v>222360000</v>
      </c>
      <c r="E17" s="74" t="s">
        <v>1602</v>
      </c>
      <c r="F17" s="34" t="s">
        <v>1603</v>
      </c>
      <c r="G17" s="34" t="s">
        <v>1604</v>
      </c>
      <c r="H17" s="36">
        <v>3350000000</v>
      </c>
      <c r="I17" s="39">
        <v>4100000000</v>
      </c>
      <c r="J17" s="39">
        <v>2502660000</v>
      </c>
      <c r="K17" s="39"/>
      <c r="L17" s="39"/>
      <c r="M17" s="39"/>
      <c r="N17" s="36">
        <f t="shared" si="0"/>
        <v>3350000000</v>
      </c>
      <c r="O17" s="36">
        <f t="shared" si="0"/>
        <v>4100000000</v>
      </c>
      <c r="P17" s="36">
        <f t="shared" si="0"/>
        <v>2502660000</v>
      </c>
      <c r="Q17" s="36">
        <v>2502660000</v>
      </c>
      <c r="R17" s="36">
        <f t="shared" si="2"/>
        <v>0</v>
      </c>
      <c r="S17" s="36">
        <f t="shared" si="1"/>
        <v>2502660000</v>
      </c>
      <c r="T17" s="37" t="s">
        <v>1660</v>
      </c>
      <c r="U17" s="37" t="s">
        <v>316</v>
      </c>
      <c r="V17" s="37">
        <v>1</v>
      </c>
      <c r="W17" s="10">
        <v>1</v>
      </c>
      <c r="X17" s="10"/>
      <c r="Y17" s="10">
        <v>0</v>
      </c>
      <c r="Z17" s="10">
        <v>0</v>
      </c>
      <c r="AA17" s="34">
        <v>300</v>
      </c>
      <c r="AB17" s="10"/>
      <c r="AC17" s="10"/>
      <c r="AD17" s="34" t="s">
        <v>1606</v>
      </c>
      <c r="AE17" s="10">
        <v>0</v>
      </c>
      <c r="AF17" s="124">
        <v>0</v>
      </c>
      <c r="AG17" s="124">
        <v>0</v>
      </c>
      <c r="AH17" s="124">
        <v>1000000000</v>
      </c>
      <c r="AI17" s="124">
        <v>0</v>
      </c>
      <c r="AJ17" s="124">
        <v>0</v>
      </c>
      <c r="AK17" s="124">
        <v>1350000000</v>
      </c>
      <c r="AL17" s="124">
        <v>0</v>
      </c>
      <c r="AM17" s="124">
        <v>0</v>
      </c>
      <c r="AN17" s="124">
        <v>0</v>
      </c>
      <c r="AO17" s="124">
        <v>0</v>
      </c>
      <c r="AP17" s="124">
        <v>1000000000</v>
      </c>
    </row>
    <row r="18" spans="1:44" ht="120" x14ac:dyDescent="0.25">
      <c r="A18" s="34" t="s">
        <v>156</v>
      </c>
      <c r="B18" s="34" t="s">
        <v>982</v>
      </c>
      <c r="C18" s="34" t="s">
        <v>1006</v>
      </c>
      <c r="D18" s="34">
        <v>222730000</v>
      </c>
      <c r="E18" s="74" t="s">
        <v>1608</v>
      </c>
      <c r="F18" s="34" t="s">
        <v>1609</v>
      </c>
      <c r="G18" s="34" t="s">
        <v>1610</v>
      </c>
      <c r="H18" s="36">
        <v>193779060</v>
      </c>
      <c r="I18" s="39">
        <v>415138340</v>
      </c>
      <c r="J18" s="39">
        <v>415138340</v>
      </c>
      <c r="K18" s="39"/>
      <c r="L18" s="39"/>
      <c r="M18" s="39">
        <v>21450000</v>
      </c>
      <c r="N18" s="36">
        <f t="shared" si="0"/>
        <v>193779060</v>
      </c>
      <c r="O18" s="36">
        <f t="shared" si="0"/>
        <v>415138340</v>
      </c>
      <c r="P18" s="36">
        <f t="shared" si="0"/>
        <v>436588340</v>
      </c>
      <c r="Q18" s="36">
        <v>415050308</v>
      </c>
      <c r="R18" s="36">
        <v>21450000</v>
      </c>
      <c r="S18" s="36">
        <f t="shared" si="1"/>
        <v>436500308</v>
      </c>
      <c r="T18" s="37">
        <v>0</v>
      </c>
      <c r="U18" s="37">
        <v>0</v>
      </c>
      <c r="V18" s="37">
        <v>0</v>
      </c>
      <c r="W18" s="10"/>
      <c r="X18" s="10"/>
      <c r="Y18" s="10"/>
      <c r="Z18" s="10"/>
      <c r="AA18" s="34">
        <v>0</v>
      </c>
      <c r="AB18" s="10"/>
      <c r="AC18" s="10"/>
      <c r="AD18" s="10"/>
      <c r="AE18" s="10">
        <v>0</v>
      </c>
      <c r="AF18" s="124">
        <v>0</v>
      </c>
      <c r="AG18" s="124">
        <v>0</v>
      </c>
      <c r="AH18" s="124">
        <v>0</v>
      </c>
      <c r="AI18" s="124">
        <v>50000000</v>
      </c>
      <c r="AJ18" s="124">
        <v>0</v>
      </c>
      <c r="AK18" s="124">
        <v>93779000</v>
      </c>
      <c r="AL18" s="124">
        <v>0</v>
      </c>
      <c r="AM18" s="124">
        <v>50000000</v>
      </c>
      <c r="AN18" s="124">
        <v>0</v>
      </c>
      <c r="AO18" s="124">
        <v>0</v>
      </c>
      <c r="AP18" s="124">
        <v>0</v>
      </c>
    </row>
    <row r="19" spans="1:44" ht="216" x14ac:dyDescent="0.25">
      <c r="A19" s="34">
        <v>0</v>
      </c>
      <c r="B19" s="34">
        <v>0</v>
      </c>
      <c r="C19" s="34">
        <v>0</v>
      </c>
      <c r="D19" s="34">
        <v>0</v>
      </c>
      <c r="E19" s="74">
        <v>0</v>
      </c>
      <c r="F19" s="34">
        <v>0</v>
      </c>
      <c r="G19" s="34">
        <v>0</v>
      </c>
      <c r="H19" s="36">
        <v>0</v>
      </c>
      <c r="I19" s="39"/>
      <c r="J19" s="39"/>
      <c r="K19" s="39"/>
      <c r="L19" s="39"/>
      <c r="M19" s="39"/>
      <c r="N19" s="36">
        <f t="shared" si="0"/>
        <v>0</v>
      </c>
      <c r="O19" s="36">
        <f t="shared" si="0"/>
        <v>0</v>
      </c>
      <c r="P19" s="36">
        <f t="shared" si="0"/>
        <v>0</v>
      </c>
      <c r="Q19" s="36"/>
      <c r="R19" s="36">
        <f t="shared" si="2"/>
        <v>0</v>
      </c>
      <c r="S19" s="36">
        <f t="shared" si="1"/>
        <v>0</v>
      </c>
      <c r="T19" s="37" t="s">
        <v>1661</v>
      </c>
      <c r="U19" s="37" t="s">
        <v>316</v>
      </c>
      <c r="V19" s="37">
        <v>10</v>
      </c>
      <c r="W19" s="10">
        <v>10</v>
      </c>
      <c r="X19" s="10"/>
      <c r="Y19" s="10">
        <v>0</v>
      </c>
      <c r="Z19" s="10">
        <v>15</v>
      </c>
      <c r="AA19" s="34">
        <v>300</v>
      </c>
      <c r="AB19" s="10"/>
      <c r="AC19" s="10">
        <v>140</v>
      </c>
      <c r="AD19" s="34" t="s">
        <v>1662</v>
      </c>
      <c r="AE19" s="10">
        <v>0</v>
      </c>
      <c r="AF19" s="124">
        <v>0</v>
      </c>
      <c r="AG19" s="124">
        <v>0</v>
      </c>
      <c r="AH19" s="124">
        <v>0</v>
      </c>
      <c r="AI19" s="124">
        <v>0</v>
      </c>
      <c r="AJ19" s="124">
        <v>0</v>
      </c>
      <c r="AK19" s="124">
        <v>0</v>
      </c>
      <c r="AL19" s="124">
        <v>0</v>
      </c>
      <c r="AM19" s="124">
        <v>0</v>
      </c>
      <c r="AN19" s="124">
        <v>0</v>
      </c>
      <c r="AO19" s="124">
        <v>0</v>
      </c>
      <c r="AP19" s="124">
        <v>0</v>
      </c>
    </row>
    <row r="20" spans="1:44" ht="84" x14ac:dyDescent="0.25">
      <c r="A20" s="34">
        <v>0</v>
      </c>
      <c r="B20" s="34">
        <v>0</v>
      </c>
      <c r="C20" s="34">
        <v>0</v>
      </c>
      <c r="D20" s="34">
        <v>0</v>
      </c>
      <c r="E20" s="74">
        <v>0</v>
      </c>
      <c r="F20" s="34">
        <v>0</v>
      </c>
      <c r="G20" s="34">
        <v>0</v>
      </c>
      <c r="H20" s="36">
        <v>0</v>
      </c>
      <c r="I20" s="39"/>
      <c r="J20" s="39"/>
      <c r="K20" s="39"/>
      <c r="L20" s="39"/>
      <c r="M20" s="39"/>
      <c r="N20" s="36">
        <f t="shared" si="0"/>
        <v>0</v>
      </c>
      <c r="O20" s="36">
        <f t="shared" si="0"/>
        <v>0</v>
      </c>
      <c r="P20" s="36">
        <f t="shared" si="0"/>
        <v>0</v>
      </c>
      <c r="Q20" s="36"/>
      <c r="R20" s="36">
        <f t="shared" si="2"/>
        <v>0</v>
      </c>
      <c r="S20" s="36">
        <f t="shared" si="1"/>
        <v>0</v>
      </c>
      <c r="T20" s="37" t="s">
        <v>1663</v>
      </c>
      <c r="U20" s="37" t="s">
        <v>316</v>
      </c>
      <c r="V20" s="37">
        <v>5</v>
      </c>
      <c r="W20" s="10">
        <v>5</v>
      </c>
      <c r="X20" s="10"/>
      <c r="Y20" s="10">
        <v>0</v>
      </c>
      <c r="Z20" s="10">
        <v>0</v>
      </c>
      <c r="AA20" s="34">
        <v>300</v>
      </c>
      <c r="AB20" s="10"/>
      <c r="AC20" s="10">
        <v>0</v>
      </c>
      <c r="AD20" s="34" t="s">
        <v>1664</v>
      </c>
      <c r="AE20" s="10">
        <v>0</v>
      </c>
      <c r="AF20" s="124">
        <v>0</v>
      </c>
      <c r="AG20" s="124">
        <v>0</v>
      </c>
      <c r="AH20" s="124">
        <v>0</v>
      </c>
      <c r="AI20" s="124">
        <v>0</v>
      </c>
      <c r="AJ20" s="124">
        <v>0</v>
      </c>
      <c r="AK20" s="124">
        <v>0</v>
      </c>
      <c r="AL20" s="124">
        <v>0</v>
      </c>
      <c r="AM20" s="124">
        <v>0</v>
      </c>
      <c r="AN20" s="124">
        <v>0</v>
      </c>
      <c r="AO20" s="124">
        <v>0</v>
      </c>
      <c r="AP20" s="124">
        <v>0</v>
      </c>
    </row>
    <row r="21" spans="1:44" ht="168" x14ac:dyDescent="0.25">
      <c r="A21" s="34" t="s">
        <v>1615</v>
      </c>
      <c r="B21" s="34" t="s">
        <v>1616</v>
      </c>
      <c r="C21" s="34" t="s">
        <v>1617</v>
      </c>
      <c r="D21" s="34">
        <v>234220005</v>
      </c>
      <c r="E21" s="74" t="s">
        <v>1619</v>
      </c>
      <c r="F21" s="34" t="s">
        <v>1620</v>
      </c>
      <c r="G21" s="34" t="s">
        <v>1621</v>
      </c>
      <c r="H21" s="36">
        <v>200000000</v>
      </c>
      <c r="I21" s="39">
        <v>200000000</v>
      </c>
      <c r="J21" s="39">
        <v>0</v>
      </c>
      <c r="K21" s="39"/>
      <c r="L21" s="39"/>
      <c r="M21" s="39"/>
      <c r="N21" s="36">
        <f t="shared" si="0"/>
        <v>200000000</v>
      </c>
      <c r="O21" s="36">
        <f t="shared" si="0"/>
        <v>200000000</v>
      </c>
      <c r="P21" s="36">
        <f t="shared" si="0"/>
        <v>0</v>
      </c>
      <c r="Q21" s="36">
        <v>0</v>
      </c>
      <c r="R21" s="36">
        <v>0</v>
      </c>
      <c r="S21" s="36">
        <f t="shared" si="1"/>
        <v>0</v>
      </c>
      <c r="T21" s="37" t="s">
        <v>1665</v>
      </c>
      <c r="U21" s="37" t="s">
        <v>316</v>
      </c>
      <c r="V21" s="37">
        <v>40</v>
      </c>
      <c r="W21" s="10">
        <v>40</v>
      </c>
      <c r="X21" s="10"/>
      <c r="Y21" s="10">
        <v>0</v>
      </c>
      <c r="Z21" s="10">
        <v>86</v>
      </c>
      <c r="AA21" s="34">
        <v>300</v>
      </c>
      <c r="AB21" s="10"/>
      <c r="AC21" s="10">
        <v>220</v>
      </c>
      <c r="AD21" s="34" t="s">
        <v>1624</v>
      </c>
      <c r="AE21" s="10">
        <v>0</v>
      </c>
      <c r="AF21" s="124">
        <v>0</v>
      </c>
      <c r="AG21" s="124">
        <v>50000000</v>
      </c>
      <c r="AH21" s="124">
        <v>0</v>
      </c>
      <c r="AI21" s="124">
        <v>0</v>
      </c>
      <c r="AJ21" s="124">
        <v>100000000</v>
      </c>
      <c r="AK21" s="124">
        <v>0</v>
      </c>
      <c r="AL21" s="124">
        <v>0</v>
      </c>
      <c r="AM21" s="124">
        <v>0</v>
      </c>
      <c r="AN21" s="124">
        <v>0</v>
      </c>
      <c r="AO21" s="124">
        <v>50000000</v>
      </c>
      <c r="AP21" s="124">
        <v>0</v>
      </c>
    </row>
    <row r="22" spans="1:44" ht="132" x14ac:dyDescent="0.25">
      <c r="A22" s="34" t="s">
        <v>275</v>
      </c>
      <c r="B22" s="34" t="s">
        <v>1073</v>
      </c>
      <c r="C22" s="34" t="s">
        <v>1625</v>
      </c>
      <c r="D22" s="34">
        <v>252210000</v>
      </c>
      <c r="E22" s="74" t="s">
        <v>1627</v>
      </c>
      <c r="F22" s="34" t="s">
        <v>1628</v>
      </c>
      <c r="G22" s="34" t="s">
        <v>1629</v>
      </c>
      <c r="H22" s="36">
        <v>1500000000</v>
      </c>
      <c r="I22" s="39">
        <v>1744968628</v>
      </c>
      <c r="J22" s="39">
        <v>1759968628</v>
      </c>
      <c r="K22" s="39"/>
      <c r="L22" s="39"/>
      <c r="M22" s="39"/>
      <c r="N22" s="36">
        <f t="shared" si="0"/>
        <v>1500000000</v>
      </c>
      <c r="O22" s="36">
        <f t="shared" si="0"/>
        <v>1744968628</v>
      </c>
      <c r="P22" s="36">
        <f t="shared" si="0"/>
        <v>1759968628</v>
      </c>
      <c r="Q22" s="39">
        <v>1323088464</v>
      </c>
      <c r="R22" s="36">
        <f t="shared" si="2"/>
        <v>0</v>
      </c>
      <c r="S22" s="36">
        <f t="shared" si="1"/>
        <v>1323088464</v>
      </c>
      <c r="T22" s="37" t="s">
        <v>1666</v>
      </c>
      <c r="U22" s="37" t="s">
        <v>316</v>
      </c>
      <c r="V22" s="37">
        <v>1500</v>
      </c>
      <c r="W22" s="10">
        <v>1500</v>
      </c>
      <c r="X22" s="10"/>
      <c r="Y22" s="10">
        <v>738</v>
      </c>
      <c r="Z22" s="10"/>
      <c r="AA22" s="34">
        <v>300</v>
      </c>
      <c r="AB22" s="10">
        <f>6*30</f>
        <v>180</v>
      </c>
      <c r="AC22" s="10">
        <v>240</v>
      </c>
      <c r="AD22" s="34" t="s">
        <v>1667</v>
      </c>
      <c r="AE22" s="10">
        <v>150000000</v>
      </c>
      <c r="AF22" s="124">
        <v>150000000</v>
      </c>
      <c r="AG22" s="124">
        <v>150000000</v>
      </c>
      <c r="AH22" s="124">
        <v>150000000</v>
      </c>
      <c r="AI22" s="124">
        <v>150000000</v>
      </c>
      <c r="AJ22" s="124">
        <v>150000000</v>
      </c>
      <c r="AK22" s="124">
        <v>150000000</v>
      </c>
      <c r="AL22" s="124">
        <v>150000000</v>
      </c>
      <c r="AM22" s="124">
        <v>150000000</v>
      </c>
      <c r="AN22" s="124">
        <v>150000000</v>
      </c>
      <c r="AO22" s="124">
        <v>0</v>
      </c>
      <c r="AP22" s="124">
        <v>0</v>
      </c>
    </row>
    <row r="23" spans="1:44" ht="48" x14ac:dyDescent="0.25">
      <c r="A23" s="34" t="s">
        <v>275</v>
      </c>
      <c r="B23" s="34" t="s">
        <v>1073</v>
      </c>
      <c r="C23" s="34" t="s">
        <v>1625</v>
      </c>
      <c r="D23" s="34">
        <v>252220000</v>
      </c>
      <c r="E23" s="74" t="s">
        <v>1633</v>
      </c>
      <c r="F23" s="34" t="s">
        <v>1634</v>
      </c>
      <c r="G23" s="34" t="s">
        <v>1635</v>
      </c>
      <c r="H23" s="36">
        <v>402480000</v>
      </c>
      <c r="I23" s="39">
        <v>717460000</v>
      </c>
      <c r="J23" s="39">
        <v>717460000</v>
      </c>
      <c r="K23" s="39"/>
      <c r="L23" s="39"/>
      <c r="M23" s="39">
        <v>410500000</v>
      </c>
      <c r="N23" s="36">
        <f t="shared" si="0"/>
        <v>402480000</v>
      </c>
      <c r="O23" s="36">
        <f t="shared" si="0"/>
        <v>717460000</v>
      </c>
      <c r="P23" s="36">
        <f t="shared" si="0"/>
        <v>1127960000</v>
      </c>
      <c r="Q23" s="36">
        <v>717459999</v>
      </c>
      <c r="R23" s="36">
        <f t="shared" si="2"/>
        <v>410500000</v>
      </c>
      <c r="S23" s="36">
        <f t="shared" si="1"/>
        <v>1127959999</v>
      </c>
      <c r="T23" s="37">
        <v>0</v>
      </c>
      <c r="U23" s="37">
        <v>0</v>
      </c>
      <c r="V23" s="37">
        <v>0</v>
      </c>
      <c r="W23" s="10"/>
      <c r="X23" s="10"/>
      <c r="Y23" s="10"/>
      <c r="Z23" s="10"/>
      <c r="AA23" s="34">
        <v>0</v>
      </c>
      <c r="AB23" s="10"/>
      <c r="AC23" s="10"/>
      <c r="AD23" s="10"/>
      <c r="AE23" s="10">
        <v>0</v>
      </c>
      <c r="AF23" s="124">
        <v>0</v>
      </c>
      <c r="AG23" s="124">
        <v>0</v>
      </c>
      <c r="AH23" s="124">
        <v>100000000</v>
      </c>
      <c r="AI23" s="124">
        <v>0</v>
      </c>
      <c r="AJ23" s="124">
        <v>202480000</v>
      </c>
      <c r="AK23" s="124">
        <v>0</v>
      </c>
      <c r="AL23" s="124">
        <v>100000000</v>
      </c>
      <c r="AM23" s="124">
        <v>0</v>
      </c>
      <c r="AN23" s="124">
        <v>0</v>
      </c>
      <c r="AO23" s="124">
        <v>0</v>
      </c>
      <c r="AP23" s="124">
        <v>0</v>
      </c>
    </row>
    <row r="24" spans="1:44" ht="72" x14ac:dyDescent="0.25">
      <c r="A24" s="34">
        <v>0</v>
      </c>
      <c r="B24" s="34">
        <v>0</v>
      </c>
      <c r="C24" s="34">
        <v>0</v>
      </c>
      <c r="D24" s="34">
        <v>0</v>
      </c>
      <c r="E24" s="74">
        <v>0</v>
      </c>
      <c r="F24" s="34">
        <v>0</v>
      </c>
      <c r="G24" s="34">
        <v>0</v>
      </c>
      <c r="H24" s="36">
        <v>0</v>
      </c>
      <c r="I24" s="39"/>
      <c r="J24" s="39"/>
      <c r="K24" s="39"/>
      <c r="L24" s="39"/>
      <c r="M24" s="39"/>
      <c r="N24" s="36">
        <f t="shared" si="0"/>
        <v>0</v>
      </c>
      <c r="O24" s="36">
        <f t="shared" si="0"/>
        <v>0</v>
      </c>
      <c r="P24" s="36">
        <f t="shared" si="0"/>
        <v>0</v>
      </c>
      <c r="Q24" s="36"/>
      <c r="R24" s="36">
        <f t="shared" si="2"/>
        <v>0</v>
      </c>
      <c r="S24" s="36">
        <f t="shared" si="1"/>
        <v>0</v>
      </c>
      <c r="T24" s="37" t="s">
        <v>1668</v>
      </c>
      <c r="U24" s="37" t="s">
        <v>316</v>
      </c>
      <c r="V24" s="37">
        <v>2000</v>
      </c>
      <c r="W24" s="10">
        <v>2000</v>
      </c>
      <c r="X24" s="10"/>
      <c r="Y24" s="10">
        <v>0</v>
      </c>
      <c r="Z24" s="10">
        <v>1083</v>
      </c>
      <c r="AA24" s="34">
        <v>300</v>
      </c>
      <c r="AB24" s="10"/>
      <c r="AC24" s="10">
        <v>120</v>
      </c>
      <c r="AD24" s="34" t="s">
        <v>1637</v>
      </c>
      <c r="AE24" s="10">
        <v>0</v>
      </c>
      <c r="AF24" s="124">
        <v>0</v>
      </c>
      <c r="AG24" s="124">
        <v>0</v>
      </c>
      <c r="AH24" s="124">
        <v>0</v>
      </c>
      <c r="AI24" s="124">
        <v>0</v>
      </c>
      <c r="AJ24" s="124">
        <v>0</v>
      </c>
      <c r="AK24" s="124">
        <v>0</v>
      </c>
      <c r="AL24" s="124">
        <v>0</v>
      </c>
      <c r="AM24" s="124">
        <v>0</v>
      </c>
      <c r="AN24" s="124">
        <v>0</v>
      </c>
      <c r="AO24" s="124">
        <v>0</v>
      </c>
      <c r="AP24" s="124">
        <v>0</v>
      </c>
    </row>
    <row r="25" spans="1:44" ht="144" x14ac:dyDescent="0.25">
      <c r="A25" s="34">
        <v>0</v>
      </c>
      <c r="B25" s="34">
        <v>0</v>
      </c>
      <c r="C25" s="34">
        <v>0</v>
      </c>
      <c r="D25" s="34">
        <v>0</v>
      </c>
      <c r="E25" s="74">
        <v>0</v>
      </c>
      <c r="F25" s="34">
        <v>0</v>
      </c>
      <c r="G25" s="34">
        <v>0</v>
      </c>
      <c r="H25" s="36">
        <v>0</v>
      </c>
      <c r="I25" s="39"/>
      <c r="J25" s="39"/>
      <c r="K25" s="39"/>
      <c r="L25" s="39"/>
      <c r="M25" s="39"/>
      <c r="N25" s="36">
        <f t="shared" si="0"/>
        <v>0</v>
      </c>
      <c r="O25" s="36">
        <f t="shared" si="0"/>
        <v>0</v>
      </c>
      <c r="P25" s="36">
        <f t="shared" si="0"/>
        <v>0</v>
      </c>
      <c r="Q25" s="36"/>
      <c r="R25" s="36">
        <f t="shared" si="2"/>
        <v>0</v>
      </c>
      <c r="S25" s="36">
        <f t="shared" si="1"/>
        <v>0</v>
      </c>
      <c r="T25" s="37" t="s">
        <v>1669</v>
      </c>
      <c r="U25" s="37" t="s">
        <v>316</v>
      </c>
      <c r="V25" s="37">
        <v>20</v>
      </c>
      <c r="W25" s="10">
        <v>20</v>
      </c>
      <c r="X25" s="10"/>
      <c r="Y25" s="10">
        <v>0</v>
      </c>
      <c r="Z25" s="10">
        <v>12</v>
      </c>
      <c r="AA25" s="34">
        <v>300</v>
      </c>
      <c r="AB25" s="10"/>
      <c r="AC25" s="10">
        <v>120</v>
      </c>
      <c r="AD25" s="34" t="s">
        <v>1639</v>
      </c>
      <c r="AE25" s="10">
        <v>0</v>
      </c>
      <c r="AF25" s="124">
        <v>0</v>
      </c>
      <c r="AG25" s="124">
        <v>0</v>
      </c>
      <c r="AH25" s="124">
        <v>0</v>
      </c>
      <c r="AI25" s="124">
        <v>0</v>
      </c>
      <c r="AJ25" s="124">
        <v>0</v>
      </c>
      <c r="AK25" s="124">
        <v>0</v>
      </c>
      <c r="AL25" s="124">
        <v>0</v>
      </c>
      <c r="AM25" s="124">
        <v>0</v>
      </c>
      <c r="AN25" s="124">
        <v>0</v>
      </c>
      <c r="AO25" s="124">
        <v>0</v>
      </c>
      <c r="AP25" s="124">
        <v>0</v>
      </c>
    </row>
    <row r="26" spans="1:44" ht="360" x14ac:dyDescent="0.25">
      <c r="A26" s="257" t="s">
        <v>275</v>
      </c>
      <c r="B26" s="257" t="s">
        <v>1073</v>
      </c>
      <c r="C26" s="257" t="s">
        <v>1625</v>
      </c>
      <c r="D26" s="257">
        <v>252230000</v>
      </c>
      <c r="E26" s="258" t="s">
        <v>1641</v>
      </c>
      <c r="F26" s="257" t="s">
        <v>1642</v>
      </c>
      <c r="G26" s="257" t="s">
        <v>1643</v>
      </c>
      <c r="H26" s="259">
        <v>423697275</v>
      </c>
      <c r="I26" s="39">
        <v>564929425</v>
      </c>
      <c r="J26" s="184">
        <v>147962646</v>
      </c>
      <c r="K26" s="184"/>
      <c r="L26" s="39">
        <v>581000000</v>
      </c>
      <c r="M26" s="260">
        <v>3300724095</v>
      </c>
      <c r="N26" s="36">
        <f t="shared" si="0"/>
        <v>423697275</v>
      </c>
      <c r="O26" s="36">
        <f t="shared" si="0"/>
        <v>1145929425</v>
      </c>
      <c r="P26" s="36">
        <f t="shared" si="0"/>
        <v>3448686741</v>
      </c>
      <c r="Q26" s="39">
        <v>139321266</v>
      </c>
      <c r="R26" s="36">
        <v>1172717229</v>
      </c>
      <c r="S26" s="36">
        <f t="shared" si="1"/>
        <v>1312038495</v>
      </c>
      <c r="T26" s="261" t="s">
        <v>1670</v>
      </c>
      <c r="U26" s="261" t="s">
        <v>316</v>
      </c>
      <c r="V26" s="261">
        <v>132</v>
      </c>
      <c r="W26" s="262">
        <v>132</v>
      </c>
      <c r="X26" s="262"/>
      <c r="Y26" s="262">
        <v>103</v>
      </c>
      <c r="Z26" s="262">
        <v>367</v>
      </c>
      <c r="AA26" s="257">
        <v>300</v>
      </c>
      <c r="AB26" s="262">
        <f>6*30</f>
        <v>180</v>
      </c>
      <c r="AC26" s="262">
        <v>220</v>
      </c>
      <c r="AD26" s="34" t="s">
        <v>1671</v>
      </c>
      <c r="AE26" s="262">
        <v>0</v>
      </c>
      <c r="AF26" s="263">
        <v>0</v>
      </c>
      <c r="AG26" s="263">
        <v>100000000</v>
      </c>
      <c r="AH26" s="263">
        <v>0</v>
      </c>
      <c r="AI26" s="263">
        <v>223697000</v>
      </c>
      <c r="AJ26" s="263">
        <v>0</v>
      </c>
      <c r="AK26" s="263">
        <v>100000000</v>
      </c>
      <c r="AL26" s="263">
        <v>0</v>
      </c>
      <c r="AM26" s="263">
        <v>0</v>
      </c>
      <c r="AN26" s="263">
        <v>0</v>
      </c>
      <c r="AO26" s="263">
        <v>0</v>
      </c>
      <c r="AP26" s="263">
        <v>0</v>
      </c>
    </row>
    <row r="27" spans="1:44" x14ac:dyDescent="0.25">
      <c r="A27" s="264"/>
      <c r="B27" s="264"/>
      <c r="C27" s="264"/>
      <c r="D27" s="264"/>
      <c r="E27" s="264"/>
      <c r="F27" s="264"/>
      <c r="G27" s="264"/>
      <c r="H27" s="264"/>
      <c r="I27" s="250"/>
      <c r="J27" s="265"/>
      <c r="K27" s="250"/>
      <c r="L27" s="250"/>
      <c r="M27" s="265"/>
      <c r="N27" s="266"/>
      <c r="O27" s="250"/>
      <c r="P27" s="250"/>
      <c r="Q27" s="265"/>
      <c r="R27" s="265"/>
      <c r="S27" s="265">
        <f>Q27+R27</f>
        <v>0</v>
      </c>
      <c r="T27" s="267"/>
      <c r="U27" s="267"/>
      <c r="V27" s="267"/>
      <c r="W27" s="250"/>
      <c r="X27" s="250"/>
      <c r="Y27" s="250"/>
      <c r="Z27" s="250"/>
      <c r="AA27" s="266"/>
      <c r="AB27" s="250"/>
      <c r="AC27" s="250"/>
      <c r="AD27" s="250"/>
      <c r="AE27" s="250"/>
      <c r="AF27" s="249"/>
      <c r="AG27" s="249"/>
      <c r="AH27" s="249"/>
      <c r="AI27" s="249"/>
      <c r="AJ27" s="249"/>
      <c r="AK27" s="249"/>
      <c r="AL27" s="249"/>
      <c r="AM27" s="249"/>
      <c r="AN27" s="249"/>
      <c r="AO27" s="249"/>
      <c r="AP27" s="249"/>
      <c r="AQ27" s="66"/>
      <c r="AR27" s="66"/>
    </row>
    <row r="28" spans="1:44" x14ac:dyDescent="0.25">
      <c r="A28" s="264"/>
      <c r="B28" s="264"/>
      <c r="C28" s="264"/>
      <c r="D28" s="264"/>
      <c r="E28" s="264"/>
      <c r="F28" s="264"/>
      <c r="G28" s="264"/>
      <c r="H28" s="264"/>
      <c r="I28" s="250"/>
      <c r="J28" s="250"/>
      <c r="K28" s="250"/>
      <c r="L28" s="250"/>
      <c r="M28" s="250"/>
      <c r="N28" s="266"/>
      <c r="O28" s="250"/>
      <c r="P28" s="250"/>
      <c r="Q28" s="250"/>
      <c r="R28" s="250"/>
      <c r="S28" s="250"/>
      <c r="T28" s="267"/>
      <c r="U28" s="267"/>
      <c r="V28" s="267"/>
      <c r="W28" s="250"/>
      <c r="X28" s="250"/>
      <c r="Y28" s="250"/>
      <c r="Z28" s="250"/>
      <c r="AA28" s="266"/>
      <c r="AB28" s="250"/>
      <c r="AC28" s="250"/>
      <c r="AD28" s="250"/>
      <c r="AE28" s="250"/>
      <c r="AF28" s="249"/>
      <c r="AG28" s="249"/>
      <c r="AH28" s="249"/>
      <c r="AI28" s="249"/>
      <c r="AJ28" s="249"/>
      <c r="AK28" s="249"/>
      <c r="AL28" s="249"/>
      <c r="AM28" s="249"/>
      <c r="AN28" s="249"/>
      <c r="AO28" s="249"/>
      <c r="AP28" s="249"/>
      <c r="AQ28" s="66"/>
      <c r="AR28" s="66"/>
    </row>
    <row r="29" spans="1:44" x14ac:dyDescent="0.25">
      <c r="A29" s="264"/>
      <c r="B29" s="264"/>
      <c r="C29" s="264"/>
      <c r="D29" s="264"/>
      <c r="E29" s="264"/>
      <c r="F29" s="264"/>
      <c r="G29" s="264"/>
      <c r="H29" s="264"/>
      <c r="I29" s="250"/>
      <c r="J29" s="250"/>
      <c r="K29" s="250"/>
      <c r="L29" s="250"/>
      <c r="M29" s="250"/>
      <c r="N29" s="266"/>
      <c r="O29" s="250"/>
      <c r="P29" s="250"/>
      <c r="Q29" s="250"/>
      <c r="R29" s="250"/>
      <c r="S29" s="250"/>
      <c r="T29" s="267"/>
      <c r="U29" s="267"/>
      <c r="V29" s="267"/>
      <c r="W29" s="250"/>
      <c r="X29" s="250"/>
      <c r="Y29" s="250"/>
      <c r="Z29" s="250"/>
      <c r="AA29" s="266"/>
      <c r="AB29" s="250"/>
      <c r="AC29" s="250"/>
      <c r="AD29" s="250"/>
      <c r="AE29" s="250"/>
      <c r="AF29" s="249"/>
      <c r="AG29" s="249"/>
      <c r="AH29" s="249"/>
      <c r="AI29" s="249"/>
      <c r="AJ29" s="249"/>
      <c r="AK29" s="249"/>
      <c r="AL29" s="249"/>
      <c r="AM29" s="249"/>
      <c r="AN29" s="249"/>
      <c r="AO29" s="249"/>
      <c r="AP29" s="249"/>
      <c r="AQ29" s="66"/>
      <c r="AR29" s="66"/>
    </row>
    <row r="30" spans="1:44" x14ac:dyDescent="0.25">
      <c r="A30" s="264"/>
      <c r="B30" s="264"/>
      <c r="C30" s="264"/>
      <c r="D30" s="264"/>
      <c r="E30" s="264"/>
      <c r="F30" s="264"/>
      <c r="G30" s="264"/>
      <c r="H30" s="264"/>
      <c r="I30" s="250"/>
      <c r="J30" s="250"/>
      <c r="K30" s="250"/>
      <c r="L30" s="250"/>
      <c r="M30" s="250"/>
      <c r="N30" s="266"/>
      <c r="O30" s="250"/>
      <c r="P30" s="250"/>
      <c r="Q30" s="250"/>
      <c r="R30" s="250"/>
      <c r="S30" s="250"/>
      <c r="T30" s="267"/>
      <c r="U30" s="267"/>
      <c r="V30" s="267"/>
      <c r="W30" s="250"/>
      <c r="X30" s="250"/>
      <c r="Y30" s="250"/>
      <c r="Z30" s="250"/>
      <c r="AA30" s="266"/>
      <c r="AB30" s="250"/>
      <c r="AC30" s="250"/>
      <c r="AD30" s="250"/>
      <c r="AE30" s="250"/>
      <c r="AF30" s="249"/>
      <c r="AG30" s="249"/>
      <c r="AH30" s="249"/>
      <c r="AI30" s="249"/>
      <c r="AJ30" s="249"/>
      <c r="AK30" s="249"/>
      <c r="AL30" s="249"/>
      <c r="AM30" s="249"/>
      <c r="AN30" s="249"/>
      <c r="AO30" s="249"/>
      <c r="AP30" s="249"/>
      <c r="AQ30" s="66"/>
      <c r="AR30" s="66"/>
    </row>
    <row r="31" spans="1:44" x14ac:dyDescent="0.25">
      <c r="A31" s="264"/>
      <c r="B31" s="264"/>
      <c r="C31" s="264"/>
      <c r="D31" s="264"/>
      <c r="E31" s="264"/>
      <c r="F31" s="264"/>
      <c r="G31" s="264"/>
      <c r="H31" s="264"/>
      <c r="I31" s="250"/>
      <c r="J31" s="250"/>
      <c r="K31" s="250"/>
      <c r="L31" s="250"/>
      <c r="M31" s="250"/>
      <c r="N31" s="266"/>
      <c r="O31" s="250"/>
      <c r="P31" s="250"/>
      <c r="Q31" s="250"/>
      <c r="R31" s="250"/>
      <c r="S31" s="250"/>
      <c r="T31" s="267"/>
      <c r="U31" s="267"/>
      <c r="V31" s="267"/>
      <c r="W31" s="250"/>
      <c r="X31" s="250"/>
      <c r="Y31" s="250"/>
      <c r="Z31" s="250"/>
      <c r="AA31" s="266"/>
      <c r="AB31" s="250"/>
      <c r="AC31" s="250"/>
      <c r="AD31" s="250"/>
      <c r="AE31" s="250"/>
      <c r="AF31" s="249"/>
      <c r="AG31" s="249"/>
      <c r="AH31" s="249"/>
      <c r="AI31" s="249"/>
      <c r="AJ31" s="249"/>
      <c r="AK31" s="249"/>
      <c r="AL31" s="249"/>
      <c r="AM31" s="249"/>
      <c r="AN31" s="249"/>
      <c r="AO31" s="249"/>
      <c r="AP31" s="249"/>
      <c r="AQ31" s="66"/>
      <c r="AR31" s="66"/>
    </row>
    <row r="32" spans="1:44" x14ac:dyDescent="0.25">
      <c r="A32" s="264"/>
      <c r="B32" s="264"/>
      <c r="C32" s="264"/>
      <c r="D32" s="264"/>
      <c r="E32" s="264"/>
      <c r="F32" s="264"/>
      <c r="G32" s="264"/>
      <c r="H32" s="264"/>
      <c r="I32" s="250"/>
      <c r="J32" s="250"/>
      <c r="K32" s="250"/>
      <c r="L32" s="250"/>
      <c r="M32" s="250"/>
      <c r="N32" s="266"/>
      <c r="O32" s="250"/>
      <c r="P32" s="250"/>
      <c r="Q32" s="250"/>
      <c r="R32" s="250"/>
      <c r="S32" s="250"/>
      <c r="T32" s="267"/>
      <c r="U32" s="267"/>
      <c r="V32" s="267"/>
      <c r="W32" s="250"/>
      <c r="X32" s="250"/>
      <c r="Y32" s="250"/>
      <c r="Z32" s="250"/>
      <c r="AA32" s="266"/>
      <c r="AB32" s="250"/>
      <c r="AC32" s="250"/>
      <c r="AD32" s="250"/>
      <c r="AE32" s="250"/>
      <c r="AF32" s="249"/>
      <c r="AG32" s="249"/>
      <c r="AH32" s="249"/>
      <c r="AI32" s="249"/>
      <c r="AJ32" s="249"/>
      <c r="AK32" s="249"/>
      <c r="AL32" s="249"/>
      <c r="AM32" s="249"/>
      <c r="AN32" s="249"/>
      <c r="AO32" s="249"/>
      <c r="AP32" s="249"/>
      <c r="AQ32" s="66"/>
      <c r="AR32" s="66"/>
    </row>
    <row r="33" spans="1:44" x14ac:dyDescent="0.25">
      <c r="A33" s="264"/>
      <c r="B33" s="264"/>
      <c r="C33" s="264"/>
      <c r="D33" s="264"/>
      <c r="E33" s="264"/>
      <c r="F33" s="264"/>
      <c r="G33" s="264"/>
      <c r="H33" s="264"/>
      <c r="I33" s="250"/>
      <c r="J33" s="250"/>
      <c r="K33" s="250"/>
      <c r="L33" s="250"/>
      <c r="M33" s="250"/>
      <c r="N33" s="266"/>
      <c r="O33" s="250"/>
      <c r="P33" s="250"/>
      <c r="Q33" s="250"/>
      <c r="R33" s="250"/>
      <c r="S33" s="250"/>
      <c r="T33" s="267"/>
      <c r="U33" s="267"/>
      <c r="V33" s="267"/>
      <c r="W33" s="250"/>
      <c r="X33" s="250"/>
      <c r="Y33" s="250"/>
      <c r="Z33" s="250"/>
      <c r="AA33" s="266"/>
      <c r="AB33" s="250"/>
      <c r="AC33" s="250"/>
      <c r="AD33" s="250"/>
      <c r="AE33" s="250"/>
      <c r="AF33" s="249"/>
      <c r="AG33" s="249"/>
      <c r="AH33" s="249"/>
      <c r="AI33" s="249"/>
      <c r="AJ33" s="249"/>
      <c r="AK33" s="249"/>
      <c r="AL33" s="249"/>
      <c r="AM33" s="249"/>
      <c r="AN33" s="249"/>
      <c r="AO33" s="249"/>
      <c r="AP33" s="249"/>
      <c r="AQ33" s="66"/>
      <c r="AR33" s="66"/>
    </row>
    <row r="34" spans="1:44" x14ac:dyDescent="0.25">
      <c r="A34" s="264"/>
      <c r="B34" s="264"/>
      <c r="C34" s="264"/>
      <c r="D34" s="264"/>
      <c r="E34" s="264"/>
      <c r="F34" s="264"/>
      <c r="G34" s="264"/>
      <c r="H34" s="264"/>
      <c r="I34" s="250"/>
      <c r="J34" s="250"/>
      <c r="K34" s="250"/>
      <c r="L34" s="250"/>
      <c r="M34" s="250"/>
      <c r="N34" s="266"/>
      <c r="O34" s="250"/>
      <c r="P34" s="250"/>
      <c r="Q34" s="250"/>
      <c r="R34" s="250"/>
      <c r="S34" s="250"/>
      <c r="T34" s="267"/>
      <c r="U34" s="267"/>
      <c r="V34" s="267"/>
      <c r="W34" s="250"/>
      <c r="X34" s="250"/>
      <c r="Y34" s="250"/>
      <c r="Z34" s="250"/>
      <c r="AA34" s="266"/>
      <c r="AB34" s="250"/>
      <c r="AC34" s="250"/>
      <c r="AD34" s="250"/>
      <c r="AE34" s="250"/>
      <c r="AF34" s="249"/>
      <c r="AG34" s="249"/>
      <c r="AH34" s="249"/>
      <c r="AI34" s="249"/>
      <c r="AJ34" s="249"/>
      <c r="AK34" s="249"/>
      <c r="AL34" s="249"/>
      <c r="AM34" s="249"/>
      <c r="AN34" s="249"/>
      <c r="AO34" s="249"/>
      <c r="AP34" s="249"/>
      <c r="AQ34" s="66"/>
      <c r="AR34" s="66"/>
    </row>
    <row r="35" spans="1:44" x14ac:dyDescent="0.25">
      <c r="A35" s="264"/>
      <c r="B35" s="264"/>
      <c r="C35" s="264"/>
      <c r="D35" s="264"/>
      <c r="E35" s="264"/>
      <c r="F35" s="264"/>
      <c r="G35" s="264"/>
      <c r="H35" s="264"/>
      <c r="I35" s="250"/>
      <c r="J35" s="250"/>
      <c r="K35" s="250"/>
      <c r="L35" s="250"/>
      <c r="M35" s="250"/>
      <c r="N35" s="266"/>
      <c r="O35" s="250"/>
      <c r="P35" s="250"/>
      <c r="Q35" s="250"/>
      <c r="R35" s="250"/>
      <c r="S35" s="250"/>
      <c r="T35" s="267"/>
      <c r="U35" s="267"/>
      <c r="V35" s="267"/>
      <c r="W35" s="250"/>
      <c r="X35" s="250"/>
      <c r="Y35" s="250"/>
      <c r="Z35" s="250"/>
      <c r="AA35" s="266"/>
      <c r="AB35" s="250"/>
      <c r="AC35" s="250"/>
      <c r="AD35" s="250"/>
      <c r="AE35" s="250"/>
      <c r="AF35" s="249"/>
      <c r="AG35" s="249"/>
      <c r="AH35" s="249"/>
      <c r="AI35" s="249"/>
      <c r="AJ35" s="249"/>
      <c r="AK35" s="249"/>
      <c r="AL35" s="249"/>
      <c r="AM35" s="249"/>
      <c r="AN35" s="249"/>
      <c r="AO35" s="249"/>
      <c r="AP35" s="249"/>
      <c r="AQ35" s="66"/>
      <c r="AR35" s="66"/>
    </row>
    <row r="36" spans="1:44" x14ac:dyDescent="0.25">
      <c r="A36" s="264"/>
      <c r="B36" s="264"/>
      <c r="C36" s="264"/>
      <c r="D36" s="264"/>
      <c r="E36" s="264"/>
      <c r="F36" s="264"/>
      <c r="G36" s="264"/>
      <c r="H36" s="264"/>
      <c r="I36" s="250"/>
      <c r="J36" s="250"/>
      <c r="K36" s="250"/>
      <c r="L36" s="250"/>
      <c r="M36" s="250"/>
      <c r="N36" s="266"/>
      <c r="O36" s="250"/>
      <c r="P36" s="250"/>
      <c r="Q36" s="250"/>
      <c r="R36" s="250"/>
      <c r="S36" s="250"/>
      <c r="T36" s="267"/>
      <c r="U36" s="267"/>
      <c r="V36" s="267"/>
      <c r="W36" s="250"/>
      <c r="X36" s="250"/>
      <c r="Y36" s="250"/>
      <c r="Z36" s="250"/>
      <c r="AA36" s="266"/>
      <c r="AB36" s="250"/>
      <c r="AC36" s="250"/>
      <c r="AD36" s="250"/>
      <c r="AE36" s="250"/>
      <c r="AF36" s="249"/>
      <c r="AG36" s="249"/>
      <c r="AH36" s="249"/>
      <c r="AI36" s="249"/>
      <c r="AJ36" s="249"/>
      <c r="AK36" s="249"/>
      <c r="AL36" s="249"/>
      <c r="AM36" s="249"/>
      <c r="AN36" s="249"/>
      <c r="AO36" s="249"/>
      <c r="AP36" s="249"/>
      <c r="AQ36" s="66"/>
      <c r="AR36" s="66"/>
    </row>
    <row r="37" spans="1:44" x14ac:dyDescent="0.25">
      <c r="A37" s="264"/>
      <c r="B37" s="264"/>
      <c r="C37" s="264"/>
      <c r="D37" s="264"/>
      <c r="E37" s="264"/>
      <c r="F37" s="264"/>
      <c r="G37" s="264"/>
      <c r="H37" s="264"/>
      <c r="I37" s="250"/>
      <c r="J37" s="250"/>
      <c r="K37" s="250"/>
      <c r="L37" s="250"/>
      <c r="M37" s="250"/>
      <c r="N37" s="266"/>
      <c r="O37" s="250"/>
      <c r="P37" s="250"/>
      <c r="Q37" s="250"/>
      <c r="R37" s="250"/>
      <c r="S37" s="250"/>
      <c r="T37" s="267"/>
      <c r="U37" s="267"/>
      <c r="V37" s="267"/>
      <c r="W37" s="250"/>
      <c r="X37" s="250"/>
      <c r="Y37" s="250"/>
      <c r="Z37" s="250"/>
      <c r="AA37" s="266"/>
      <c r="AB37" s="250"/>
      <c r="AC37" s="250"/>
      <c r="AD37" s="250"/>
      <c r="AE37" s="250"/>
      <c r="AF37" s="249"/>
      <c r="AG37" s="249"/>
      <c r="AH37" s="249"/>
      <c r="AI37" s="249"/>
      <c r="AJ37" s="249"/>
      <c r="AK37" s="249"/>
      <c r="AL37" s="249"/>
      <c r="AM37" s="249"/>
      <c r="AN37" s="249"/>
      <c r="AO37" s="249"/>
      <c r="AP37" s="249"/>
      <c r="AQ37" s="66"/>
      <c r="AR37" s="66"/>
    </row>
    <row r="38" spans="1:44" x14ac:dyDescent="0.25">
      <c r="A38" s="264"/>
      <c r="B38" s="264"/>
      <c r="C38" s="264"/>
      <c r="D38" s="264"/>
      <c r="E38" s="264"/>
      <c r="F38" s="264"/>
      <c r="G38" s="264"/>
      <c r="H38" s="264"/>
      <c r="I38" s="250"/>
      <c r="J38" s="250"/>
      <c r="K38" s="250"/>
      <c r="L38" s="250"/>
      <c r="M38" s="250"/>
      <c r="N38" s="266"/>
      <c r="O38" s="250"/>
      <c r="P38" s="250"/>
      <c r="Q38" s="250"/>
      <c r="R38" s="250"/>
      <c r="S38" s="250"/>
      <c r="T38" s="267"/>
      <c r="U38" s="267"/>
      <c r="V38" s="267"/>
      <c r="W38" s="250"/>
      <c r="X38" s="250"/>
      <c r="Y38" s="250"/>
      <c r="Z38" s="250"/>
      <c r="AA38" s="266"/>
      <c r="AB38" s="250"/>
      <c r="AC38" s="250"/>
      <c r="AD38" s="250"/>
      <c r="AE38" s="250"/>
      <c r="AF38" s="249"/>
      <c r="AG38" s="249"/>
      <c r="AH38" s="249"/>
      <c r="AI38" s="249"/>
      <c r="AJ38" s="249"/>
      <c r="AK38" s="249"/>
      <c r="AL38" s="249"/>
      <c r="AM38" s="249"/>
      <c r="AN38" s="249"/>
      <c r="AO38" s="249"/>
      <c r="AP38" s="249"/>
      <c r="AQ38" s="66"/>
      <c r="AR38" s="66"/>
    </row>
    <row r="39" spans="1:44" x14ac:dyDescent="0.25">
      <c r="A39" s="264"/>
      <c r="B39" s="264"/>
      <c r="C39" s="264"/>
      <c r="D39" s="264"/>
      <c r="E39" s="264"/>
      <c r="F39" s="264"/>
      <c r="G39" s="264"/>
      <c r="H39" s="264"/>
      <c r="I39" s="250"/>
      <c r="J39" s="250"/>
      <c r="K39" s="250"/>
      <c r="L39" s="250"/>
      <c r="M39" s="250"/>
      <c r="N39" s="266"/>
      <c r="O39" s="250"/>
      <c r="P39" s="250"/>
      <c r="Q39" s="250"/>
      <c r="R39" s="250"/>
      <c r="S39" s="250"/>
      <c r="T39" s="267"/>
      <c r="U39" s="267"/>
      <c r="V39" s="267"/>
      <c r="W39" s="250"/>
      <c r="X39" s="250"/>
      <c r="Y39" s="250"/>
      <c r="Z39" s="250"/>
      <c r="AA39" s="266"/>
      <c r="AB39" s="250"/>
      <c r="AC39" s="250"/>
      <c r="AD39" s="250"/>
      <c r="AE39" s="250"/>
      <c r="AF39" s="249"/>
      <c r="AG39" s="249"/>
      <c r="AH39" s="249"/>
      <c r="AI39" s="249"/>
      <c r="AJ39" s="249"/>
      <c r="AK39" s="249"/>
      <c r="AL39" s="249"/>
      <c r="AM39" s="249"/>
      <c r="AN39" s="249"/>
      <c r="AO39" s="249"/>
      <c r="AP39" s="249"/>
      <c r="AQ39" s="66"/>
      <c r="AR39" s="66"/>
    </row>
    <row r="40" spans="1:44" x14ac:dyDescent="0.25">
      <c r="A40" s="264"/>
      <c r="B40" s="264"/>
      <c r="C40" s="264"/>
      <c r="D40" s="264"/>
      <c r="E40" s="264"/>
      <c r="F40" s="264"/>
      <c r="G40" s="264"/>
      <c r="H40" s="264"/>
      <c r="I40" s="250"/>
      <c r="J40" s="250"/>
      <c r="K40" s="250"/>
      <c r="L40" s="250"/>
      <c r="M40" s="250"/>
      <c r="N40" s="266"/>
      <c r="O40" s="250"/>
      <c r="P40" s="250"/>
      <c r="Q40" s="250"/>
      <c r="R40" s="250"/>
      <c r="S40" s="250"/>
      <c r="T40" s="267"/>
      <c r="U40" s="267"/>
      <c r="V40" s="267"/>
      <c r="W40" s="250"/>
      <c r="X40" s="250"/>
      <c r="Y40" s="250"/>
      <c r="Z40" s="250"/>
      <c r="AA40" s="266"/>
      <c r="AB40" s="250"/>
      <c r="AC40" s="250"/>
      <c r="AD40" s="250"/>
      <c r="AE40" s="250"/>
      <c r="AF40" s="249"/>
      <c r="AG40" s="249"/>
      <c r="AH40" s="249"/>
      <c r="AI40" s="249"/>
      <c r="AJ40" s="249"/>
      <c r="AK40" s="249"/>
      <c r="AL40" s="249"/>
      <c r="AM40" s="249"/>
      <c r="AN40" s="249"/>
      <c r="AO40" s="249"/>
      <c r="AP40" s="249"/>
      <c r="AQ40" s="66"/>
      <c r="AR40" s="66"/>
    </row>
    <row r="41" spans="1:44" x14ac:dyDescent="0.25">
      <c r="A41" s="264"/>
      <c r="B41" s="264"/>
      <c r="C41" s="264"/>
      <c r="D41" s="264"/>
      <c r="E41" s="264"/>
      <c r="F41" s="264"/>
      <c r="G41" s="264"/>
      <c r="H41" s="264"/>
      <c r="I41" s="250"/>
      <c r="J41" s="250"/>
      <c r="K41" s="250"/>
      <c r="L41" s="250"/>
      <c r="M41" s="250"/>
      <c r="N41" s="266"/>
      <c r="O41" s="250"/>
      <c r="P41" s="250"/>
      <c r="Q41" s="250"/>
      <c r="R41" s="250"/>
      <c r="S41" s="250"/>
      <c r="T41" s="267"/>
      <c r="U41" s="267"/>
      <c r="V41" s="267"/>
      <c r="W41" s="250"/>
      <c r="X41" s="250"/>
      <c r="Y41" s="250"/>
      <c r="Z41" s="250"/>
      <c r="AA41" s="266"/>
      <c r="AB41" s="250"/>
      <c r="AC41" s="250"/>
      <c r="AD41" s="250"/>
      <c r="AE41" s="250"/>
      <c r="AF41" s="249"/>
      <c r="AG41" s="249"/>
      <c r="AH41" s="249"/>
      <c r="AI41" s="249"/>
      <c r="AJ41" s="249"/>
      <c r="AK41" s="249"/>
      <c r="AL41" s="249"/>
      <c r="AM41" s="249"/>
      <c r="AN41" s="249"/>
      <c r="AO41" s="249"/>
      <c r="AP41" s="249"/>
      <c r="AQ41" s="66"/>
      <c r="AR41" s="66"/>
    </row>
    <row r="42" spans="1:44" x14ac:dyDescent="0.25">
      <c r="A42" s="264"/>
      <c r="B42" s="264"/>
      <c r="C42" s="264"/>
      <c r="D42" s="264"/>
      <c r="E42" s="264"/>
      <c r="F42" s="264"/>
      <c r="G42" s="264"/>
      <c r="H42" s="264"/>
      <c r="I42" s="250"/>
      <c r="J42" s="250"/>
      <c r="K42" s="250"/>
      <c r="L42" s="250"/>
      <c r="M42" s="250"/>
      <c r="N42" s="266"/>
      <c r="O42" s="250"/>
      <c r="P42" s="250"/>
      <c r="Q42" s="250"/>
      <c r="R42" s="250"/>
      <c r="S42" s="250"/>
      <c r="T42" s="267"/>
      <c r="U42" s="267"/>
      <c r="V42" s="267"/>
      <c r="W42" s="250"/>
      <c r="X42" s="250"/>
      <c r="Y42" s="250"/>
      <c r="Z42" s="250"/>
      <c r="AA42" s="266"/>
      <c r="AB42" s="250"/>
      <c r="AC42" s="250"/>
      <c r="AD42" s="250"/>
      <c r="AE42" s="250"/>
      <c r="AF42" s="249"/>
      <c r="AG42" s="249"/>
      <c r="AH42" s="249"/>
      <c r="AI42" s="249"/>
      <c r="AJ42" s="249"/>
      <c r="AK42" s="249"/>
      <c r="AL42" s="249"/>
      <c r="AM42" s="249"/>
      <c r="AN42" s="249"/>
      <c r="AO42" s="249"/>
      <c r="AP42" s="249"/>
      <c r="AQ42" s="66"/>
      <c r="AR42" s="66"/>
    </row>
    <row r="43" spans="1:44" x14ac:dyDescent="0.25">
      <c r="A43" s="264"/>
      <c r="B43" s="264"/>
      <c r="C43" s="264"/>
      <c r="D43" s="264"/>
      <c r="E43" s="264"/>
      <c r="F43" s="264"/>
      <c r="G43" s="264"/>
      <c r="H43" s="264"/>
      <c r="I43" s="250"/>
      <c r="J43" s="250"/>
      <c r="K43" s="250"/>
      <c r="L43" s="250"/>
      <c r="M43" s="250"/>
      <c r="N43" s="266"/>
      <c r="O43" s="250"/>
      <c r="P43" s="250"/>
      <c r="Q43" s="250"/>
      <c r="R43" s="250"/>
      <c r="S43" s="250"/>
      <c r="T43" s="267"/>
      <c r="U43" s="267"/>
      <c r="V43" s="267"/>
      <c r="W43" s="250"/>
      <c r="X43" s="250"/>
      <c r="Y43" s="250"/>
      <c r="Z43" s="250"/>
      <c r="AA43" s="266"/>
      <c r="AB43" s="250"/>
      <c r="AC43" s="250"/>
      <c r="AD43" s="250"/>
      <c r="AE43" s="250"/>
      <c r="AF43" s="249"/>
      <c r="AG43" s="249"/>
      <c r="AH43" s="249"/>
      <c r="AI43" s="249"/>
      <c r="AJ43" s="249"/>
      <c r="AK43" s="249"/>
      <c r="AL43" s="249"/>
      <c r="AM43" s="249"/>
      <c r="AN43" s="249"/>
      <c r="AO43" s="249"/>
      <c r="AP43" s="249"/>
      <c r="AQ43" s="66"/>
      <c r="AR43" s="66"/>
    </row>
    <row r="44" spans="1:44" x14ac:dyDescent="0.25">
      <c r="A44" s="264"/>
      <c r="B44" s="264"/>
      <c r="C44" s="264"/>
      <c r="D44" s="264"/>
      <c r="E44" s="264"/>
      <c r="F44" s="264"/>
      <c r="G44" s="264"/>
      <c r="H44" s="264"/>
      <c r="I44" s="250"/>
      <c r="J44" s="250"/>
      <c r="K44" s="250"/>
      <c r="L44" s="250"/>
      <c r="M44" s="250"/>
      <c r="N44" s="266"/>
      <c r="O44" s="250"/>
      <c r="P44" s="250"/>
      <c r="Q44" s="250"/>
      <c r="R44" s="250"/>
      <c r="S44" s="250"/>
      <c r="T44" s="267"/>
      <c r="U44" s="267"/>
      <c r="V44" s="267"/>
      <c r="W44" s="250"/>
      <c r="X44" s="250"/>
      <c r="Y44" s="250"/>
      <c r="Z44" s="250"/>
      <c r="AA44" s="266"/>
      <c r="AB44" s="250"/>
      <c r="AC44" s="250"/>
      <c r="AD44" s="250"/>
      <c r="AE44" s="250"/>
      <c r="AF44" s="249"/>
      <c r="AG44" s="249"/>
      <c r="AH44" s="249"/>
      <c r="AI44" s="249"/>
      <c r="AJ44" s="249"/>
      <c r="AK44" s="249"/>
      <c r="AL44" s="249"/>
      <c r="AM44" s="249"/>
      <c r="AN44" s="249"/>
      <c r="AO44" s="249"/>
      <c r="AP44" s="249"/>
      <c r="AQ44" s="66"/>
      <c r="AR44" s="66"/>
    </row>
    <row r="45" spans="1:44" x14ac:dyDescent="0.25">
      <c r="A45" s="264"/>
      <c r="B45" s="264"/>
      <c r="C45" s="264"/>
      <c r="D45" s="264"/>
      <c r="E45" s="264"/>
      <c r="F45" s="264"/>
      <c r="G45" s="264"/>
      <c r="H45" s="264"/>
      <c r="I45" s="250"/>
      <c r="J45" s="250"/>
      <c r="K45" s="250"/>
      <c r="L45" s="250"/>
      <c r="M45" s="250"/>
      <c r="N45" s="266"/>
      <c r="O45" s="250"/>
      <c r="P45" s="250"/>
      <c r="Q45" s="250"/>
      <c r="R45" s="250"/>
      <c r="S45" s="250"/>
      <c r="T45" s="267"/>
      <c r="U45" s="267"/>
      <c r="V45" s="267"/>
      <c r="W45" s="250"/>
      <c r="X45" s="250"/>
      <c r="Y45" s="250"/>
      <c r="Z45" s="250"/>
      <c r="AA45" s="266"/>
      <c r="AB45" s="250"/>
      <c r="AC45" s="250"/>
      <c r="AD45" s="250"/>
      <c r="AE45" s="250"/>
      <c r="AF45" s="249"/>
      <c r="AG45" s="249"/>
      <c r="AH45" s="249"/>
      <c r="AI45" s="249"/>
      <c r="AJ45" s="249"/>
      <c r="AK45" s="249"/>
      <c r="AL45" s="249"/>
      <c r="AM45" s="249"/>
      <c r="AN45" s="249"/>
      <c r="AO45" s="249"/>
      <c r="AP45" s="249"/>
      <c r="AQ45" s="66"/>
      <c r="AR45" s="66"/>
    </row>
    <row r="46" spans="1:44" x14ac:dyDescent="0.25">
      <c r="A46" s="264"/>
      <c r="B46" s="264"/>
      <c r="C46" s="264"/>
      <c r="D46" s="264"/>
      <c r="E46" s="264"/>
      <c r="F46" s="264"/>
      <c r="G46" s="264"/>
      <c r="H46" s="264"/>
      <c r="I46" s="250"/>
      <c r="J46" s="250"/>
      <c r="K46" s="250"/>
      <c r="L46" s="250"/>
      <c r="M46" s="250"/>
      <c r="N46" s="266"/>
      <c r="O46" s="250"/>
      <c r="P46" s="250"/>
      <c r="Q46" s="250"/>
      <c r="R46" s="250"/>
      <c r="S46" s="250"/>
      <c r="T46" s="267"/>
      <c r="U46" s="267"/>
      <c r="V46" s="267"/>
      <c r="W46" s="250"/>
      <c r="X46" s="250"/>
      <c r="Y46" s="250"/>
      <c r="Z46" s="250"/>
      <c r="AA46" s="266"/>
      <c r="AB46" s="250"/>
      <c r="AC46" s="250"/>
      <c r="AD46" s="250"/>
      <c r="AE46" s="250"/>
      <c r="AF46" s="249"/>
      <c r="AG46" s="249"/>
      <c r="AH46" s="249"/>
      <c r="AI46" s="249"/>
      <c r="AJ46" s="249"/>
      <c r="AK46" s="249"/>
      <c r="AL46" s="249"/>
      <c r="AM46" s="249"/>
      <c r="AN46" s="249"/>
      <c r="AO46" s="249"/>
      <c r="AP46" s="249"/>
      <c r="AQ46" s="66"/>
      <c r="AR46" s="66"/>
    </row>
    <row r="47" spans="1:44" x14ac:dyDescent="0.25">
      <c r="A47" s="264"/>
      <c r="B47" s="264"/>
      <c r="C47" s="264"/>
      <c r="D47" s="264"/>
      <c r="E47" s="264"/>
      <c r="F47" s="264"/>
      <c r="G47" s="264"/>
      <c r="H47" s="264"/>
      <c r="I47" s="250"/>
      <c r="J47" s="250"/>
      <c r="K47" s="250"/>
      <c r="L47" s="250"/>
      <c r="M47" s="250"/>
      <c r="N47" s="266"/>
      <c r="O47" s="250"/>
      <c r="P47" s="250"/>
      <c r="Q47" s="250"/>
      <c r="R47" s="250"/>
      <c r="S47" s="250"/>
      <c r="T47" s="267"/>
      <c r="U47" s="267"/>
      <c r="V47" s="267"/>
      <c r="W47" s="250"/>
      <c r="X47" s="250"/>
      <c r="Y47" s="250"/>
      <c r="Z47" s="250"/>
      <c r="AA47" s="266"/>
      <c r="AB47" s="250"/>
      <c r="AC47" s="250"/>
      <c r="AD47" s="250"/>
      <c r="AE47" s="250"/>
      <c r="AF47" s="249"/>
      <c r="AG47" s="249"/>
      <c r="AH47" s="249"/>
      <c r="AI47" s="249"/>
      <c r="AJ47" s="249"/>
      <c r="AK47" s="249"/>
      <c r="AL47" s="249"/>
      <c r="AM47" s="249"/>
      <c r="AN47" s="249"/>
      <c r="AO47" s="249"/>
      <c r="AP47" s="249"/>
      <c r="AQ47" s="66"/>
      <c r="AR47" s="66"/>
    </row>
    <row r="48" spans="1:44" x14ac:dyDescent="0.25">
      <c r="A48" s="264"/>
      <c r="B48" s="264"/>
      <c r="C48" s="264"/>
      <c r="D48" s="264"/>
      <c r="E48" s="264"/>
      <c r="F48" s="264"/>
      <c r="G48" s="264"/>
      <c r="H48" s="264"/>
      <c r="I48" s="250"/>
      <c r="J48" s="250"/>
      <c r="K48" s="250"/>
      <c r="L48" s="250"/>
      <c r="M48" s="250"/>
      <c r="N48" s="266"/>
      <c r="O48" s="250"/>
      <c r="P48" s="250"/>
      <c r="Q48" s="250"/>
      <c r="R48" s="250"/>
      <c r="S48" s="250"/>
      <c r="T48" s="267"/>
      <c r="U48" s="267"/>
      <c r="V48" s="267"/>
      <c r="W48" s="250"/>
      <c r="X48" s="250"/>
      <c r="Y48" s="250"/>
      <c r="Z48" s="250"/>
      <c r="AA48" s="266"/>
      <c r="AB48" s="250"/>
      <c r="AC48" s="250"/>
      <c r="AD48" s="250"/>
      <c r="AE48" s="250"/>
      <c r="AF48" s="249"/>
      <c r="AG48" s="249"/>
      <c r="AH48" s="249"/>
      <c r="AI48" s="249"/>
      <c r="AJ48" s="249"/>
      <c r="AK48" s="249"/>
      <c r="AL48" s="249"/>
      <c r="AM48" s="249"/>
      <c r="AN48" s="249"/>
      <c r="AO48" s="249"/>
      <c r="AP48" s="249"/>
      <c r="AQ48" s="66"/>
      <c r="AR48" s="66"/>
    </row>
    <row r="49" spans="1:44" x14ac:dyDescent="0.25">
      <c r="A49" s="264"/>
      <c r="B49" s="264"/>
      <c r="C49" s="264"/>
      <c r="D49" s="264"/>
      <c r="E49" s="264"/>
      <c r="F49" s="264"/>
      <c r="G49" s="264"/>
      <c r="H49" s="264"/>
      <c r="I49" s="250"/>
      <c r="J49" s="250"/>
      <c r="K49" s="250"/>
      <c r="L49" s="250"/>
      <c r="M49" s="250"/>
      <c r="N49" s="266"/>
      <c r="O49" s="250"/>
      <c r="P49" s="250"/>
      <c r="Q49" s="250"/>
      <c r="R49" s="250"/>
      <c r="S49" s="250"/>
      <c r="T49" s="267"/>
      <c r="U49" s="267"/>
      <c r="V49" s="267"/>
      <c r="W49" s="250"/>
      <c r="X49" s="250"/>
      <c r="Y49" s="250"/>
      <c r="Z49" s="250"/>
      <c r="AA49" s="266"/>
      <c r="AB49" s="250"/>
      <c r="AC49" s="250"/>
      <c r="AD49" s="250"/>
      <c r="AE49" s="250"/>
      <c r="AF49" s="249"/>
      <c r="AG49" s="249"/>
      <c r="AH49" s="249"/>
      <c r="AI49" s="249"/>
      <c r="AJ49" s="249"/>
      <c r="AK49" s="249"/>
      <c r="AL49" s="249"/>
      <c r="AM49" s="249"/>
      <c r="AN49" s="249"/>
      <c r="AO49" s="249"/>
      <c r="AP49" s="249"/>
      <c r="AQ49" s="66"/>
      <c r="AR49" s="66"/>
    </row>
    <row r="50" spans="1:44" x14ac:dyDescent="0.25">
      <c r="A50" s="264"/>
      <c r="B50" s="264"/>
      <c r="C50" s="264"/>
      <c r="D50" s="264"/>
      <c r="E50" s="264"/>
      <c r="F50" s="264"/>
      <c r="G50" s="264"/>
      <c r="H50" s="264"/>
      <c r="I50" s="250"/>
      <c r="J50" s="250"/>
      <c r="K50" s="250"/>
      <c r="L50" s="250"/>
      <c r="M50" s="250"/>
      <c r="N50" s="266"/>
      <c r="O50" s="250"/>
      <c r="P50" s="250"/>
      <c r="Q50" s="250"/>
      <c r="R50" s="250"/>
      <c r="S50" s="250"/>
      <c r="T50" s="267"/>
      <c r="U50" s="267"/>
      <c r="V50" s="267"/>
      <c r="W50" s="250"/>
      <c r="X50" s="250"/>
      <c r="Y50" s="250"/>
      <c r="Z50" s="250"/>
      <c r="AA50" s="266"/>
      <c r="AB50" s="250"/>
      <c r="AC50" s="250"/>
      <c r="AD50" s="250"/>
      <c r="AE50" s="250"/>
      <c r="AF50" s="249"/>
      <c r="AG50" s="249"/>
      <c r="AH50" s="249"/>
      <c r="AI50" s="249"/>
      <c r="AJ50" s="249"/>
      <c r="AK50" s="249"/>
      <c r="AL50" s="249"/>
      <c r="AM50" s="249"/>
      <c r="AN50" s="249"/>
      <c r="AO50" s="249"/>
      <c r="AP50" s="249"/>
      <c r="AQ50" s="66"/>
      <c r="AR50" s="66"/>
    </row>
    <row r="51" spans="1:44" x14ac:dyDescent="0.25">
      <c r="A51" s="264"/>
      <c r="B51" s="264"/>
      <c r="C51" s="264"/>
      <c r="D51" s="264"/>
      <c r="E51" s="264"/>
      <c r="F51" s="264"/>
      <c r="G51" s="264"/>
      <c r="H51" s="264"/>
      <c r="I51" s="250"/>
      <c r="J51" s="250"/>
      <c r="K51" s="250"/>
      <c r="L51" s="250"/>
      <c r="M51" s="250"/>
      <c r="N51" s="266"/>
      <c r="O51" s="250"/>
      <c r="P51" s="250"/>
      <c r="Q51" s="250"/>
      <c r="R51" s="250"/>
      <c r="S51" s="250"/>
      <c r="T51" s="267"/>
      <c r="U51" s="267"/>
      <c r="V51" s="267"/>
      <c r="W51" s="250"/>
      <c r="X51" s="250"/>
      <c r="Y51" s="250"/>
      <c r="Z51" s="250"/>
      <c r="AA51" s="266"/>
      <c r="AB51" s="250"/>
      <c r="AC51" s="250"/>
      <c r="AD51" s="250"/>
      <c r="AE51" s="250"/>
      <c r="AF51" s="249"/>
      <c r="AG51" s="249"/>
      <c r="AH51" s="249"/>
      <c r="AI51" s="249"/>
      <c r="AJ51" s="249"/>
      <c r="AK51" s="249"/>
      <c r="AL51" s="249"/>
      <c r="AM51" s="249"/>
      <c r="AN51" s="249"/>
      <c r="AO51" s="249"/>
      <c r="AP51" s="249"/>
      <c r="AQ51" s="66"/>
      <c r="AR51" s="66"/>
    </row>
    <row r="52" spans="1:44" x14ac:dyDescent="0.25">
      <c r="A52" s="264"/>
      <c r="B52" s="264"/>
      <c r="C52" s="264"/>
      <c r="D52" s="264"/>
      <c r="E52" s="264"/>
      <c r="F52" s="264"/>
      <c r="G52" s="264"/>
      <c r="H52" s="264"/>
      <c r="I52" s="250"/>
      <c r="J52" s="250"/>
      <c r="K52" s="250"/>
      <c r="L52" s="250"/>
      <c r="M52" s="250"/>
      <c r="N52" s="266"/>
      <c r="O52" s="250"/>
      <c r="P52" s="250"/>
      <c r="Q52" s="250"/>
      <c r="R52" s="250"/>
      <c r="S52" s="250"/>
      <c r="T52" s="267"/>
      <c r="U52" s="267"/>
      <c r="V52" s="267"/>
      <c r="W52" s="250"/>
      <c r="X52" s="250"/>
      <c r="Y52" s="250"/>
      <c r="Z52" s="250"/>
      <c r="AA52" s="266"/>
      <c r="AB52" s="250"/>
      <c r="AC52" s="250"/>
      <c r="AD52" s="250"/>
      <c r="AE52" s="250"/>
      <c r="AF52" s="249"/>
      <c r="AG52" s="249"/>
      <c r="AH52" s="249"/>
      <c r="AI52" s="249"/>
      <c r="AJ52" s="249"/>
      <c r="AK52" s="249"/>
      <c r="AL52" s="249"/>
      <c r="AM52" s="249"/>
      <c r="AN52" s="249"/>
      <c r="AO52" s="249"/>
      <c r="AP52" s="249"/>
      <c r="AQ52" s="66"/>
      <c r="AR52" s="66"/>
    </row>
    <row r="53" spans="1:44" x14ac:dyDescent="0.25">
      <c r="A53" s="264"/>
      <c r="B53" s="264"/>
      <c r="C53" s="264"/>
      <c r="D53" s="264"/>
      <c r="E53" s="264"/>
      <c r="F53" s="264"/>
      <c r="G53" s="264"/>
      <c r="H53" s="264"/>
      <c r="I53" s="250"/>
      <c r="J53" s="250"/>
      <c r="K53" s="250"/>
      <c r="L53" s="250"/>
      <c r="M53" s="250"/>
      <c r="N53" s="266"/>
      <c r="O53" s="250"/>
      <c r="P53" s="250"/>
      <c r="Q53" s="250"/>
      <c r="R53" s="250"/>
      <c r="S53" s="250"/>
      <c r="T53" s="267"/>
      <c r="U53" s="267"/>
      <c r="V53" s="267"/>
      <c r="W53" s="250"/>
      <c r="X53" s="250"/>
      <c r="Y53" s="250"/>
      <c r="Z53" s="250"/>
      <c r="AA53" s="266"/>
      <c r="AB53" s="250"/>
      <c r="AC53" s="250"/>
      <c r="AD53" s="250"/>
      <c r="AE53" s="250"/>
      <c r="AF53" s="249"/>
      <c r="AG53" s="249"/>
      <c r="AH53" s="249"/>
      <c r="AI53" s="249"/>
      <c r="AJ53" s="249"/>
      <c r="AK53" s="249"/>
      <c r="AL53" s="249"/>
      <c r="AM53" s="249"/>
      <c r="AN53" s="249"/>
      <c r="AO53" s="249"/>
      <c r="AP53" s="249"/>
      <c r="AQ53" s="66"/>
      <c r="AR53" s="66"/>
    </row>
    <row r="54" spans="1:44" x14ac:dyDescent="0.25">
      <c r="A54" s="264"/>
      <c r="B54" s="264"/>
      <c r="C54" s="264"/>
      <c r="D54" s="264"/>
      <c r="E54" s="264"/>
      <c r="F54" s="264"/>
      <c r="G54" s="264"/>
      <c r="H54" s="264"/>
      <c r="I54" s="250"/>
      <c r="J54" s="250"/>
      <c r="K54" s="250"/>
      <c r="L54" s="250"/>
      <c r="M54" s="250"/>
      <c r="N54" s="266"/>
      <c r="O54" s="250"/>
      <c r="P54" s="250"/>
      <c r="Q54" s="250"/>
      <c r="R54" s="250"/>
      <c r="S54" s="250"/>
      <c r="T54" s="267"/>
      <c r="U54" s="267"/>
      <c r="V54" s="267"/>
      <c r="W54" s="250"/>
      <c r="X54" s="250"/>
      <c r="Y54" s="250"/>
      <c r="Z54" s="250"/>
      <c r="AA54" s="266"/>
      <c r="AB54" s="250"/>
      <c r="AC54" s="250"/>
      <c r="AD54" s="250"/>
      <c r="AE54" s="250"/>
      <c r="AF54" s="249"/>
      <c r="AG54" s="249"/>
      <c r="AH54" s="249"/>
      <c r="AI54" s="249"/>
      <c r="AJ54" s="249"/>
      <c r="AK54" s="249"/>
      <c r="AL54" s="249"/>
      <c r="AM54" s="249"/>
      <c r="AN54" s="249"/>
      <c r="AO54" s="249"/>
      <c r="AP54" s="249"/>
      <c r="AQ54" s="66"/>
      <c r="AR54" s="66"/>
    </row>
    <row r="55" spans="1:44" x14ac:dyDescent="0.25">
      <c r="A55" s="264"/>
      <c r="B55" s="264"/>
      <c r="C55" s="264"/>
      <c r="D55" s="264"/>
      <c r="E55" s="264"/>
      <c r="F55" s="264"/>
      <c r="G55" s="264"/>
      <c r="H55" s="264"/>
      <c r="I55" s="250"/>
      <c r="J55" s="250"/>
      <c r="K55" s="250"/>
      <c r="L55" s="250"/>
      <c r="M55" s="250"/>
      <c r="N55" s="266"/>
      <c r="O55" s="250"/>
      <c r="P55" s="250"/>
      <c r="Q55" s="250"/>
      <c r="R55" s="250"/>
      <c r="S55" s="250"/>
      <c r="T55" s="267"/>
      <c r="U55" s="267"/>
      <c r="V55" s="267"/>
      <c r="W55" s="250"/>
      <c r="X55" s="250"/>
      <c r="Y55" s="250"/>
      <c r="Z55" s="250"/>
      <c r="AA55" s="266"/>
      <c r="AB55" s="250"/>
      <c r="AC55" s="250"/>
      <c r="AD55" s="250"/>
      <c r="AE55" s="250"/>
      <c r="AF55" s="249"/>
      <c r="AG55" s="249"/>
      <c r="AH55" s="249"/>
      <c r="AI55" s="249"/>
      <c r="AJ55" s="249"/>
      <c r="AK55" s="249"/>
      <c r="AL55" s="249"/>
      <c r="AM55" s="249"/>
      <c r="AN55" s="249"/>
      <c r="AO55" s="249"/>
      <c r="AP55" s="249"/>
      <c r="AQ55" s="66"/>
      <c r="AR55" s="66"/>
    </row>
    <row r="56" spans="1:44" x14ac:dyDescent="0.25">
      <c r="A56" s="264"/>
      <c r="B56" s="264"/>
      <c r="C56" s="264"/>
      <c r="D56" s="264"/>
      <c r="E56" s="264"/>
      <c r="F56" s="264"/>
      <c r="G56" s="264"/>
      <c r="H56" s="264"/>
      <c r="I56" s="250"/>
      <c r="J56" s="250"/>
      <c r="K56" s="250"/>
      <c r="L56" s="250"/>
      <c r="M56" s="250"/>
      <c r="N56" s="266"/>
      <c r="O56" s="250"/>
      <c r="P56" s="250"/>
      <c r="Q56" s="250"/>
      <c r="R56" s="250"/>
      <c r="S56" s="250"/>
      <c r="T56" s="267"/>
      <c r="U56" s="267"/>
      <c r="V56" s="267"/>
      <c r="W56" s="250"/>
      <c r="X56" s="250"/>
      <c r="Y56" s="250"/>
      <c r="Z56" s="250"/>
      <c r="AA56" s="266"/>
      <c r="AB56" s="250"/>
      <c r="AC56" s="250"/>
      <c r="AD56" s="250"/>
      <c r="AE56" s="250"/>
      <c r="AF56" s="249"/>
      <c r="AG56" s="249"/>
      <c r="AH56" s="249"/>
      <c r="AI56" s="249"/>
      <c r="AJ56" s="249"/>
      <c r="AK56" s="249"/>
      <c r="AL56" s="249"/>
      <c r="AM56" s="249"/>
      <c r="AN56" s="249"/>
      <c r="AO56" s="249"/>
      <c r="AP56" s="249"/>
      <c r="AQ56" s="66"/>
      <c r="AR56" s="66"/>
    </row>
    <row r="57" spans="1:44" x14ac:dyDescent="0.25">
      <c r="A57" s="264"/>
      <c r="B57" s="264"/>
      <c r="C57" s="264"/>
      <c r="D57" s="264"/>
      <c r="E57" s="264"/>
      <c r="F57" s="264"/>
      <c r="G57" s="264"/>
      <c r="H57" s="264"/>
      <c r="I57" s="250"/>
      <c r="J57" s="250"/>
      <c r="K57" s="250"/>
      <c r="L57" s="250"/>
      <c r="M57" s="250"/>
      <c r="N57" s="266"/>
      <c r="O57" s="250"/>
      <c r="P57" s="250"/>
      <c r="Q57" s="250"/>
      <c r="R57" s="250"/>
      <c r="S57" s="250"/>
      <c r="T57" s="267"/>
      <c r="U57" s="267"/>
      <c r="V57" s="267"/>
      <c r="W57" s="250"/>
      <c r="X57" s="250"/>
      <c r="Y57" s="250"/>
      <c r="Z57" s="250"/>
      <c r="AA57" s="266"/>
      <c r="AB57" s="250"/>
      <c r="AC57" s="250"/>
      <c r="AD57" s="250"/>
      <c r="AE57" s="250"/>
      <c r="AF57" s="249"/>
      <c r="AG57" s="249"/>
      <c r="AH57" s="249"/>
      <c r="AI57" s="249"/>
      <c r="AJ57" s="249"/>
      <c r="AK57" s="249"/>
      <c r="AL57" s="249"/>
      <c r="AM57" s="249"/>
      <c r="AN57" s="249"/>
      <c r="AO57" s="249"/>
      <c r="AP57" s="249"/>
      <c r="AQ57" s="66"/>
      <c r="AR57" s="66"/>
    </row>
    <row r="58" spans="1:44" x14ac:dyDescent="0.25">
      <c r="A58" s="264"/>
      <c r="B58" s="264"/>
      <c r="C58" s="264"/>
      <c r="D58" s="264"/>
      <c r="E58" s="264"/>
      <c r="F58" s="264"/>
      <c r="G58" s="264"/>
      <c r="H58" s="264"/>
      <c r="I58" s="250"/>
      <c r="J58" s="250"/>
      <c r="K58" s="250"/>
      <c r="L58" s="250"/>
      <c r="M58" s="250"/>
      <c r="N58" s="266"/>
      <c r="O58" s="250"/>
      <c r="P58" s="250"/>
      <c r="Q58" s="250"/>
      <c r="R58" s="250"/>
      <c r="S58" s="250"/>
      <c r="T58" s="267"/>
      <c r="U58" s="267"/>
      <c r="V58" s="267"/>
      <c r="W58" s="250"/>
      <c r="X58" s="250"/>
      <c r="Y58" s="250"/>
      <c r="Z58" s="250"/>
      <c r="AA58" s="266"/>
      <c r="AB58" s="250"/>
      <c r="AC58" s="250"/>
      <c r="AD58" s="250"/>
      <c r="AE58" s="250"/>
      <c r="AF58" s="249"/>
      <c r="AG58" s="249"/>
      <c r="AH58" s="249"/>
      <c r="AI58" s="249"/>
      <c r="AJ58" s="249"/>
      <c r="AK58" s="249"/>
      <c r="AL58" s="249"/>
      <c r="AM58" s="249"/>
      <c r="AN58" s="249"/>
      <c r="AO58" s="249"/>
      <c r="AP58" s="249"/>
      <c r="AQ58" s="66"/>
      <c r="AR58" s="66"/>
    </row>
    <row r="59" spans="1:44" x14ac:dyDescent="0.25">
      <c r="A59" s="264"/>
      <c r="B59" s="264"/>
      <c r="C59" s="264"/>
      <c r="D59" s="264"/>
      <c r="E59" s="264"/>
      <c r="F59" s="264"/>
      <c r="G59" s="264"/>
      <c r="H59" s="264"/>
      <c r="I59" s="250"/>
      <c r="J59" s="250"/>
      <c r="K59" s="250"/>
      <c r="L59" s="250"/>
      <c r="M59" s="250"/>
      <c r="N59" s="266"/>
      <c r="O59" s="250"/>
      <c r="P59" s="250"/>
      <c r="Q59" s="250"/>
      <c r="R59" s="250"/>
      <c r="S59" s="250"/>
      <c r="T59" s="267"/>
      <c r="U59" s="267"/>
      <c r="V59" s="267"/>
      <c r="W59" s="250"/>
      <c r="X59" s="250"/>
      <c r="Y59" s="250"/>
      <c r="Z59" s="250"/>
      <c r="AA59" s="266"/>
      <c r="AB59" s="250"/>
      <c r="AC59" s="250"/>
      <c r="AD59" s="250"/>
      <c r="AE59" s="250"/>
      <c r="AF59" s="249"/>
      <c r="AG59" s="249"/>
      <c r="AH59" s="249"/>
      <c r="AI59" s="249"/>
      <c r="AJ59" s="249"/>
      <c r="AK59" s="249"/>
      <c r="AL59" s="249"/>
      <c r="AM59" s="249"/>
      <c r="AN59" s="249"/>
      <c r="AO59" s="249"/>
      <c r="AP59" s="249"/>
      <c r="AQ59" s="66"/>
      <c r="AR59" s="66"/>
    </row>
    <row r="60" spans="1:44" x14ac:dyDescent="0.25">
      <c r="A60" s="264"/>
      <c r="B60" s="264"/>
      <c r="C60" s="264"/>
      <c r="D60" s="264"/>
      <c r="E60" s="264"/>
      <c r="F60" s="264"/>
      <c r="G60" s="264"/>
      <c r="H60" s="264"/>
      <c r="I60" s="250"/>
      <c r="J60" s="250"/>
      <c r="K60" s="250"/>
      <c r="L60" s="250"/>
      <c r="M60" s="250"/>
      <c r="N60" s="266"/>
      <c r="O60" s="250"/>
      <c r="P60" s="250"/>
      <c r="Q60" s="250"/>
      <c r="R60" s="250"/>
      <c r="S60" s="250"/>
      <c r="T60" s="267"/>
      <c r="U60" s="267"/>
      <c r="V60" s="267"/>
      <c r="W60" s="250"/>
      <c r="X60" s="250"/>
      <c r="Y60" s="250"/>
      <c r="Z60" s="250"/>
      <c r="AA60" s="266"/>
      <c r="AB60" s="250"/>
      <c r="AC60" s="250"/>
      <c r="AD60" s="250"/>
      <c r="AE60" s="250"/>
      <c r="AF60" s="249"/>
      <c r="AG60" s="249"/>
      <c r="AH60" s="249"/>
      <c r="AI60" s="249"/>
      <c r="AJ60" s="249"/>
      <c r="AK60" s="249"/>
      <c r="AL60" s="249"/>
      <c r="AM60" s="249"/>
      <c r="AN60" s="249"/>
      <c r="AO60" s="249"/>
      <c r="AP60" s="249"/>
      <c r="AQ60" s="66"/>
      <c r="AR60" s="66"/>
    </row>
    <row r="61" spans="1:44" x14ac:dyDescent="0.25">
      <c r="A61" s="264"/>
      <c r="B61" s="264"/>
      <c r="C61" s="264"/>
      <c r="D61" s="264"/>
      <c r="E61" s="264"/>
      <c r="F61" s="264"/>
      <c r="G61" s="264"/>
      <c r="H61" s="264"/>
      <c r="I61" s="250"/>
      <c r="J61" s="250"/>
      <c r="K61" s="250"/>
      <c r="L61" s="250"/>
      <c r="M61" s="250"/>
      <c r="N61" s="266"/>
      <c r="O61" s="250"/>
      <c r="P61" s="250"/>
      <c r="Q61" s="250"/>
      <c r="R61" s="250"/>
      <c r="S61" s="250"/>
      <c r="T61" s="267"/>
      <c r="U61" s="267"/>
      <c r="V61" s="267"/>
      <c r="W61" s="250"/>
      <c r="X61" s="250"/>
      <c r="Y61" s="250"/>
      <c r="Z61" s="250"/>
      <c r="AA61" s="266"/>
      <c r="AB61" s="250"/>
      <c r="AC61" s="250"/>
      <c r="AD61" s="250"/>
      <c r="AE61" s="250"/>
      <c r="AF61" s="249"/>
      <c r="AG61" s="249"/>
      <c r="AH61" s="249"/>
      <c r="AI61" s="249"/>
      <c r="AJ61" s="249"/>
      <c r="AK61" s="249"/>
      <c r="AL61" s="249"/>
      <c r="AM61" s="249"/>
      <c r="AN61" s="249"/>
      <c r="AO61" s="249"/>
      <c r="AP61" s="249"/>
      <c r="AQ61" s="66"/>
      <c r="AR61" s="66"/>
    </row>
    <row r="62" spans="1:44" x14ac:dyDescent="0.25">
      <c r="A62" s="264"/>
      <c r="B62" s="264"/>
      <c r="C62" s="264"/>
      <c r="D62" s="264"/>
      <c r="E62" s="264"/>
      <c r="F62" s="264"/>
      <c r="G62" s="264"/>
      <c r="H62" s="264"/>
      <c r="I62" s="250"/>
      <c r="J62" s="250"/>
      <c r="K62" s="250"/>
      <c r="L62" s="250"/>
      <c r="M62" s="250"/>
      <c r="N62" s="266"/>
      <c r="O62" s="250"/>
      <c r="P62" s="250"/>
      <c r="Q62" s="250"/>
      <c r="R62" s="250"/>
      <c r="S62" s="250"/>
      <c r="T62" s="267"/>
      <c r="U62" s="267"/>
      <c r="V62" s="267"/>
      <c r="W62" s="250"/>
      <c r="X62" s="250"/>
      <c r="Y62" s="250"/>
      <c r="Z62" s="250"/>
      <c r="AA62" s="266"/>
      <c r="AB62" s="250"/>
      <c r="AC62" s="250"/>
      <c r="AD62" s="250"/>
      <c r="AE62" s="250"/>
      <c r="AF62" s="249"/>
      <c r="AG62" s="249"/>
      <c r="AH62" s="249"/>
      <c r="AI62" s="249"/>
      <c r="AJ62" s="249"/>
      <c r="AK62" s="249"/>
      <c r="AL62" s="249"/>
      <c r="AM62" s="249"/>
      <c r="AN62" s="249"/>
      <c r="AO62" s="249"/>
      <c r="AP62" s="249"/>
      <c r="AQ62" s="66"/>
      <c r="AR62" s="66"/>
    </row>
    <row r="63" spans="1:44" x14ac:dyDescent="0.25">
      <c r="A63" s="264"/>
      <c r="B63" s="264"/>
      <c r="C63" s="264"/>
      <c r="D63" s="264"/>
      <c r="E63" s="264"/>
      <c r="F63" s="264"/>
      <c r="G63" s="264"/>
      <c r="H63" s="264"/>
      <c r="I63" s="250"/>
      <c r="J63" s="250"/>
      <c r="K63" s="250"/>
      <c r="L63" s="250"/>
      <c r="M63" s="250"/>
      <c r="N63" s="266"/>
      <c r="O63" s="250"/>
      <c r="P63" s="250"/>
      <c r="Q63" s="250"/>
      <c r="R63" s="250"/>
      <c r="S63" s="250"/>
      <c r="T63" s="267"/>
      <c r="U63" s="267"/>
      <c r="V63" s="267"/>
      <c r="W63" s="250"/>
      <c r="X63" s="250"/>
      <c r="Y63" s="250"/>
      <c r="Z63" s="250"/>
      <c r="AA63" s="266"/>
      <c r="AB63" s="250"/>
      <c r="AC63" s="250"/>
      <c r="AD63" s="250"/>
      <c r="AE63" s="250"/>
      <c r="AF63" s="249"/>
      <c r="AG63" s="249"/>
      <c r="AH63" s="249"/>
      <c r="AI63" s="249"/>
      <c r="AJ63" s="249"/>
      <c r="AK63" s="249"/>
      <c r="AL63" s="249"/>
      <c r="AM63" s="249"/>
      <c r="AN63" s="249"/>
      <c r="AO63" s="249"/>
      <c r="AP63" s="249"/>
      <c r="AQ63" s="66"/>
      <c r="AR63" s="66"/>
    </row>
    <row r="64" spans="1:44" x14ac:dyDescent="0.25">
      <c r="A64" s="264"/>
      <c r="B64" s="264"/>
      <c r="C64" s="264"/>
      <c r="D64" s="264"/>
      <c r="E64" s="264"/>
      <c r="F64" s="264"/>
      <c r="G64" s="264"/>
      <c r="H64" s="264"/>
      <c r="I64" s="250"/>
      <c r="J64" s="250"/>
      <c r="K64" s="250"/>
      <c r="L64" s="250"/>
      <c r="M64" s="250"/>
      <c r="N64" s="266"/>
      <c r="O64" s="250"/>
      <c r="P64" s="250"/>
      <c r="Q64" s="250"/>
      <c r="R64" s="250"/>
      <c r="S64" s="250"/>
      <c r="T64" s="267"/>
      <c r="U64" s="267"/>
      <c r="V64" s="267"/>
      <c r="W64" s="250"/>
      <c r="X64" s="250"/>
      <c r="Y64" s="250"/>
      <c r="Z64" s="250"/>
      <c r="AA64" s="266"/>
      <c r="AB64" s="250"/>
      <c r="AC64" s="250"/>
      <c r="AD64" s="250"/>
      <c r="AE64" s="250"/>
      <c r="AF64" s="249"/>
      <c r="AG64" s="249"/>
      <c r="AH64" s="249"/>
      <c r="AI64" s="249"/>
      <c r="AJ64" s="249"/>
      <c r="AK64" s="249"/>
      <c r="AL64" s="249"/>
      <c r="AM64" s="249"/>
      <c r="AN64" s="249"/>
      <c r="AO64" s="249"/>
      <c r="AP64" s="249"/>
      <c r="AQ64" s="66"/>
      <c r="AR64" s="66"/>
    </row>
    <row r="65" spans="1:44" x14ac:dyDescent="0.25">
      <c r="A65" s="264"/>
      <c r="B65" s="264"/>
      <c r="C65" s="264"/>
      <c r="D65" s="264"/>
      <c r="E65" s="264"/>
      <c r="F65" s="264"/>
      <c r="G65" s="264"/>
      <c r="H65" s="264"/>
      <c r="I65" s="250"/>
      <c r="J65" s="250"/>
      <c r="K65" s="250"/>
      <c r="L65" s="250"/>
      <c r="M65" s="250"/>
      <c r="N65" s="266"/>
      <c r="O65" s="250"/>
      <c r="P65" s="250"/>
      <c r="Q65" s="250"/>
      <c r="R65" s="250"/>
      <c r="S65" s="250"/>
      <c r="T65" s="267"/>
      <c r="U65" s="267"/>
      <c r="V65" s="267"/>
      <c r="W65" s="250"/>
      <c r="X65" s="250"/>
      <c r="Y65" s="250"/>
      <c r="Z65" s="250"/>
      <c r="AA65" s="266"/>
      <c r="AB65" s="250"/>
      <c r="AC65" s="250"/>
      <c r="AD65" s="250"/>
      <c r="AE65" s="250"/>
      <c r="AF65" s="249"/>
      <c r="AG65" s="249"/>
      <c r="AH65" s="249"/>
      <c r="AI65" s="249"/>
      <c r="AJ65" s="249"/>
      <c r="AK65" s="249"/>
      <c r="AL65" s="249"/>
      <c r="AM65" s="249"/>
      <c r="AN65" s="249"/>
      <c r="AO65" s="249"/>
      <c r="AP65" s="249"/>
      <c r="AQ65" s="66"/>
      <c r="AR65" s="66"/>
    </row>
    <row r="66" spans="1:44" x14ac:dyDescent="0.25">
      <c r="A66" s="264"/>
      <c r="B66" s="264"/>
      <c r="C66" s="264"/>
      <c r="D66" s="264"/>
      <c r="E66" s="264"/>
      <c r="F66" s="264"/>
      <c r="G66" s="264"/>
      <c r="H66" s="264"/>
      <c r="I66" s="250"/>
      <c r="J66" s="250"/>
      <c r="K66" s="250"/>
      <c r="L66" s="250"/>
      <c r="M66" s="250"/>
      <c r="N66" s="266"/>
      <c r="O66" s="250"/>
      <c r="P66" s="250"/>
      <c r="Q66" s="250"/>
      <c r="R66" s="250"/>
      <c r="S66" s="250"/>
      <c r="T66" s="267"/>
      <c r="U66" s="267"/>
      <c r="V66" s="267"/>
      <c r="W66" s="250"/>
      <c r="X66" s="250"/>
      <c r="Y66" s="250"/>
      <c r="Z66" s="250"/>
      <c r="AA66" s="266"/>
      <c r="AB66" s="250"/>
      <c r="AC66" s="250"/>
      <c r="AD66" s="250"/>
      <c r="AE66" s="250"/>
      <c r="AF66" s="249"/>
      <c r="AG66" s="249"/>
      <c r="AH66" s="249"/>
      <c r="AI66" s="249"/>
      <c r="AJ66" s="249"/>
      <c r="AK66" s="249"/>
      <c r="AL66" s="249"/>
      <c r="AM66" s="249"/>
      <c r="AN66" s="249"/>
      <c r="AO66" s="249"/>
      <c r="AP66" s="249"/>
      <c r="AQ66" s="66"/>
      <c r="AR66" s="66"/>
    </row>
    <row r="67" spans="1:44" x14ac:dyDescent="0.25">
      <c r="A67" s="264"/>
      <c r="B67" s="264"/>
      <c r="C67" s="264"/>
      <c r="D67" s="264"/>
      <c r="E67" s="264"/>
      <c r="F67" s="264"/>
      <c r="G67" s="264"/>
      <c r="H67" s="264"/>
      <c r="I67" s="250"/>
      <c r="J67" s="250"/>
      <c r="K67" s="250"/>
      <c r="L67" s="250"/>
      <c r="M67" s="250"/>
      <c r="N67" s="266"/>
      <c r="O67" s="250"/>
      <c r="P67" s="250"/>
      <c r="Q67" s="250"/>
      <c r="R67" s="250"/>
      <c r="S67" s="250"/>
      <c r="T67" s="267"/>
      <c r="U67" s="267"/>
      <c r="V67" s="267"/>
      <c r="W67" s="250"/>
      <c r="X67" s="250"/>
      <c r="Y67" s="250"/>
      <c r="Z67" s="250"/>
      <c r="AA67" s="266"/>
      <c r="AB67" s="250"/>
      <c r="AC67" s="250"/>
      <c r="AD67" s="250"/>
      <c r="AE67" s="250"/>
      <c r="AF67" s="249"/>
      <c r="AG67" s="249"/>
      <c r="AH67" s="249"/>
      <c r="AI67" s="249"/>
      <c r="AJ67" s="249"/>
      <c r="AK67" s="249"/>
      <c r="AL67" s="249"/>
      <c r="AM67" s="249"/>
      <c r="AN67" s="249"/>
      <c r="AO67" s="249"/>
      <c r="AP67" s="249"/>
      <c r="AQ67" s="66"/>
      <c r="AR67" s="66"/>
    </row>
    <row r="68" spans="1:44" x14ac:dyDescent="0.25">
      <c r="A68" s="264"/>
      <c r="B68" s="264"/>
      <c r="C68" s="264"/>
      <c r="D68" s="264"/>
      <c r="E68" s="264"/>
      <c r="F68" s="264"/>
      <c r="G68" s="264"/>
      <c r="H68" s="264"/>
      <c r="I68" s="250"/>
      <c r="J68" s="250"/>
      <c r="K68" s="250"/>
      <c r="L68" s="250"/>
      <c r="M68" s="250"/>
      <c r="N68" s="266"/>
      <c r="O68" s="250"/>
      <c r="P68" s="250"/>
      <c r="Q68" s="250"/>
      <c r="R68" s="250"/>
      <c r="S68" s="250"/>
      <c r="T68" s="267"/>
      <c r="U68" s="267"/>
      <c r="V68" s="267"/>
      <c r="W68" s="250"/>
      <c r="X68" s="250"/>
      <c r="Y68" s="250"/>
      <c r="Z68" s="250"/>
      <c r="AA68" s="266"/>
      <c r="AB68" s="250"/>
      <c r="AC68" s="250"/>
      <c r="AD68" s="250"/>
      <c r="AE68" s="250"/>
      <c r="AF68" s="249"/>
      <c r="AG68" s="249"/>
      <c r="AH68" s="249"/>
      <c r="AI68" s="249"/>
      <c r="AJ68" s="249"/>
      <c r="AK68" s="249"/>
      <c r="AL68" s="249"/>
      <c r="AM68" s="249"/>
      <c r="AN68" s="249"/>
      <c r="AO68" s="249"/>
      <c r="AP68" s="249"/>
      <c r="AQ68" s="66"/>
      <c r="AR68" s="66"/>
    </row>
    <row r="69" spans="1:44" x14ac:dyDescent="0.25">
      <c r="A69" s="264"/>
      <c r="B69" s="264"/>
      <c r="C69" s="264"/>
      <c r="D69" s="264"/>
      <c r="E69" s="264"/>
      <c r="F69" s="264"/>
      <c r="G69" s="264"/>
      <c r="H69" s="264"/>
      <c r="I69" s="250"/>
      <c r="J69" s="250"/>
      <c r="K69" s="250"/>
      <c r="L69" s="250"/>
      <c r="M69" s="250"/>
      <c r="N69" s="266"/>
      <c r="O69" s="250"/>
      <c r="P69" s="250"/>
      <c r="Q69" s="250"/>
      <c r="R69" s="250"/>
      <c r="S69" s="250"/>
      <c r="T69" s="267"/>
      <c r="U69" s="267"/>
      <c r="V69" s="267"/>
      <c r="W69" s="250"/>
      <c r="X69" s="250"/>
      <c r="Y69" s="250"/>
      <c r="Z69" s="250"/>
      <c r="AA69" s="266"/>
      <c r="AB69" s="250"/>
      <c r="AC69" s="250"/>
      <c r="AD69" s="250"/>
      <c r="AE69" s="250"/>
      <c r="AF69" s="249"/>
      <c r="AG69" s="249"/>
      <c r="AH69" s="249"/>
      <c r="AI69" s="249"/>
      <c r="AJ69" s="249"/>
      <c r="AK69" s="249"/>
      <c r="AL69" s="249"/>
      <c r="AM69" s="249"/>
      <c r="AN69" s="249"/>
      <c r="AO69" s="249"/>
      <c r="AP69" s="249"/>
      <c r="AQ69" s="66"/>
      <c r="AR69" s="66"/>
    </row>
    <row r="70" spans="1:44" x14ac:dyDescent="0.25">
      <c r="A70" s="264"/>
      <c r="B70" s="264"/>
      <c r="C70" s="264"/>
      <c r="D70" s="264"/>
      <c r="E70" s="264"/>
      <c r="F70" s="264"/>
      <c r="G70" s="264"/>
      <c r="H70" s="264"/>
      <c r="I70" s="250"/>
      <c r="J70" s="250"/>
      <c r="K70" s="250"/>
      <c r="L70" s="250"/>
      <c r="M70" s="250"/>
      <c r="N70" s="266"/>
      <c r="O70" s="250"/>
      <c r="P70" s="250"/>
      <c r="Q70" s="250"/>
      <c r="R70" s="250"/>
      <c r="S70" s="250"/>
      <c r="T70" s="267"/>
      <c r="U70" s="267"/>
      <c r="V70" s="267"/>
      <c r="W70" s="250"/>
      <c r="X70" s="250"/>
      <c r="Y70" s="250"/>
      <c r="Z70" s="250"/>
      <c r="AA70" s="266"/>
      <c r="AB70" s="250"/>
      <c r="AC70" s="250"/>
      <c r="AD70" s="250"/>
      <c r="AE70" s="250"/>
      <c r="AF70" s="249"/>
      <c r="AG70" s="249"/>
      <c r="AH70" s="249"/>
      <c r="AI70" s="249"/>
      <c r="AJ70" s="249"/>
      <c r="AK70" s="249"/>
      <c r="AL70" s="249"/>
      <c r="AM70" s="249"/>
      <c r="AN70" s="249"/>
      <c r="AO70" s="249"/>
      <c r="AP70" s="249"/>
      <c r="AQ70" s="66"/>
      <c r="AR70" s="66"/>
    </row>
    <row r="71" spans="1:44" x14ac:dyDescent="0.25">
      <c r="A71" s="264"/>
      <c r="B71" s="264"/>
      <c r="C71" s="264"/>
      <c r="D71" s="264"/>
      <c r="E71" s="264"/>
      <c r="F71" s="264"/>
      <c r="G71" s="264"/>
      <c r="H71" s="264"/>
      <c r="I71" s="250"/>
      <c r="J71" s="250"/>
      <c r="K71" s="250"/>
      <c r="L71" s="250"/>
      <c r="M71" s="250"/>
      <c r="N71" s="266"/>
      <c r="O71" s="250"/>
      <c r="P71" s="250"/>
      <c r="Q71" s="250"/>
      <c r="R71" s="250"/>
      <c r="S71" s="250"/>
      <c r="T71" s="267"/>
      <c r="U71" s="267"/>
      <c r="V71" s="267"/>
      <c r="W71" s="250"/>
      <c r="X71" s="250"/>
      <c r="Y71" s="250"/>
      <c r="Z71" s="250"/>
      <c r="AA71" s="266"/>
      <c r="AB71" s="250"/>
      <c r="AC71" s="250"/>
      <c r="AD71" s="250"/>
      <c r="AE71" s="250"/>
      <c r="AF71" s="249"/>
      <c r="AG71" s="249"/>
      <c r="AH71" s="249"/>
      <c r="AI71" s="249"/>
      <c r="AJ71" s="249"/>
      <c r="AK71" s="249"/>
      <c r="AL71" s="249"/>
      <c r="AM71" s="249"/>
      <c r="AN71" s="249"/>
      <c r="AO71" s="249"/>
      <c r="AP71" s="249"/>
      <c r="AQ71" s="66"/>
      <c r="AR71" s="66"/>
    </row>
    <row r="72" spans="1:44" x14ac:dyDescent="0.25">
      <c r="A72" s="264"/>
      <c r="B72" s="264"/>
      <c r="C72" s="264"/>
      <c r="D72" s="264"/>
      <c r="E72" s="264"/>
      <c r="F72" s="264"/>
      <c r="G72" s="264"/>
      <c r="H72" s="264"/>
      <c r="I72" s="250"/>
      <c r="J72" s="250"/>
      <c r="K72" s="250"/>
      <c r="L72" s="250"/>
      <c r="M72" s="250"/>
      <c r="N72" s="266"/>
      <c r="O72" s="250"/>
      <c r="P72" s="250"/>
      <c r="Q72" s="250"/>
      <c r="R72" s="250"/>
      <c r="S72" s="250"/>
      <c r="T72" s="267"/>
      <c r="U72" s="267"/>
      <c r="V72" s="267"/>
      <c r="W72" s="250"/>
      <c r="X72" s="250"/>
      <c r="Y72" s="250"/>
      <c r="Z72" s="250"/>
      <c r="AA72" s="266"/>
      <c r="AB72" s="250"/>
      <c r="AC72" s="250"/>
      <c r="AD72" s="250"/>
      <c r="AE72" s="250"/>
      <c r="AF72" s="249"/>
      <c r="AG72" s="249"/>
      <c r="AH72" s="249"/>
      <c r="AI72" s="249"/>
      <c r="AJ72" s="249"/>
      <c r="AK72" s="249"/>
      <c r="AL72" s="249"/>
      <c r="AM72" s="249"/>
      <c r="AN72" s="249"/>
      <c r="AO72" s="249"/>
      <c r="AP72" s="249"/>
      <c r="AQ72" s="66"/>
      <c r="AR72" s="66"/>
    </row>
    <row r="73" spans="1:44" x14ac:dyDescent="0.25">
      <c r="A73" s="264"/>
      <c r="B73" s="264"/>
      <c r="C73" s="264"/>
      <c r="D73" s="264"/>
      <c r="E73" s="264"/>
      <c r="F73" s="264"/>
      <c r="G73" s="264"/>
      <c r="H73" s="264"/>
      <c r="I73" s="250"/>
      <c r="J73" s="250"/>
      <c r="K73" s="250"/>
      <c r="L73" s="250"/>
      <c r="M73" s="250"/>
      <c r="N73" s="266"/>
      <c r="O73" s="250"/>
      <c r="P73" s="250"/>
      <c r="Q73" s="250"/>
      <c r="R73" s="250"/>
      <c r="S73" s="250"/>
      <c r="T73" s="267"/>
      <c r="U73" s="267"/>
      <c r="V73" s="267"/>
      <c r="W73" s="250"/>
      <c r="X73" s="250"/>
      <c r="Y73" s="250"/>
      <c r="Z73" s="250"/>
      <c r="AA73" s="266"/>
      <c r="AB73" s="250"/>
      <c r="AC73" s="250"/>
      <c r="AD73" s="250"/>
      <c r="AE73" s="250"/>
      <c r="AF73" s="249"/>
      <c r="AG73" s="249"/>
      <c r="AH73" s="249"/>
      <c r="AI73" s="249"/>
      <c r="AJ73" s="249"/>
      <c r="AK73" s="249"/>
      <c r="AL73" s="249"/>
      <c r="AM73" s="249"/>
      <c r="AN73" s="249"/>
      <c r="AO73" s="249"/>
      <c r="AP73" s="249"/>
      <c r="AQ73" s="66"/>
      <c r="AR73" s="66"/>
    </row>
    <row r="74" spans="1:44" x14ac:dyDescent="0.25">
      <c r="A74" s="264"/>
      <c r="B74" s="264"/>
      <c r="C74" s="264"/>
      <c r="D74" s="264"/>
      <c r="E74" s="264"/>
      <c r="F74" s="264"/>
      <c r="G74" s="264"/>
      <c r="H74" s="264"/>
      <c r="I74" s="250"/>
      <c r="J74" s="250"/>
      <c r="K74" s="250"/>
      <c r="L74" s="250"/>
      <c r="M74" s="250"/>
      <c r="N74" s="266"/>
      <c r="O74" s="250"/>
      <c r="P74" s="250"/>
      <c r="Q74" s="250"/>
      <c r="R74" s="250"/>
      <c r="S74" s="250"/>
      <c r="T74" s="267"/>
      <c r="U74" s="267"/>
      <c r="V74" s="267"/>
      <c r="W74" s="250"/>
      <c r="X74" s="250"/>
      <c r="Y74" s="250"/>
      <c r="Z74" s="250"/>
      <c r="AA74" s="266"/>
      <c r="AB74" s="250"/>
      <c r="AC74" s="250"/>
      <c r="AD74" s="250"/>
      <c r="AE74" s="250"/>
      <c r="AF74" s="249"/>
      <c r="AG74" s="249"/>
      <c r="AH74" s="249"/>
      <c r="AI74" s="249"/>
      <c r="AJ74" s="249"/>
      <c r="AK74" s="249"/>
      <c r="AL74" s="249"/>
      <c r="AM74" s="249"/>
      <c r="AN74" s="249"/>
      <c r="AO74" s="249"/>
      <c r="AP74" s="249"/>
      <c r="AQ74" s="66"/>
      <c r="AR74" s="66"/>
    </row>
    <row r="75" spans="1:44" x14ac:dyDescent="0.25">
      <c r="A75" s="264"/>
      <c r="B75" s="264"/>
      <c r="C75" s="264"/>
      <c r="D75" s="264"/>
      <c r="E75" s="264"/>
      <c r="F75" s="264"/>
      <c r="G75" s="264"/>
      <c r="H75" s="264"/>
      <c r="I75" s="250"/>
      <c r="J75" s="250"/>
      <c r="K75" s="250"/>
      <c r="L75" s="250"/>
      <c r="M75" s="250"/>
      <c r="N75" s="266"/>
      <c r="O75" s="250"/>
      <c r="P75" s="250"/>
      <c r="Q75" s="250"/>
      <c r="R75" s="250"/>
      <c r="S75" s="250"/>
      <c r="T75" s="267"/>
      <c r="U75" s="267"/>
      <c r="V75" s="267"/>
      <c r="W75" s="250"/>
      <c r="X75" s="250"/>
      <c r="Y75" s="250"/>
      <c r="Z75" s="250"/>
      <c r="AA75" s="266"/>
      <c r="AB75" s="250"/>
      <c r="AC75" s="250"/>
      <c r="AD75" s="250"/>
      <c r="AE75" s="250"/>
      <c r="AF75" s="249"/>
      <c r="AG75" s="249"/>
      <c r="AH75" s="249"/>
      <c r="AI75" s="249"/>
      <c r="AJ75" s="249"/>
      <c r="AK75" s="249"/>
      <c r="AL75" s="249"/>
      <c r="AM75" s="249"/>
      <c r="AN75" s="249"/>
      <c r="AO75" s="249"/>
      <c r="AP75" s="249"/>
      <c r="AQ75" s="66"/>
      <c r="AR75" s="66"/>
    </row>
    <row r="76" spans="1:44" x14ac:dyDescent="0.25">
      <c r="A76" s="264"/>
      <c r="B76" s="264"/>
      <c r="C76" s="264"/>
      <c r="D76" s="264"/>
      <c r="E76" s="264"/>
      <c r="F76" s="264"/>
      <c r="G76" s="264"/>
      <c r="H76" s="264"/>
      <c r="I76" s="250"/>
      <c r="J76" s="250"/>
      <c r="K76" s="250"/>
      <c r="L76" s="250"/>
      <c r="M76" s="250"/>
      <c r="N76" s="266"/>
      <c r="O76" s="250"/>
      <c r="P76" s="250"/>
      <c r="Q76" s="250"/>
      <c r="R76" s="250"/>
      <c r="S76" s="250"/>
      <c r="T76" s="267"/>
      <c r="U76" s="267"/>
      <c r="V76" s="267"/>
      <c r="W76" s="250"/>
      <c r="X76" s="250"/>
      <c r="Y76" s="250"/>
      <c r="Z76" s="250"/>
      <c r="AA76" s="266"/>
      <c r="AB76" s="250"/>
      <c r="AC76" s="250"/>
      <c r="AD76" s="250"/>
      <c r="AE76" s="250"/>
      <c r="AF76" s="249"/>
      <c r="AG76" s="249"/>
      <c r="AH76" s="249"/>
      <c r="AI76" s="249"/>
      <c r="AJ76" s="249"/>
      <c r="AK76" s="249"/>
      <c r="AL76" s="249"/>
      <c r="AM76" s="249"/>
      <c r="AN76" s="249"/>
      <c r="AO76" s="249"/>
      <c r="AP76" s="249"/>
      <c r="AQ76" s="66"/>
      <c r="AR76" s="66"/>
    </row>
    <row r="77" spans="1:44" x14ac:dyDescent="0.25">
      <c r="A77" s="264"/>
      <c r="B77" s="264"/>
      <c r="C77" s="264"/>
      <c r="D77" s="264"/>
      <c r="E77" s="264"/>
      <c r="F77" s="264"/>
      <c r="G77" s="264"/>
      <c r="H77" s="264"/>
      <c r="I77" s="250"/>
      <c r="J77" s="250"/>
      <c r="K77" s="250"/>
      <c r="L77" s="250"/>
      <c r="M77" s="250"/>
      <c r="N77" s="266"/>
      <c r="O77" s="250"/>
      <c r="P77" s="250"/>
      <c r="Q77" s="250"/>
      <c r="R77" s="250"/>
      <c r="S77" s="250"/>
      <c r="T77" s="267"/>
      <c r="U77" s="267"/>
      <c r="V77" s="267"/>
      <c r="W77" s="250"/>
      <c r="X77" s="250"/>
      <c r="Y77" s="250"/>
      <c r="Z77" s="250"/>
      <c r="AA77" s="266"/>
      <c r="AB77" s="250"/>
      <c r="AC77" s="250"/>
      <c r="AD77" s="250"/>
      <c r="AE77" s="250"/>
      <c r="AF77" s="249"/>
      <c r="AG77" s="249"/>
      <c r="AH77" s="249"/>
      <c r="AI77" s="249"/>
      <c r="AJ77" s="249"/>
      <c r="AK77" s="249"/>
      <c r="AL77" s="249"/>
      <c r="AM77" s="249"/>
      <c r="AN77" s="249"/>
      <c r="AO77" s="249"/>
      <c r="AP77" s="249"/>
      <c r="AQ77" s="66"/>
      <c r="AR77" s="66"/>
    </row>
    <row r="78" spans="1:44" x14ac:dyDescent="0.25">
      <c r="A78" s="264"/>
      <c r="B78" s="264"/>
      <c r="C78" s="264"/>
      <c r="D78" s="264"/>
      <c r="E78" s="264"/>
      <c r="F78" s="264"/>
      <c r="G78" s="264"/>
      <c r="H78" s="264"/>
      <c r="I78" s="250"/>
      <c r="J78" s="250"/>
      <c r="K78" s="250"/>
      <c r="L78" s="250"/>
      <c r="M78" s="250"/>
      <c r="N78" s="266"/>
      <c r="O78" s="250"/>
      <c r="P78" s="250"/>
      <c r="Q78" s="250"/>
      <c r="R78" s="250"/>
      <c r="S78" s="250"/>
      <c r="T78" s="267"/>
      <c r="U78" s="267"/>
      <c r="V78" s="267"/>
      <c r="W78" s="250"/>
      <c r="X78" s="250"/>
      <c r="Y78" s="250"/>
      <c r="Z78" s="250"/>
      <c r="AA78" s="266"/>
      <c r="AB78" s="250"/>
      <c r="AC78" s="250"/>
      <c r="AD78" s="250"/>
      <c r="AE78" s="250"/>
      <c r="AF78" s="249"/>
      <c r="AG78" s="249"/>
      <c r="AH78" s="249"/>
      <c r="AI78" s="249"/>
      <c r="AJ78" s="249"/>
      <c r="AK78" s="249"/>
      <c r="AL78" s="249"/>
      <c r="AM78" s="249"/>
      <c r="AN78" s="249"/>
      <c r="AO78" s="249"/>
      <c r="AP78" s="249"/>
      <c r="AQ78" s="66"/>
      <c r="AR78" s="66"/>
    </row>
    <row r="79" spans="1:44" x14ac:dyDescent="0.25">
      <c r="A79" s="264"/>
      <c r="B79" s="264"/>
      <c r="C79" s="264"/>
      <c r="D79" s="264"/>
      <c r="E79" s="264"/>
      <c r="F79" s="264"/>
      <c r="G79" s="264"/>
      <c r="H79" s="264"/>
      <c r="I79" s="250"/>
      <c r="J79" s="250"/>
      <c r="K79" s="250"/>
      <c r="L79" s="250"/>
      <c r="M79" s="250"/>
      <c r="N79" s="266"/>
      <c r="O79" s="250"/>
      <c r="P79" s="250"/>
      <c r="Q79" s="250"/>
      <c r="R79" s="250"/>
      <c r="S79" s="250"/>
      <c r="T79" s="267"/>
      <c r="U79" s="267"/>
      <c r="V79" s="267"/>
      <c r="W79" s="250"/>
      <c r="X79" s="250"/>
      <c r="Y79" s="250"/>
      <c r="Z79" s="250"/>
      <c r="AA79" s="266"/>
      <c r="AB79" s="250"/>
      <c r="AC79" s="250"/>
      <c r="AD79" s="250"/>
      <c r="AE79" s="250"/>
      <c r="AF79" s="249"/>
      <c r="AG79" s="249"/>
      <c r="AH79" s="249"/>
      <c r="AI79" s="249"/>
      <c r="AJ79" s="249"/>
      <c r="AK79" s="249"/>
      <c r="AL79" s="249"/>
      <c r="AM79" s="249"/>
      <c r="AN79" s="249"/>
      <c r="AO79" s="249"/>
      <c r="AP79" s="249"/>
      <c r="AQ79" s="66"/>
      <c r="AR79" s="66"/>
    </row>
    <row r="80" spans="1:44" x14ac:dyDescent="0.25">
      <c r="A80" s="264"/>
      <c r="B80" s="264"/>
      <c r="C80" s="264"/>
      <c r="D80" s="264"/>
      <c r="E80" s="264"/>
      <c r="F80" s="264"/>
      <c r="G80" s="264"/>
      <c r="H80" s="264"/>
      <c r="I80" s="250"/>
      <c r="J80" s="250"/>
      <c r="K80" s="250"/>
      <c r="L80" s="250"/>
      <c r="M80" s="250"/>
      <c r="N80" s="266"/>
      <c r="O80" s="250"/>
      <c r="P80" s="250"/>
      <c r="Q80" s="250"/>
      <c r="R80" s="250"/>
      <c r="S80" s="250"/>
      <c r="T80" s="267"/>
      <c r="U80" s="267"/>
      <c r="V80" s="267"/>
      <c r="W80" s="250"/>
      <c r="X80" s="250"/>
      <c r="Y80" s="250"/>
      <c r="Z80" s="250"/>
      <c r="AA80" s="266"/>
      <c r="AB80" s="250"/>
      <c r="AC80" s="250"/>
      <c r="AD80" s="250"/>
      <c r="AE80" s="250"/>
      <c r="AF80" s="249"/>
      <c r="AG80" s="249"/>
      <c r="AH80" s="249"/>
      <c r="AI80" s="249"/>
      <c r="AJ80" s="249"/>
      <c r="AK80" s="249"/>
      <c r="AL80" s="249"/>
      <c r="AM80" s="249"/>
      <c r="AN80" s="249"/>
      <c r="AO80" s="249"/>
      <c r="AP80" s="249"/>
      <c r="AQ80" s="66"/>
      <c r="AR80" s="66"/>
    </row>
    <row r="81" spans="1:44" x14ac:dyDescent="0.25">
      <c r="A81" s="264"/>
      <c r="B81" s="264"/>
      <c r="C81" s="264"/>
      <c r="D81" s="264"/>
      <c r="E81" s="264"/>
      <c r="F81" s="264"/>
      <c r="G81" s="264"/>
      <c r="H81" s="264"/>
      <c r="I81" s="250"/>
      <c r="J81" s="250"/>
      <c r="K81" s="250"/>
      <c r="L81" s="250"/>
      <c r="M81" s="250"/>
      <c r="N81" s="266"/>
      <c r="O81" s="250"/>
      <c r="P81" s="250"/>
      <c r="Q81" s="250"/>
      <c r="R81" s="250"/>
      <c r="S81" s="250"/>
      <c r="T81" s="267"/>
      <c r="U81" s="267"/>
      <c r="V81" s="267"/>
      <c r="W81" s="250"/>
      <c r="X81" s="250"/>
      <c r="Y81" s="250"/>
      <c r="Z81" s="250"/>
      <c r="AA81" s="266"/>
      <c r="AB81" s="250"/>
      <c r="AC81" s="250"/>
      <c r="AD81" s="250"/>
      <c r="AE81" s="250"/>
      <c r="AF81" s="249"/>
      <c r="AG81" s="249"/>
      <c r="AH81" s="249"/>
      <c r="AI81" s="249"/>
      <c r="AJ81" s="249"/>
      <c r="AK81" s="249"/>
      <c r="AL81" s="249"/>
      <c r="AM81" s="249"/>
      <c r="AN81" s="249"/>
      <c r="AO81" s="249"/>
      <c r="AP81" s="249"/>
      <c r="AQ81" s="66"/>
      <c r="AR81" s="66"/>
    </row>
    <row r="82" spans="1:44" x14ac:dyDescent="0.25">
      <c r="A82" s="264"/>
      <c r="B82" s="264"/>
      <c r="C82" s="264"/>
      <c r="D82" s="264"/>
      <c r="E82" s="264"/>
      <c r="F82" s="264"/>
      <c r="G82" s="264"/>
      <c r="H82" s="264"/>
      <c r="I82" s="250"/>
      <c r="J82" s="250"/>
      <c r="K82" s="250"/>
      <c r="L82" s="250"/>
      <c r="M82" s="250"/>
      <c r="N82" s="266"/>
      <c r="O82" s="250"/>
      <c r="P82" s="250"/>
      <c r="Q82" s="250"/>
      <c r="R82" s="250"/>
      <c r="S82" s="250"/>
      <c r="T82" s="267"/>
      <c r="U82" s="267"/>
      <c r="V82" s="267"/>
      <c r="W82" s="250"/>
      <c r="X82" s="250"/>
      <c r="Y82" s="250"/>
      <c r="Z82" s="250"/>
      <c r="AA82" s="266"/>
      <c r="AB82" s="250"/>
      <c r="AC82" s="250"/>
      <c r="AD82" s="250"/>
      <c r="AE82" s="250"/>
      <c r="AF82" s="249"/>
      <c r="AG82" s="249"/>
      <c r="AH82" s="249"/>
      <c r="AI82" s="249"/>
      <c r="AJ82" s="249"/>
      <c r="AK82" s="249"/>
      <c r="AL82" s="249"/>
      <c r="AM82" s="249"/>
      <c r="AN82" s="249"/>
      <c r="AO82" s="249"/>
      <c r="AP82" s="249"/>
      <c r="AQ82" s="66"/>
      <c r="AR82" s="66"/>
    </row>
    <row r="83" spans="1:44" x14ac:dyDescent="0.25">
      <c r="A83" s="264"/>
      <c r="B83" s="264"/>
      <c r="C83" s="264"/>
      <c r="D83" s="264"/>
      <c r="E83" s="264"/>
      <c r="F83" s="264"/>
      <c r="G83" s="264"/>
      <c r="H83" s="264"/>
      <c r="I83" s="250"/>
      <c r="J83" s="250"/>
      <c r="K83" s="250"/>
      <c r="L83" s="250"/>
      <c r="M83" s="250"/>
      <c r="N83" s="266"/>
      <c r="O83" s="250"/>
      <c r="P83" s="250"/>
      <c r="Q83" s="250"/>
      <c r="R83" s="250"/>
      <c r="S83" s="250"/>
      <c r="T83" s="267"/>
      <c r="U83" s="267"/>
      <c r="V83" s="267"/>
      <c r="W83" s="250"/>
      <c r="X83" s="250"/>
      <c r="Y83" s="250"/>
      <c r="Z83" s="250"/>
      <c r="AA83" s="266"/>
      <c r="AB83" s="250"/>
      <c r="AC83" s="250"/>
      <c r="AD83" s="250"/>
      <c r="AE83" s="250"/>
      <c r="AF83" s="249"/>
      <c r="AG83" s="249"/>
      <c r="AH83" s="249"/>
      <c r="AI83" s="249"/>
      <c r="AJ83" s="249"/>
      <c r="AK83" s="249"/>
      <c r="AL83" s="249"/>
      <c r="AM83" s="249"/>
      <c r="AN83" s="249"/>
      <c r="AO83" s="249"/>
      <c r="AP83" s="249"/>
      <c r="AQ83" s="66"/>
      <c r="AR83" s="66"/>
    </row>
    <row r="84" spans="1:44" x14ac:dyDescent="0.25">
      <c r="A84" s="264"/>
      <c r="B84" s="264"/>
      <c r="C84" s="264"/>
      <c r="D84" s="264"/>
      <c r="E84" s="264"/>
      <c r="F84" s="264"/>
      <c r="G84" s="264"/>
      <c r="H84" s="264"/>
      <c r="I84" s="250"/>
      <c r="J84" s="250"/>
      <c r="K84" s="250"/>
      <c r="L84" s="250"/>
      <c r="M84" s="250"/>
      <c r="N84" s="266"/>
      <c r="O84" s="250"/>
      <c r="P84" s="250"/>
      <c r="Q84" s="250"/>
      <c r="R84" s="250"/>
      <c r="S84" s="250"/>
      <c r="T84" s="267"/>
      <c r="U84" s="267"/>
      <c r="V84" s="267"/>
      <c r="W84" s="250"/>
      <c r="X84" s="250"/>
      <c r="Y84" s="250"/>
      <c r="Z84" s="250"/>
      <c r="AA84" s="266"/>
      <c r="AB84" s="250"/>
      <c r="AC84" s="250"/>
      <c r="AD84" s="250"/>
      <c r="AE84" s="250"/>
      <c r="AF84" s="249"/>
      <c r="AG84" s="249"/>
      <c r="AH84" s="249"/>
      <c r="AI84" s="249"/>
      <c r="AJ84" s="249"/>
      <c r="AK84" s="249"/>
      <c r="AL84" s="249"/>
      <c r="AM84" s="249"/>
      <c r="AN84" s="249"/>
      <c r="AO84" s="249"/>
      <c r="AP84" s="249"/>
      <c r="AQ84" s="66"/>
      <c r="AR84" s="66"/>
    </row>
    <row r="85" spans="1:44" x14ac:dyDescent="0.25">
      <c r="A85" s="264"/>
      <c r="B85" s="264"/>
      <c r="C85" s="264"/>
      <c r="D85" s="264"/>
      <c r="E85" s="264"/>
      <c r="F85" s="264"/>
      <c r="G85" s="264"/>
      <c r="H85" s="264"/>
      <c r="I85" s="250"/>
      <c r="J85" s="250"/>
      <c r="K85" s="250"/>
      <c r="L85" s="250"/>
      <c r="M85" s="250"/>
      <c r="N85" s="266"/>
      <c r="O85" s="250"/>
      <c r="P85" s="250"/>
      <c r="Q85" s="250"/>
      <c r="R85" s="250"/>
      <c r="S85" s="250"/>
      <c r="T85" s="267"/>
      <c r="U85" s="267"/>
      <c r="V85" s="267"/>
      <c r="W85" s="250"/>
      <c r="X85" s="250"/>
      <c r="Y85" s="250"/>
      <c r="Z85" s="250"/>
      <c r="AA85" s="266"/>
      <c r="AB85" s="250"/>
      <c r="AC85" s="250"/>
      <c r="AD85" s="250"/>
      <c r="AE85" s="250"/>
      <c r="AF85" s="249"/>
      <c r="AG85" s="249"/>
      <c r="AH85" s="249"/>
      <c r="AI85" s="249"/>
      <c r="AJ85" s="249"/>
      <c r="AK85" s="249"/>
      <c r="AL85" s="249"/>
      <c r="AM85" s="249"/>
      <c r="AN85" s="249"/>
      <c r="AO85" s="249"/>
      <c r="AP85" s="249"/>
      <c r="AQ85" s="66"/>
      <c r="AR85" s="66"/>
    </row>
    <row r="86" spans="1:44" x14ac:dyDescent="0.25">
      <c r="A86" s="264"/>
      <c r="B86" s="264"/>
      <c r="C86" s="264"/>
      <c r="D86" s="264"/>
      <c r="E86" s="264"/>
      <c r="F86" s="264"/>
      <c r="G86" s="264"/>
      <c r="H86" s="264"/>
      <c r="I86" s="250"/>
      <c r="J86" s="250"/>
      <c r="K86" s="250"/>
      <c r="L86" s="250"/>
      <c r="M86" s="250"/>
      <c r="N86" s="266"/>
      <c r="O86" s="250"/>
      <c r="P86" s="250"/>
      <c r="Q86" s="250"/>
      <c r="R86" s="250"/>
      <c r="S86" s="250"/>
      <c r="T86" s="267"/>
      <c r="U86" s="267"/>
      <c r="V86" s="267"/>
      <c r="W86" s="250"/>
      <c r="X86" s="250"/>
      <c r="Y86" s="250"/>
      <c r="Z86" s="250"/>
      <c r="AA86" s="266"/>
      <c r="AB86" s="250"/>
      <c r="AC86" s="250"/>
      <c r="AD86" s="250"/>
      <c r="AE86" s="250"/>
      <c r="AF86" s="249"/>
      <c r="AG86" s="249"/>
      <c r="AH86" s="249"/>
      <c r="AI86" s="249"/>
      <c r="AJ86" s="249"/>
      <c r="AK86" s="249"/>
      <c r="AL86" s="249"/>
      <c r="AM86" s="249"/>
      <c r="AN86" s="249"/>
      <c r="AO86" s="249"/>
      <c r="AP86" s="249"/>
      <c r="AQ86" s="66"/>
      <c r="AR86" s="66"/>
    </row>
    <row r="87" spans="1:44" x14ac:dyDescent="0.25">
      <c r="A87" s="264"/>
      <c r="B87" s="264"/>
      <c r="C87" s="264"/>
      <c r="D87" s="264"/>
      <c r="E87" s="264"/>
      <c r="F87" s="264"/>
      <c r="G87" s="264"/>
      <c r="H87" s="264"/>
      <c r="I87" s="250"/>
      <c r="J87" s="250"/>
      <c r="K87" s="250"/>
      <c r="L87" s="250"/>
      <c r="M87" s="250"/>
      <c r="N87" s="266"/>
      <c r="O87" s="250"/>
      <c r="P87" s="250"/>
      <c r="Q87" s="250"/>
      <c r="R87" s="250"/>
      <c r="S87" s="250"/>
      <c r="T87" s="267"/>
      <c r="U87" s="267"/>
      <c r="V87" s="267"/>
      <c r="W87" s="250"/>
      <c r="X87" s="250"/>
      <c r="Y87" s="250"/>
      <c r="Z87" s="250"/>
      <c r="AA87" s="266"/>
      <c r="AB87" s="250"/>
      <c r="AC87" s="250"/>
      <c r="AD87" s="250"/>
      <c r="AE87" s="250"/>
      <c r="AF87" s="249"/>
      <c r="AG87" s="249"/>
      <c r="AH87" s="249"/>
      <c r="AI87" s="249"/>
      <c r="AJ87" s="249"/>
      <c r="AK87" s="249"/>
      <c r="AL87" s="249"/>
      <c r="AM87" s="249"/>
      <c r="AN87" s="249"/>
      <c r="AO87" s="249"/>
      <c r="AP87" s="249"/>
      <c r="AQ87" s="66"/>
      <c r="AR87" s="66"/>
    </row>
    <row r="88" spans="1:44" x14ac:dyDescent="0.25">
      <c r="A88" s="264"/>
      <c r="B88" s="264"/>
      <c r="C88" s="264"/>
      <c r="D88" s="264"/>
      <c r="E88" s="264"/>
      <c r="F88" s="264"/>
      <c r="G88" s="264"/>
      <c r="H88" s="264"/>
      <c r="I88" s="250"/>
      <c r="J88" s="250"/>
      <c r="K88" s="250"/>
      <c r="L88" s="250"/>
      <c r="M88" s="250"/>
      <c r="N88" s="266"/>
      <c r="O88" s="250"/>
      <c r="P88" s="250"/>
      <c r="Q88" s="250"/>
      <c r="R88" s="250"/>
      <c r="S88" s="250"/>
      <c r="T88" s="267"/>
      <c r="U88" s="267"/>
      <c r="V88" s="267"/>
      <c r="W88" s="250"/>
      <c r="X88" s="250"/>
      <c r="Y88" s="250"/>
      <c r="Z88" s="250"/>
      <c r="AA88" s="266"/>
      <c r="AB88" s="250"/>
      <c r="AC88" s="250"/>
      <c r="AD88" s="250"/>
      <c r="AE88" s="250"/>
      <c r="AF88" s="249"/>
      <c r="AG88" s="249"/>
      <c r="AH88" s="249"/>
      <c r="AI88" s="249"/>
      <c r="AJ88" s="249"/>
      <c r="AK88" s="249"/>
      <c r="AL88" s="249"/>
      <c r="AM88" s="249"/>
      <c r="AN88" s="249"/>
      <c r="AO88" s="249"/>
      <c r="AP88" s="249"/>
      <c r="AQ88" s="66"/>
      <c r="AR88" s="66"/>
    </row>
    <row r="89" spans="1:44" x14ac:dyDescent="0.25">
      <c r="A89" s="264"/>
      <c r="B89" s="264"/>
      <c r="C89" s="264"/>
      <c r="D89" s="264"/>
      <c r="E89" s="264"/>
      <c r="F89" s="264"/>
      <c r="G89" s="264"/>
      <c r="H89" s="264"/>
      <c r="I89" s="250"/>
      <c r="J89" s="250"/>
      <c r="K89" s="250"/>
      <c r="L89" s="250"/>
      <c r="M89" s="250"/>
      <c r="N89" s="266"/>
      <c r="O89" s="250"/>
      <c r="P89" s="250"/>
      <c r="Q89" s="250"/>
      <c r="R89" s="250"/>
      <c r="S89" s="250"/>
      <c r="T89" s="267"/>
      <c r="U89" s="267"/>
      <c r="V89" s="267"/>
      <c r="W89" s="250"/>
      <c r="X89" s="250"/>
      <c r="Y89" s="250"/>
      <c r="Z89" s="250"/>
      <c r="AA89" s="266"/>
      <c r="AB89" s="250"/>
      <c r="AC89" s="250"/>
      <c r="AD89" s="250"/>
      <c r="AE89" s="250"/>
      <c r="AF89" s="249"/>
      <c r="AG89" s="249"/>
      <c r="AH89" s="249"/>
      <c r="AI89" s="249"/>
      <c r="AJ89" s="249"/>
      <c r="AK89" s="249"/>
      <c r="AL89" s="249"/>
      <c r="AM89" s="249"/>
      <c r="AN89" s="249"/>
      <c r="AO89" s="249"/>
      <c r="AP89" s="249"/>
      <c r="AQ89" s="66"/>
      <c r="AR89" s="66"/>
    </row>
    <row r="90" spans="1:44" x14ac:dyDescent="0.25">
      <c r="A90" s="264"/>
      <c r="B90" s="264"/>
      <c r="C90" s="264"/>
      <c r="D90" s="264"/>
      <c r="E90" s="264"/>
      <c r="F90" s="264"/>
      <c r="G90" s="264"/>
      <c r="H90" s="264"/>
      <c r="I90" s="250"/>
      <c r="J90" s="250"/>
      <c r="K90" s="250"/>
      <c r="L90" s="250"/>
      <c r="M90" s="250"/>
      <c r="N90" s="266"/>
      <c r="O90" s="250"/>
      <c r="P90" s="250"/>
      <c r="Q90" s="250"/>
      <c r="R90" s="250"/>
      <c r="S90" s="250"/>
      <c r="T90" s="267"/>
      <c r="U90" s="267"/>
      <c r="V90" s="267"/>
      <c r="W90" s="250"/>
      <c r="X90" s="250"/>
      <c r="Y90" s="250"/>
      <c r="Z90" s="250"/>
      <c r="AA90" s="266"/>
      <c r="AB90" s="250"/>
      <c r="AC90" s="250"/>
      <c r="AD90" s="250"/>
      <c r="AE90" s="250"/>
      <c r="AF90" s="249"/>
      <c r="AG90" s="249"/>
      <c r="AH90" s="249"/>
      <c r="AI90" s="249"/>
      <c r="AJ90" s="249"/>
      <c r="AK90" s="249"/>
      <c r="AL90" s="249"/>
      <c r="AM90" s="249"/>
      <c r="AN90" s="249"/>
      <c r="AO90" s="249"/>
      <c r="AP90" s="249"/>
      <c r="AQ90" s="66"/>
      <c r="AR90" s="66"/>
    </row>
    <row r="91" spans="1:44" x14ac:dyDescent="0.25">
      <c r="A91" s="264"/>
      <c r="B91" s="264"/>
      <c r="C91" s="264"/>
      <c r="D91" s="264"/>
      <c r="E91" s="264"/>
      <c r="F91" s="264"/>
      <c r="G91" s="264"/>
      <c r="H91" s="264"/>
      <c r="I91" s="250"/>
      <c r="J91" s="250"/>
      <c r="K91" s="250"/>
      <c r="L91" s="250"/>
      <c r="M91" s="250"/>
      <c r="N91" s="266"/>
      <c r="O91" s="250"/>
      <c r="P91" s="250"/>
      <c r="Q91" s="250"/>
      <c r="R91" s="250"/>
      <c r="S91" s="250"/>
      <c r="T91" s="267"/>
      <c r="U91" s="267"/>
      <c r="V91" s="267"/>
      <c r="W91" s="250"/>
      <c r="X91" s="250"/>
      <c r="Y91" s="250"/>
      <c r="Z91" s="250"/>
      <c r="AA91" s="266"/>
      <c r="AB91" s="250"/>
      <c r="AC91" s="250"/>
      <c r="AD91" s="250"/>
      <c r="AE91" s="250"/>
      <c r="AF91" s="249"/>
      <c r="AG91" s="249"/>
      <c r="AH91" s="249"/>
      <c r="AI91" s="249"/>
      <c r="AJ91" s="249"/>
      <c r="AK91" s="249"/>
      <c r="AL91" s="249"/>
      <c r="AM91" s="249"/>
      <c r="AN91" s="249"/>
      <c r="AO91" s="249"/>
      <c r="AP91" s="249"/>
      <c r="AQ91" s="66"/>
      <c r="AR91" s="66"/>
    </row>
    <row r="92" spans="1:44" x14ac:dyDescent="0.25">
      <c r="A92" s="264"/>
      <c r="B92" s="264"/>
      <c r="C92" s="264"/>
      <c r="D92" s="264"/>
      <c r="E92" s="264"/>
      <c r="F92" s="264"/>
      <c r="G92" s="264"/>
      <c r="H92" s="264"/>
      <c r="I92" s="250"/>
      <c r="J92" s="250"/>
      <c r="K92" s="250"/>
      <c r="L92" s="250"/>
      <c r="M92" s="250"/>
      <c r="N92" s="266"/>
      <c r="O92" s="250"/>
      <c r="P92" s="250"/>
      <c r="Q92" s="250"/>
      <c r="R92" s="250"/>
      <c r="S92" s="250"/>
      <c r="T92" s="267"/>
      <c r="U92" s="267"/>
      <c r="V92" s="267"/>
      <c r="W92" s="250"/>
      <c r="X92" s="250"/>
      <c r="Y92" s="250"/>
      <c r="Z92" s="250"/>
      <c r="AA92" s="266"/>
      <c r="AB92" s="250"/>
      <c r="AC92" s="250"/>
      <c r="AD92" s="250"/>
      <c r="AE92" s="250"/>
      <c r="AF92" s="249"/>
      <c r="AG92" s="249"/>
      <c r="AH92" s="249"/>
      <c r="AI92" s="249"/>
      <c r="AJ92" s="249"/>
      <c r="AK92" s="249"/>
      <c r="AL92" s="249"/>
      <c r="AM92" s="249"/>
      <c r="AN92" s="249"/>
      <c r="AO92" s="249"/>
      <c r="AP92" s="249"/>
      <c r="AQ92" s="66"/>
      <c r="AR92" s="66"/>
    </row>
    <row r="93" spans="1:44" x14ac:dyDescent="0.25">
      <c r="A93" s="264"/>
      <c r="B93" s="264"/>
      <c r="C93" s="264"/>
      <c r="D93" s="264"/>
      <c r="E93" s="264"/>
      <c r="F93" s="264"/>
      <c r="G93" s="264"/>
      <c r="H93" s="264"/>
      <c r="I93" s="250"/>
      <c r="J93" s="250"/>
      <c r="K93" s="250"/>
      <c r="L93" s="250"/>
      <c r="M93" s="250"/>
      <c r="N93" s="266"/>
      <c r="O93" s="250"/>
      <c r="P93" s="250"/>
      <c r="Q93" s="250"/>
      <c r="R93" s="250"/>
      <c r="S93" s="250"/>
      <c r="T93" s="267"/>
      <c r="U93" s="267"/>
      <c r="V93" s="267"/>
      <c r="W93" s="250"/>
      <c r="X93" s="250"/>
      <c r="Y93" s="250"/>
      <c r="Z93" s="250"/>
      <c r="AA93" s="266"/>
      <c r="AB93" s="250"/>
      <c r="AC93" s="250"/>
      <c r="AD93" s="250"/>
      <c r="AE93" s="250"/>
      <c r="AF93" s="249"/>
      <c r="AG93" s="249"/>
      <c r="AH93" s="249"/>
      <c r="AI93" s="249"/>
      <c r="AJ93" s="249"/>
      <c r="AK93" s="249"/>
      <c r="AL93" s="249"/>
      <c r="AM93" s="249"/>
      <c r="AN93" s="249"/>
      <c r="AO93" s="249"/>
      <c r="AP93" s="249"/>
      <c r="AQ93" s="66"/>
      <c r="AR93" s="66"/>
    </row>
    <row r="94" spans="1:44" x14ac:dyDescent="0.25">
      <c r="A94" s="264"/>
      <c r="B94" s="264"/>
      <c r="C94" s="264"/>
      <c r="D94" s="264"/>
      <c r="E94" s="264"/>
      <c r="F94" s="264"/>
      <c r="G94" s="264"/>
      <c r="H94" s="264"/>
      <c r="I94" s="250"/>
      <c r="J94" s="250"/>
      <c r="K94" s="250"/>
      <c r="L94" s="250"/>
      <c r="M94" s="250"/>
      <c r="N94" s="266"/>
      <c r="O94" s="250"/>
      <c r="P94" s="250"/>
      <c r="Q94" s="250"/>
      <c r="R94" s="250"/>
      <c r="S94" s="250"/>
      <c r="T94" s="267"/>
      <c r="U94" s="267"/>
      <c r="V94" s="267"/>
      <c r="W94" s="250"/>
      <c r="X94" s="250"/>
      <c r="Y94" s="250"/>
      <c r="Z94" s="250"/>
      <c r="AA94" s="266"/>
      <c r="AB94" s="250"/>
      <c r="AC94" s="250"/>
      <c r="AD94" s="250"/>
      <c r="AE94" s="250"/>
      <c r="AF94" s="249"/>
      <c r="AG94" s="249"/>
      <c r="AH94" s="249"/>
      <c r="AI94" s="249"/>
      <c r="AJ94" s="249"/>
      <c r="AK94" s="249"/>
      <c r="AL94" s="249"/>
      <c r="AM94" s="249"/>
      <c r="AN94" s="249"/>
      <c r="AO94" s="249"/>
      <c r="AP94" s="249"/>
      <c r="AQ94" s="66"/>
      <c r="AR94" s="66"/>
    </row>
    <row r="95" spans="1:44" x14ac:dyDescent="0.25">
      <c r="A95" s="264"/>
      <c r="B95" s="264"/>
      <c r="C95" s="264"/>
      <c r="D95" s="264"/>
      <c r="E95" s="264"/>
      <c r="F95" s="264"/>
      <c r="G95" s="264"/>
      <c r="H95" s="264"/>
      <c r="I95" s="250"/>
      <c r="J95" s="250"/>
      <c r="K95" s="250"/>
      <c r="L95" s="250"/>
      <c r="M95" s="250"/>
      <c r="N95" s="266"/>
      <c r="O95" s="250"/>
      <c r="P95" s="250"/>
      <c r="Q95" s="250"/>
      <c r="R95" s="250"/>
      <c r="S95" s="250"/>
      <c r="T95" s="267"/>
      <c r="U95" s="267"/>
      <c r="V95" s="267"/>
      <c r="W95" s="250"/>
      <c r="X95" s="250"/>
      <c r="Y95" s="250"/>
      <c r="Z95" s="250"/>
      <c r="AA95" s="266"/>
      <c r="AB95" s="250"/>
      <c r="AC95" s="250"/>
      <c r="AD95" s="250"/>
      <c r="AE95" s="250"/>
      <c r="AF95" s="249"/>
      <c r="AG95" s="249"/>
      <c r="AH95" s="249"/>
      <c r="AI95" s="249"/>
      <c r="AJ95" s="249"/>
      <c r="AK95" s="249"/>
      <c r="AL95" s="249"/>
      <c r="AM95" s="249"/>
      <c r="AN95" s="249"/>
      <c r="AO95" s="249"/>
      <c r="AP95" s="249"/>
      <c r="AQ95" s="66"/>
      <c r="AR95" s="66"/>
    </row>
    <row r="96" spans="1:44" x14ac:dyDescent="0.25">
      <c r="A96" s="264"/>
      <c r="B96" s="264"/>
      <c r="C96" s="264"/>
      <c r="D96" s="264"/>
      <c r="E96" s="264"/>
      <c r="F96" s="264"/>
      <c r="G96" s="264"/>
      <c r="H96" s="264"/>
      <c r="I96" s="250"/>
      <c r="J96" s="250"/>
      <c r="K96" s="250"/>
      <c r="L96" s="250"/>
      <c r="M96" s="250"/>
      <c r="N96" s="266"/>
      <c r="O96" s="250"/>
      <c r="P96" s="250"/>
      <c r="Q96" s="250"/>
      <c r="R96" s="250"/>
      <c r="S96" s="250"/>
      <c r="T96" s="267"/>
      <c r="U96" s="267"/>
      <c r="V96" s="267"/>
      <c r="W96" s="250"/>
      <c r="X96" s="250"/>
      <c r="Y96" s="250"/>
      <c r="Z96" s="250"/>
      <c r="AA96" s="266"/>
      <c r="AB96" s="250"/>
      <c r="AC96" s="250"/>
      <c r="AD96" s="250"/>
      <c r="AE96" s="250"/>
      <c r="AF96" s="249"/>
      <c r="AG96" s="249"/>
      <c r="AH96" s="249"/>
      <c r="AI96" s="249"/>
      <c r="AJ96" s="249"/>
      <c r="AK96" s="249"/>
      <c r="AL96" s="249"/>
      <c r="AM96" s="249"/>
      <c r="AN96" s="249"/>
      <c r="AO96" s="249"/>
      <c r="AP96" s="249"/>
      <c r="AQ96" s="66"/>
      <c r="AR96" s="66"/>
    </row>
    <row r="97" spans="1:44" x14ac:dyDescent="0.25">
      <c r="A97" s="264"/>
      <c r="B97" s="264"/>
      <c r="C97" s="264"/>
      <c r="D97" s="264"/>
      <c r="E97" s="264"/>
      <c r="F97" s="264"/>
      <c r="G97" s="264"/>
      <c r="H97" s="264"/>
      <c r="I97" s="250"/>
      <c r="J97" s="250"/>
      <c r="K97" s="250"/>
      <c r="L97" s="250"/>
      <c r="M97" s="250"/>
      <c r="N97" s="266"/>
      <c r="O97" s="250"/>
      <c r="P97" s="250"/>
      <c r="Q97" s="250"/>
      <c r="R97" s="250"/>
      <c r="S97" s="250"/>
      <c r="T97" s="267"/>
      <c r="U97" s="267"/>
      <c r="V97" s="267"/>
      <c r="W97" s="250"/>
      <c r="X97" s="250"/>
      <c r="Y97" s="250"/>
      <c r="Z97" s="250"/>
      <c r="AA97" s="266"/>
      <c r="AB97" s="250"/>
      <c r="AC97" s="250"/>
      <c r="AD97" s="250"/>
      <c r="AE97" s="250"/>
      <c r="AF97" s="249"/>
      <c r="AG97" s="249"/>
      <c r="AH97" s="249"/>
      <c r="AI97" s="249"/>
      <c r="AJ97" s="249"/>
      <c r="AK97" s="249"/>
      <c r="AL97" s="249"/>
      <c r="AM97" s="249"/>
      <c r="AN97" s="249"/>
      <c r="AO97" s="249"/>
      <c r="AP97" s="249"/>
      <c r="AQ97" s="66"/>
      <c r="AR97" s="66"/>
    </row>
    <row r="98" spans="1:44" x14ac:dyDescent="0.25">
      <c r="A98" s="264"/>
      <c r="B98" s="264"/>
      <c r="C98" s="264"/>
      <c r="D98" s="264"/>
      <c r="E98" s="264"/>
      <c r="F98" s="264"/>
      <c r="G98" s="264"/>
      <c r="H98" s="264"/>
      <c r="I98" s="250"/>
      <c r="J98" s="250"/>
      <c r="K98" s="250"/>
      <c r="L98" s="250"/>
      <c r="M98" s="250"/>
      <c r="N98" s="266"/>
      <c r="O98" s="250"/>
      <c r="P98" s="250"/>
      <c r="Q98" s="250"/>
      <c r="R98" s="250"/>
      <c r="S98" s="250"/>
      <c r="T98" s="267"/>
      <c r="U98" s="267"/>
      <c r="V98" s="267"/>
      <c r="W98" s="250"/>
      <c r="X98" s="250"/>
      <c r="Y98" s="250"/>
      <c r="Z98" s="250"/>
      <c r="AA98" s="266"/>
      <c r="AB98" s="250"/>
      <c r="AC98" s="250"/>
      <c r="AD98" s="250"/>
      <c r="AE98" s="250"/>
      <c r="AF98" s="249"/>
      <c r="AG98" s="249"/>
      <c r="AH98" s="249"/>
      <c r="AI98" s="249"/>
      <c r="AJ98" s="249"/>
      <c r="AK98" s="249"/>
      <c r="AL98" s="249"/>
      <c r="AM98" s="249"/>
      <c r="AN98" s="249"/>
      <c r="AO98" s="249"/>
      <c r="AP98" s="249"/>
      <c r="AQ98" s="66"/>
      <c r="AR98" s="66"/>
    </row>
    <row r="99" spans="1:44" x14ac:dyDescent="0.25">
      <c r="A99" s="264"/>
      <c r="B99" s="264"/>
      <c r="C99" s="264"/>
      <c r="D99" s="264"/>
      <c r="E99" s="264"/>
      <c r="F99" s="264"/>
      <c r="G99" s="264"/>
      <c r="H99" s="264"/>
      <c r="I99" s="250"/>
      <c r="J99" s="250"/>
      <c r="K99" s="250"/>
      <c r="L99" s="250"/>
      <c r="M99" s="250"/>
      <c r="N99" s="266"/>
      <c r="O99" s="250"/>
      <c r="P99" s="250"/>
      <c r="Q99" s="250"/>
      <c r="R99" s="250"/>
      <c r="S99" s="250"/>
      <c r="T99" s="267"/>
      <c r="U99" s="267"/>
      <c r="V99" s="267"/>
      <c r="W99" s="250"/>
      <c r="X99" s="250"/>
      <c r="Y99" s="250"/>
      <c r="Z99" s="250"/>
      <c r="AA99" s="266"/>
      <c r="AB99" s="250"/>
      <c r="AC99" s="250"/>
      <c r="AD99" s="250"/>
      <c r="AE99" s="250"/>
      <c r="AF99" s="249"/>
      <c r="AG99" s="249"/>
      <c r="AH99" s="249"/>
      <c r="AI99" s="249"/>
      <c r="AJ99" s="249"/>
      <c r="AK99" s="249"/>
      <c r="AL99" s="249"/>
      <c r="AM99" s="249"/>
      <c r="AN99" s="249"/>
      <c r="AO99" s="249"/>
      <c r="AP99" s="249"/>
      <c r="AQ99" s="66"/>
      <c r="AR99" s="66"/>
    </row>
    <row r="100" spans="1:44" x14ac:dyDescent="0.25">
      <c r="A100" s="264"/>
      <c r="B100" s="264"/>
      <c r="C100" s="264"/>
      <c r="D100" s="264"/>
      <c r="E100" s="264"/>
      <c r="F100" s="264"/>
      <c r="G100" s="264"/>
      <c r="H100" s="264"/>
      <c r="I100" s="250"/>
      <c r="J100" s="250"/>
      <c r="K100" s="250"/>
      <c r="L100" s="250"/>
      <c r="M100" s="250"/>
      <c r="N100" s="266"/>
      <c r="O100" s="250"/>
      <c r="P100" s="250"/>
      <c r="Q100" s="250"/>
      <c r="R100" s="250"/>
      <c r="S100" s="250"/>
      <c r="T100" s="267"/>
      <c r="U100" s="267"/>
      <c r="V100" s="267"/>
      <c r="W100" s="250"/>
      <c r="X100" s="250"/>
      <c r="Y100" s="250"/>
      <c r="Z100" s="250"/>
      <c r="AA100" s="266"/>
      <c r="AB100" s="250"/>
      <c r="AC100" s="250"/>
      <c r="AD100" s="250"/>
      <c r="AE100" s="250"/>
      <c r="AF100" s="249"/>
      <c r="AG100" s="249"/>
      <c r="AH100" s="249"/>
      <c r="AI100" s="249"/>
      <c r="AJ100" s="249"/>
      <c r="AK100" s="249"/>
      <c r="AL100" s="249"/>
      <c r="AM100" s="249"/>
      <c r="AN100" s="249"/>
      <c r="AO100" s="249"/>
      <c r="AP100" s="249"/>
      <c r="AQ100" s="66"/>
      <c r="AR100" s="66"/>
    </row>
    <row r="101" spans="1:44" x14ac:dyDescent="0.25">
      <c r="A101" s="264"/>
      <c r="B101" s="264"/>
      <c r="C101" s="264"/>
      <c r="D101" s="264"/>
      <c r="E101" s="264"/>
      <c r="F101" s="264"/>
      <c r="G101" s="264"/>
      <c r="H101" s="264"/>
      <c r="I101" s="250"/>
      <c r="J101" s="250"/>
      <c r="K101" s="250"/>
      <c r="L101" s="250"/>
      <c r="M101" s="250"/>
      <c r="N101" s="266"/>
      <c r="O101" s="250"/>
      <c r="P101" s="250"/>
      <c r="Q101" s="250"/>
      <c r="R101" s="250"/>
      <c r="S101" s="250"/>
      <c r="T101" s="267"/>
      <c r="U101" s="267"/>
      <c r="V101" s="267"/>
      <c r="W101" s="250"/>
      <c r="X101" s="250"/>
      <c r="Y101" s="250"/>
      <c r="Z101" s="250"/>
      <c r="AA101" s="266"/>
      <c r="AB101" s="250"/>
      <c r="AC101" s="250"/>
      <c r="AD101" s="250"/>
      <c r="AE101" s="250"/>
      <c r="AF101" s="249"/>
      <c r="AG101" s="249"/>
      <c r="AH101" s="249"/>
      <c r="AI101" s="249"/>
      <c r="AJ101" s="249"/>
      <c r="AK101" s="249"/>
      <c r="AL101" s="249"/>
      <c r="AM101" s="249"/>
      <c r="AN101" s="249"/>
      <c r="AO101" s="249"/>
      <c r="AP101" s="249"/>
      <c r="AQ101" s="66"/>
      <c r="AR101" s="66"/>
    </row>
    <row r="102" spans="1:44" x14ac:dyDescent="0.25">
      <c r="A102" s="264"/>
      <c r="B102" s="264"/>
      <c r="C102" s="264"/>
      <c r="D102" s="264"/>
      <c r="E102" s="264"/>
      <c r="F102" s="264"/>
      <c r="G102" s="264"/>
      <c r="H102" s="264"/>
      <c r="I102" s="250"/>
      <c r="J102" s="250"/>
      <c r="K102" s="250"/>
      <c r="L102" s="250"/>
      <c r="M102" s="250"/>
      <c r="N102" s="266"/>
      <c r="O102" s="250"/>
      <c r="P102" s="250"/>
      <c r="Q102" s="250"/>
      <c r="R102" s="250"/>
      <c r="S102" s="250"/>
      <c r="T102" s="267"/>
      <c r="U102" s="267"/>
      <c r="V102" s="267"/>
      <c r="W102" s="250"/>
      <c r="X102" s="250"/>
      <c r="Y102" s="250"/>
      <c r="Z102" s="250"/>
      <c r="AA102" s="266"/>
      <c r="AB102" s="250"/>
      <c r="AC102" s="250"/>
      <c r="AD102" s="250"/>
      <c r="AE102" s="250"/>
      <c r="AF102" s="249"/>
      <c r="AG102" s="249"/>
      <c r="AH102" s="249"/>
      <c r="AI102" s="249"/>
      <c r="AJ102" s="249"/>
      <c r="AK102" s="249"/>
      <c r="AL102" s="249"/>
      <c r="AM102" s="249"/>
      <c r="AN102" s="249"/>
      <c r="AO102" s="249"/>
      <c r="AP102" s="249"/>
      <c r="AQ102" s="66"/>
      <c r="AR102" s="66"/>
    </row>
    <row r="103" spans="1:44" x14ac:dyDescent="0.25">
      <c r="A103" s="264"/>
      <c r="B103" s="264"/>
      <c r="C103" s="264"/>
      <c r="D103" s="264"/>
      <c r="E103" s="264"/>
      <c r="F103" s="264"/>
      <c r="G103" s="264"/>
      <c r="H103" s="264"/>
      <c r="I103" s="250"/>
      <c r="J103" s="250"/>
      <c r="K103" s="250"/>
      <c r="L103" s="250"/>
      <c r="M103" s="250"/>
      <c r="N103" s="266"/>
      <c r="O103" s="250"/>
      <c r="P103" s="250"/>
      <c r="Q103" s="250"/>
      <c r="R103" s="250"/>
      <c r="S103" s="250"/>
      <c r="T103" s="267"/>
      <c r="U103" s="267"/>
      <c r="V103" s="267"/>
      <c r="W103" s="250"/>
      <c r="X103" s="250"/>
      <c r="Y103" s="250"/>
      <c r="Z103" s="250"/>
      <c r="AA103" s="266"/>
      <c r="AB103" s="250"/>
      <c r="AC103" s="250"/>
      <c r="AD103" s="250"/>
      <c r="AE103" s="250"/>
      <c r="AF103" s="249"/>
      <c r="AG103" s="249"/>
      <c r="AH103" s="249"/>
      <c r="AI103" s="249"/>
      <c r="AJ103" s="249"/>
      <c r="AK103" s="249"/>
      <c r="AL103" s="249"/>
      <c r="AM103" s="249"/>
      <c r="AN103" s="249"/>
      <c r="AO103" s="249"/>
      <c r="AP103" s="249"/>
      <c r="AQ103" s="66"/>
      <c r="AR103" s="66"/>
    </row>
    <row r="104" spans="1:44" x14ac:dyDescent="0.25">
      <c r="A104" s="264"/>
      <c r="B104" s="264"/>
      <c r="C104" s="264"/>
      <c r="D104" s="264"/>
      <c r="E104" s="264"/>
      <c r="F104" s="264"/>
      <c r="G104" s="264"/>
      <c r="H104" s="264"/>
      <c r="I104" s="250"/>
      <c r="J104" s="250"/>
      <c r="K104" s="250"/>
      <c r="L104" s="250"/>
      <c r="M104" s="250"/>
      <c r="N104" s="266"/>
      <c r="O104" s="250"/>
      <c r="P104" s="250"/>
      <c r="Q104" s="250"/>
      <c r="R104" s="250"/>
      <c r="S104" s="250"/>
      <c r="T104" s="267"/>
      <c r="U104" s="267"/>
      <c r="V104" s="267"/>
      <c r="W104" s="250"/>
      <c r="X104" s="250"/>
      <c r="Y104" s="250"/>
      <c r="Z104" s="250"/>
      <c r="AA104" s="266"/>
      <c r="AB104" s="250"/>
      <c r="AC104" s="250"/>
      <c r="AD104" s="250"/>
      <c r="AE104" s="250"/>
      <c r="AF104" s="249"/>
      <c r="AG104" s="249"/>
      <c r="AH104" s="249"/>
      <c r="AI104" s="249"/>
      <c r="AJ104" s="249"/>
      <c r="AK104" s="249"/>
      <c r="AL104" s="249"/>
      <c r="AM104" s="249"/>
      <c r="AN104" s="249"/>
      <c r="AO104" s="249"/>
      <c r="AP104" s="249"/>
      <c r="AQ104" s="66"/>
      <c r="AR104" s="66"/>
    </row>
    <row r="105" spans="1:44" x14ac:dyDescent="0.25">
      <c r="A105" s="264"/>
      <c r="B105" s="264"/>
      <c r="C105" s="264"/>
      <c r="D105" s="264"/>
      <c r="E105" s="264"/>
      <c r="F105" s="264"/>
      <c r="G105" s="264"/>
      <c r="H105" s="264"/>
      <c r="I105" s="250"/>
      <c r="J105" s="250"/>
      <c r="K105" s="250"/>
      <c r="L105" s="250"/>
      <c r="M105" s="250"/>
      <c r="N105" s="266"/>
      <c r="O105" s="250"/>
      <c r="P105" s="250"/>
      <c r="Q105" s="250"/>
      <c r="R105" s="250"/>
      <c r="S105" s="250"/>
      <c r="T105" s="267"/>
      <c r="U105" s="267"/>
      <c r="V105" s="267"/>
      <c r="W105" s="250"/>
      <c r="X105" s="250"/>
      <c r="Y105" s="250"/>
      <c r="Z105" s="250"/>
      <c r="AA105" s="266"/>
      <c r="AB105" s="250"/>
      <c r="AC105" s="250"/>
      <c r="AD105" s="250"/>
      <c r="AE105" s="250"/>
      <c r="AF105" s="249"/>
      <c r="AG105" s="249"/>
      <c r="AH105" s="249"/>
      <c r="AI105" s="249"/>
      <c r="AJ105" s="249"/>
      <c r="AK105" s="249"/>
      <c r="AL105" s="249"/>
      <c r="AM105" s="249"/>
      <c r="AN105" s="249"/>
      <c r="AO105" s="249"/>
      <c r="AP105" s="249"/>
      <c r="AQ105" s="66"/>
      <c r="AR105" s="66"/>
    </row>
    <row r="106" spans="1:44" x14ac:dyDescent="0.25">
      <c r="A106" s="264"/>
      <c r="B106" s="264"/>
      <c r="C106" s="264"/>
      <c r="D106" s="264"/>
      <c r="E106" s="264"/>
      <c r="F106" s="264"/>
      <c r="G106" s="264"/>
      <c r="H106" s="264"/>
      <c r="I106" s="250"/>
      <c r="J106" s="250"/>
      <c r="K106" s="250"/>
      <c r="L106" s="250"/>
      <c r="M106" s="250"/>
      <c r="N106" s="266"/>
      <c r="O106" s="250"/>
      <c r="P106" s="250"/>
      <c r="Q106" s="250"/>
      <c r="R106" s="250"/>
      <c r="S106" s="250"/>
      <c r="T106" s="267"/>
      <c r="U106" s="267"/>
      <c r="V106" s="267"/>
      <c r="W106" s="250"/>
      <c r="X106" s="250"/>
      <c r="Y106" s="250"/>
      <c r="Z106" s="250"/>
      <c r="AA106" s="266"/>
      <c r="AB106" s="250"/>
      <c r="AC106" s="250"/>
      <c r="AD106" s="250"/>
      <c r="AE106" s="250"/>
      <c r="AF106" s="249"/>
      <c r="AG106" s="249"/>
      <c r="AH106" s="249"/>
      <c r="AI106" s="249"/>
      <c r="AJ106" s="249"/>
      <c r="AK106" s="249"/>
      <c r="AL106" s="249"/>
      <c r="AM106" s="249"/>
      <c r="AN106" s="249"/>
      <c r="AO106" s="249"/>
      <c r="AP106" s="249"/>
      <c r="AQ106" s="66"/>
      <c r="AR106" s="66"/>
    </row>
    <row r="107" spans="1:44" x14ac:dyDescent="0.25">
      <c r="A107" s="264"/>
      <c r="B107" s="264"/>
      <c r="C107" s="264"/>
      <c r="D107" s="264"/>
      <c r="E107" s="264"/>
      <c r="F107" s="264"/>
      <c r="G107" s="264"/>
      <c r="H107" s="264"/>
      <c r="I107" s="250"/>
      <c r="J107" s="250"/>
      <c r="K107" s="250"/>
      <c r="L107" s="250"/>
      <c r="M107" s="250"/>
      <c r="N107" s="266"/>
      <c r="O107" s="250"/>
      <c r="P107" s="250"/>
      <c r="Q107" s="250"/>
      <c r="R107" s="250"/>
      <c r="S107" s="250"/>
      <c r="T107" s="267"/>
      <c r="U107" s="267"/>
      <c r="V107" s="267"/>
      <c r="W107" s="250"/>
      <c r="X107" s="250"/>
      <c r="Y107" s="250"/>
      <c r="Z107" s="250"/>
      <c r="AA107" s="266"/>
      <c r="AB107" s="250"/>
      <c r="AC107" s="250"/>
      <c r="AD107" s="250"/>
      <c r="AE107" s="250"/>
      <c r="AF107" s="249"/>
      <c r="AG107" s="249"/>
      <c r="AH107" s="249"/>
      <c r="AI107" s="249"/>
      <c r="AJ107" s="249"/>
      <c r="AK107" s="249"/>
      <c r="AL107" s="249"/>
      <c r="AM107" s="249"/>
      <c r="AN107" s="249"/>
      <c r="AO107" s="249"/>
      <c r="AP107" s="249"/>
      <c r="AQ107" s="66"/>
      <c r="AR107" s="66"/>
    </row>
    <row r="108" spans="1:44" x14ac:dyDescent="0.25">
      <c r="A108" s="264"/>
      <c r="B108" s="264"/>
      <c r="C108" s="264"/>
      <c r="D108" s="264"/>
      <c r="E108" s="264"/>
      <c r="F108" s="264"/>
      <c r="G108" s="264"/>
      <c r="H108" s="264"/>
      <c r="I108" s="250"/>
      <c r="J108" s="250"/>
      <c r="K108" s="250"/>
      <c r="L108" s="250"/>
      <c r="M108" s="250"/>
      <c r="N108" s="266"/>
      <c r="O108" s="250"/>
      <c r="P108" s="250"/>
      <c r="Q108" s="250"/>
      <c r="R108" s="250"/>
      <c r="S108" s="250"/>
      <c r="T108" s="267"/>
      <c r="U108" s="267"/>
      <c r="V108" s="267"/>
      <c r="W108" s="250"/>
      <c r="X108" s="250"/>
      <c r="Y108" s="250"/>
      <c r="Z108" s="250"/>
      <c r="AA108" s="266"/>
      <c r="AB108" s="250"/>
      <c r="AC108" s="250"/>
      <c r="AD108" s="250"/>
      <c r="AE108" s="250"/>
      <c r="AF108" s="249"/>
      <c r="AG108" s="249"/>
      <c r="AH108" s="249"/>
      <c r="AI108" s="249"/>
      <c r="AJ108" s="249"/>
      <c r="AK108" s="249"/>
      <c r="AL108" s="249"/>
      <c r="AM108" s="249"/>
      <c r="AN108" s="249"/>
      <c r="AO108" s="249"/>
      <c r="AP108" s="249"/>
      <c r="AQ108" s="66"/>
      <c r="AR108" s="66"/>
    </row>
    <row r="109" spans="1:44" x14ac:dyDescent="0.25">
      <c r="A109" s="264"/>
      <c r="B109" s="264"/>
      <c r="C109" s="264"/>
      <c r="D109" s="264"/>
      <c r="E109" s="264"/>
      <c r="F109" s="264"/>
      <c r="G109" s="264"/>
      <c r="H109" s="264"/>
      <c r="I109" s="250"/>
      <c r="J109" s="250"/>
      <c r="K109" s="250"/>
      <c r="L109" s="250"/>
      <c r="M109" s="250"/>
      <c r="N109" s="266"/>
      <c r="O109" s="250"/>
      <c r="P109" s="250"/>
      <c r="Q109" s="250"/>
      <c r="R109" s="250"/>
      <c r="S109" s="250"/>
      <c r="T109" s="267"/>
      <c r="U109" s="267"/>
      <c r="V109" s="267"/>
      <c r="W109" s="250"/>
      <c r="X109" s="250"/>
      <c r="Y109" s="250"/>
      <c r="Z109" s="250"/>
      <c r="AA109" s="266"/>
      <c r="AB109" s="250"/>
      <c r="AC109" s="250"/>
      <c r="AD109" s="250"/>
      <c r="AE109" s="250"/>
      <c r="AF109" s="249"/>
      <c r="AG109" s="249"/>
      <c r="AH109" s="249"/>
      <c r="AI109" s="249"/>
      <c r="AJ109" s="249"/>
      <c r="AK109" s="249"/>
      <c r="AL109" s="249"/>
      <c r="AM109" s="249"/>
      <c r="AN109" s="249"/>
      <c r="AO109" s="249"/>
      <c r="AP109" s="249"/>
      <c r="AQ109" s="66"/>
      <c r="AR109" s="66"/>
    </row>
    <row r="110" spans="1:44" x14ac:dyDescent="0.25">
      <c r="A110" s="264"/>
      <c r="B110" s="264"/>
      <c r="C110" s="264"/>
      <c r="D110" s="264"/>
      <c r="E110" s="264"/>
      <c r="F110" s="264"/>
      <c r="G110" s="264"/>
      <c r="H110" s="264"/>
      <c r="I110" s="250"/>
      <c r="J110" s="250"/>
      <c r="K110" s="250"/>
      <c r="L110" s="250"/>
      <c r="M110" s="250"/>
      <c r="N110" s="266"/>
      <c r="O110" s="250"/>
      <c r="P110" s="250"/>
      <c r="Q110" s="250"/>
      <c r="R110" s="250"/>
      <c r="S110" s="250"/>
      <c r="T110" s="267"/>
      <c r="U110" s="267"/>
      <c r="V110" s="267"/>
      <c r="W110" s="250"/>
      <c r="X110" s="250"/>
      <c r="Y110" s="250"/>
      <c r="Z110" s="250"/>
      <c r="AA110" s="266"/>
      <c r="AB110" s="250"/>
      <c r="AC110" s="250"/>
      <c r="AD110" s="250"/>
      <c r="AE110" s="250"/>
      <c r="AF110" s="249"/>
      <c r="AG110" s="249"/>
      <c r="AH110" s="249"/>
      <c r="AI110" s="249"/>
      <c r="AJ110" s="249"/>
      <c r="AK110" s="249"/>
      <c r="AL110" s="249"/>
      <c r="AM110" s="249"/>
      <c r="AN110" s="249"/>
      <c r="AO110" s="249"/>
      <c r="AP110" s="249"/>
      <c r="AQ110" s="66"/>
      <c r="AR110" s="66"/>
    </row>
    <row r="111" spans="1:44" x14ac:dyDescent="0.25">
      <c r="A111" s="264"/>
      <c r="B111" s="264"/>
      <c r="C111" s="264"/>
      <c r="D111" s="264"/>
      <c r="E111" s="264"/>
      <c r="F111" s="264"/>
      <c r="G111" s="264"/>
      <c r="H111" s="264"/>
      <c r="I111" s="250"/>
      <c r="J111" s="250"/>
      <c r="K111" s="250"/>
      <c r="L111" s="250"/>
      <c r="M111" s="250"/>
      <c r="N111" s="266"/>
      <c r="O111" s="250"/>
      <c r="P111" s="250"/>
      <c r="Q111" s="250"/>
      <c r="R111" s="250"/>
      <c r="S111" s="250"/>
      <c r="T111" s="267"/>
      <c r="U111" s="267"/>
      <c r="V111" s="267"/>
      <c r="W111" s="250"/>
      <c r="X111" s="250"/>
      <c r="Y111" s="250"/>
      <c r="Z111" s="250"/>
      <c r="AA111" s="266"/>
      <c r="AB111" s="250"/>
      <c r="AC111" s="250"/>
      <c r="AD111" s="250"/>
      <c r="AE111" s="250"/>
      <c r="AF111" s="249"/>
      <c r="AG111" s="249"/>
      <c r="AH111" s="249"/>
      <c r="AI111" s="249"/>
      <c r="AJ111" s="249"/>
      <c r="AK111" s="249"/>
      <c r="AL111" s="249"/>
      <c r="AM111" s="249"/>
      <c r="AN111" s="249"/>
      <c r="AO111" s="249"/>
      <c r="AP111" s="249"/>
      <c r="AQ111" s="66"/>
      <c r="AR111" s="66"/>
    </row>
    <row r="112" spans="1:44" x14ac:dyDescent="0.25">
      <c r="A112" s="264"/>
      <c r="B112" s="264"/>
      <c r="C112" s="264"/>
      <c r="D112" s="264"/>
      <c r="E112" s="264"/>
      <c r="F112" s="264"/>
      <c r="G112" s="264"/>
      <c r="H112" s="264"/>
      <c r="I112" s="250"/>
      <c r="J112" s="250"/>
      <c r="K112" s="250"/>
      <c r="L112" s="250"/>
      <c r="M112" s="250"/>
      <c r="N112" s="266"/>
      <c r="O112" s="250"/>
      <c r="P112" s="250"/>
      <c r="Q112" s="250"/>
      <c r="R112" s="250"/>
      <c r="S112" s="250"/>
      <c r="T112" s="267"/>
      <c r="U112" s="267"/>
      <c r="V112" s="267"/>
      <c r="W112" s="250"/>
      <c r="X112" s="250"/>
      <c r="Y112" s="250"/>
      <c r="Z112" s="250"/>
      <c r="AA112" s="266"/>
      <c r="AB112" s="250"/>
      <c r="AC112" s="250"/>
      <c r="AD112" s="250"/>
      <c r="AE112" s="250"/>
      <c r="AF112" s="249"/>
      <c r="AG112" s="249"/>
      <c r="AH112" s="249"/>
      <c r="AI112" s="249"/>
      <c r="AJ112" s="249"/>
      <c r="AK112" s="249"/>
      <c r="AL112" s="249"/>
      <c r="AM112" s="249"/>
      <c r="AN112" s="249"/>
      <c r="AO112" s="249"/>
      <c r="AP112" s="249"/>
      <c r="AQ112" s="66"/>
      <c r="AR112" s="66"/>
    </row>
    <row r="113" spans="1:44" x14ac:dyDescent="0.25">
      <c r="A113" s="264"/>
      <c r="B113" s="264"/>
      <c r="C113" s="264"/>
      <c r="D113" s="264"/>
      <c r="E113" s="264"/>
      <c r="F113" s="264"/>
      <c r="G113" s="264"/>
      <c r="H113" s="264"/>
      <c r="I113" s="250"/>
      <c r="J113" s="250"/>
      <c r="K113" s="250"/>
      <c r="L113" s="250"/>
      <c r="M113" s="250"/>
      <c r="N113" s="266"/>
      <c r="O113" s="250"/>
      <c r="P113" s="250"/>
      <c r="Q113" s="250"/>
      <c r="R113" s="250"/>
      <c r="S113" s="250"/>
      <c r="T113" s="267"/>
      <c r="U113" s="267"/>
      <c r="V113" s="267"/>
      <c r="W113" s="250"/>
      <c r="X113" s="250"/>
      <c r="Y113" s="250"/>
      <c r="Z113" s="250"/>
      <c r="AA113" s="266"/>
      <c r="AB113" s="250"/>
      <c r="AC113" s="250"/>
      <c r="AD113" s="250"/>
      <c r="AE113" s="250"/>
      <c r="AF113" s="249"/>
      <c r="AG113" s="249"/>
      <c r="AH113" s="249"/>
      <c r="AI113" s="249"/>
      <c r="AJ113" s="249"/>
      <c r="AK113" s="249"/>
      <c r="AL113" s="249"/>
      <c r="AM113" s="249"/>
      <c r="AN113" s="249"/>
      <c r="AO113" s="249"/>
      <c r="AP113" s="249"/>
      <c r="AQ113" s="66"/>
      <c r="AR113" s="66"/>
    </row>
    <row r="114" spans="1:44" x14ac:dyDescent="0.25">
      <c r="A114" s="264"/>
      <c r="B114" s="264"/>
      <c r="C114" s="264"/>
      <c r="D114" s="264"/>
      <c r="E114" s="264"/>
      <c r="F114" s="264"/>
      <c r="G114" s="264"/>
      <c r="H114" s="264"/>
      <c r="I114" s="250"/>
      <c r="J114" s="250"/>
      <c r="K114" s="250"/>
      <c r="L114" s="250"/>
      <c r="M114" s="250"/>
      <c r="N114" s="266"/>
      <c r="O114" s="250"/>
      <c r="P114" s="250"/>
      <c r="Q114" s="250"/>
      <c r="R114" s="250"/>
      <c r="S114" s="250"/>
      <c r="T114" s="267"/>
      <c r="U114" s="267"/>
      <c r="V114" s="267"/>
      <c r="W114" s="250"/>
      <c r="X114" s="250"/>
      <c r="Y114" s="250"/>
      <c r="Z114" s="250"/>
      <c r="AA114" s="266"/>
      <c r="AB114" s="250"/>
      <c r="AC114" s="250"/>
      <c r="AD114" s="250"/>
      <c r="AE114" s="250"/>
      <c r="AF114" s="249"/>
      <c r="AG114" s="249"/>
      <c r="AH114" s="249"/>
      <c r="AI114" s="249"/>
      <c r="AJ114" s="249"/>
      <c r="AK114" s="249"/>
      <c r="AL114" s="249"/>
      <c r="AM114" s="249"/>
      <c r="AN114" s="249"/>
      <c r="AO114" s="249"/>
      <c r="AP114" s="249"/>
      <c r="AQ114" s="66"/>
      <c r="AR114" s="66"/>
    </row>
    <row r="115" spans="1:44" x14ac:dyDescent="0.25">
      <c r="A115" s="264"/>
      <c r="B115" s="264"/>
      <c r="C115" s="264"/>
      <c r="D115" s="264"/>
      <c r="E115" s="264"/>
      <c r="F115" s="264"/>
      <c r="G115" s="264"/>
      <c r="H115" s="264"/>
      <c r="I115" s="250"/>
      <c r="J115" s="250"/>
      <c r="K115" s="250"/>
      <c r="L115" s="250"/>
      <c r="M115" s="250"/>
      <c r="N115" s="266"/>
      <c r="O115" s="250"/>
      <c r="P115" s="250"/>
      <c r="Q115" s="250"/>
      <c r="R115" s="250"/>
      <c r="S115" s="250"/>
      <c r="T115" s="267"/>
      <c r="U115" s="267"/>
      <c r="V115" s="267"/>
      <c r="W115" s="250"/>
      <c r="X115" s="250"/>
      <c r="Y115" s="250"/>
      <c r="Z115" s="250"/>
      <c r="AA115" s="266"/>
      <c r="AB115" s="250"/>
      <c r="AC115" s="250"/>
      <c r="AD115" s="250"/>
      <c r="AE115" s="250"/>
      <c r="AF115" s="249"/>
      <c r="AG115" s="249"/>
      <c r="AH115" s="249"/>
      <c r="AI115" s="249"/>
      <c r="AJ115" s="249"/>
      <c r="AK115" s="249"/>
      <c r="AL115" s="249"/>
      <c r="AM115" s="249"/>
      <c r="AN115" s="249"/>
      <c r="AO115" s="249"/>
      <c r="AP115" s="249"/>
      <c r="AQ115" s="66"/>
      <c r="AR115" s="66"/>
    </row>
    <row r="116" spans="1:44" x14ac:dyDescent="0.25">
      <c r="A116" s="264"/>
      <c r="B116" s="264"/>
      <c r="C116" s="264"/>
      <c r="D116" s="264"/>
      <c r="E116" s="264"/>
      <c r="F116" s="264"/>
      <c r="G116" s="264"/>
      <c r="H116" s="264"/>
      <c r="I116" s="250"/>
      <c r="J116" s="250"/>
      <c r="K116" s="250"/>
      <c r="L116" s="250"/>
      <c r="M116" s="250"/>
      <c r="N116" s="266"/>
      <c r="O116" s="250"/>
      <c r="P116" s="250"/>
      <c r="Q116" s="250"/>
      <c r="R116" s="250"/>
      <c r="S116" s="250"/>
      <c r="T116" s="267"/>
      <c r="U116" s="267"/>
      <c r="V116" s="267"/>
      <c r="W116" s="250"/>
      <c r="X116" s="250"/>
      <c r="Y116" s="250"/>
      <c r="Z116" s="250"/>
      <c r="AA116" s="266"/>
      <c r="AB116" s="250"/>
      <c r="AC116" s="250"/>
      <c r="AD116" s="250"/>
      <c r="AE116" s="250"/>
      <c r="AF116" s="249"/>
      <c r="AG116" s="249"/>
      <c r="AH116" s="249"/>
      <c r="AI116" s="249"/>
      <c r="AJ116" s="249"/>
      <c r="AK116" s="249"/>
      <c r="AL116" s="249"/>
      <c r="AM116" s="249"/>
      <c r="AN116" s="249"/>
      <c r="AO116" s="249"/>
      <c r="AP116" s="249"/>
      <c r="AQ116" s="66"/>
      <c r="AR116" s="66"/>
    </row>
    <row r="117" spans="1:44" x14ac:dyDescent="0.25">
      <c r="A117" s="264"/>
      <c r="B117" s="264"/>
      <c r="C117" s="264"/>
      <c r="D117" s="264"/>
      <c r="E117" s="264"/>
      <c r="F117" s="264"/>
      <c r="G117" s="264"/>
      <c r="H117" s="264"/>
      <c r="I117" s="250"/>
      <c r="J117" s="250"/>
      <c r="K117" s="250"/>
      <c r="L117" s="250"/>
      <c r="M117" s="250"/>
      <c r="N117" s="266"/>
      <c r="O117" s="250"/>
      <c r="P117" s="250"/>
      <c r="Q117" s="250"/>
      <c r="R117" s="250"/>
      <c r="S117" s="250"/>
      <c r="T117" s="267"/>
      <c r="U117" s="267"/>
      <c r="V117" s="267"/>
      <c r="W117" s="250"/>
      <c r="X117" s="250"/>
      <c r="Y117" s="250"/>
      <c r="Z117" s="250"/>
      <c r="AA117" s="266"/>
      <c r="AB117" s="250"/>
      <c r="AC117" s="250"/>
      <c r="AD117" s="250"/>
      <c r="AE117" s="250"/>
      <c r="AF117" s="249"/>
      <c r="AG117" s="249"/>
      <c r="AH117" s="249"/>
      <c r="AI117" s="249"/>
      <c r="AJ117" s="249"/>
      <c r="AK117" s="249"/>
      <c r="AL117" s="249"/>
      <c r="AM117" s="249"/>
      <c r="AN117" s="249"/>
      <c r="AO117" s="249"/>
      <c r="AP117" s="249"/>
      <c r="AQ117" s="66"/>
      <c r="AR117" s="66"/>
    </row>
    <row r="118" spans="1:44" x14ac:dyDescent="0.25">
      <c r="A118" s="264"/>
      <c r="B118" s="264"/>
      <c r="C118" s="264"/>
      <c r="D118" s="264"/>
      <c r="E118" s="264"/>
      <c r="F118" s="264"/>
      <c r="G118" s="264"/>
      <c r="H118" s="264"/>
      <c r="I118" s="250"/>
      <c r="J118" s="250"/>
      <c r="K118" s="250"/>
      <c r="L118" s="250"/>
      <c r="M118" s="250"/>
      <c r="N118" s="266"/>
      <c r="O118" s="250"/>
      <c r="P118" s="250"/>
      <c r="Q118" s="250"/>
      <c r="R118" s="250"/>
      <c r="S118" s="250"/>
      <c r="T118" s="267"/>
      <c r="U118" s="267"/>
      <c r="V118" s="267"/>
      <c r="W118" s="250"/>
      <c r="X118" s="250"/>
      <c r="Y118" s="250"/>
      <c r="Z118" s="250"/>
      <c r="AA118" s="266"/>
      <c r="AB118" s="250"/>
      <c r="AC118" s="250"/>
      <c r="AD118" s="250"/>
      <c r="AE118" s="250"/>
      <c r="AF118" s="249"/>
      <c r="AG118" s="249"/>
      <c r="AH118" s="249"/>
      <c r="AI118" s="249"/>
      <c r="AJ118" s="249"/>
      <c r="AK118" s="249"/>
      <c r="AL118" s="249"/>
      <c r="AM118" s="249"/>
      <c r="AN118" s="249"/>
      <c r="AO118" s="249"/>
      <c r="AP118" s="249"/>
      <c r="AQ118" s="66"/>
      <c r="AR118" s="66"/>
    </row>
    <row r="119" spans="1:44" x14ac:dyDescent="0.25">
      <c r="A119" s="264"/>
      <c r="B119" s="264"/>
      <c r="C119" s="264"/>
      <c r="D119" s="264"/>
      <c r="E119" s="264"/>
      <c r="F119" s="264"/>
      <c r="G119" s="264"/>
      <c r="H119" s="264"/>
      <c r="I119" s="250"/>
      <c r="J119" s="250"/>
      <c r="K119" s="250"/>
      <c r="L119" s="250"/>
      <c r="M119" s="250"/>
      <c r="N119" s="266"/>
      <c r="O119" s="250"/>
      <c r="P119" s="250"/>
      <c r="Q119" s="250"/>
      <c r="R119" s="250"/>
      <c r="S119" s="250"/>
      <c r="T119" s="267"/>
      <c r="U119" s="267"/>
      <c r="V119" s="267"/>
      <c r="W119" s="250"/>
      <c r="X119" s="250"/>
      <c r="Y119" s="250"/>
      <c r="Z119" s="250"/>
      <c r="AA119" s="266"/>
      <c r="AB119" s="250"/>
      <c r="AC119" s="250"/>
      <c r="AD119" s="250"/>
      <c r="AE119" s="250"/>
      <c r="AF119" s="249"/>
      <c r="AG119" s="249"/>
      <c r="AH119" s="249"/>
      <c r="AI119" s="249"/>
      <c r="AJ119" s="249"/>
      <c r="AK119" s="249"/>
      <c r="AL119" s="249"/>
      <c r="AM119" s="249"/>
      <c r="AN119" s="249"/>
      <c r="AO119" s="249"/>
      <c r="AP119" s="249"/>
      <c r="AQ119" s="66"/>
      <c r="AR119" s="66"/>
    </row>
    <row r="120" spans="1:44" x14ac:dyDescent="0.25">
      <c r="A120" s="264"/>
      <c r="B120" s="264"/>
      <c r="C120" s="264"/>
      <c r="D120" s="264"/>
      <c r="E120" s="264"/>
      <c r="F120" s="264"/>
      <c r="G120" s="264"/>
      <c r="H120" s="264"/>
      <c r="I120" s="250"/>
      <c r="J120" s="250"/>
      <c r="K120" s="250"/>
      <c r="L120" s="250"/>
      <c r="M120" s="250"/>
      <c r="N120" s="266"/>
      <c r="O120" s="250"/>
      <c r="P120" s="250"/>
      <c r="Q120" s="250"/>
      <c r="R120" s="250"/>
      <c r="S120" s="250"/>
      <c r="T120" s="267"/>
      <c r="U120" s="267"/>
      <c r="V120" s="267"/>
      <c r="W120" s="250"/>
      <c r="X120" s="250"/>
      <c r="Y120" s="250"/>
      <c r="Z120" s="250"/>
      <c r="AA120" s="266"/>
      <c r="AB120" s="250"/>
      <c r="AC120" s="250"/>
      <c r="AD120" s="250"/>
      <c r="AE120" s="250"/>
      <c r="AF120" s="249"/>
      <c r="AG120" s="249"/>
      <c r="AH120" s="249"/>
      <c r="AI120" s="249"/>
      <c r="AJ120" s="249"/>
      <c r="AK120" s="249"/>
      <c r="AL120" s="249"/>
      <c r="AM120" s="249"/>
      <c r="AN120" s="249"/>
      <c r="AO120" s="249"/>
      <c r="AP120" s="249"/>
      <c r="AQ120" s="66"/>
      <c r="AR120" s="66"/>
    </row>
    <row r="121" spans="1:44" x14ac:dyDescent="0.25">
      <c r="A121" s="264"/>
      <c r="B121" s="264"/>
      <c r="C121" s="264"/>
      <c r="D121" s="264"/>
      <c r="E121" s="264"/>
      <c r="F121" s="264"/>
      <c r="G121" s="264"/>
      <c r="H121" s="264"/>
      <c r="I121" s="250"/>
      <c r="J121" s="250"/>
      <c r="K121" s="250"/>
      <c r="L121" s="250"/>
      <c r="M121" s="250"/>
      <c r="N121" s="266"/>
      <c r="O121" s="250"/>
      <c r="P121" s="250"/>
      <c r="Q121" s="250"/>
      <c r="R121" s="250"/>
      <c r="S121" s="250"/>
      <c r="T121" s="267"/>
      <c r="U121" s="267"/>
      <c r="V121" s="267"/>
      <c r="W121" s="250"/>
      <c r="X121" s="250"/>
      <c r="Y121" s="250"/>
      <c r="Z121" s="250"/>
      <c r="AA121" s="266"/>
      <c r="AB121" s="250"/>
      <c r="AC121" s="250"/>
      <c r="AD121" s="250"/>
      <c r="AE121" s="250"/>
      <c r="AF121" s="249"/>
      <c r="AG121" s="249"/>
      <c r="AH121" s="249"/>
      <c r="AI121" s="249"/>
      <c r="AJ121" s="249"/>
      <c r="AK121" s="249"/>
      <c r="AL121" s="249"/>
      <c r="AM121" s="249"/>
      <c r="AN121" s="249"/>
      <c r="AO121" s="249"/>
      <c r="AP121" s="249"/>
      <c r="AQ121" s="66"/>
      <c r="AR121" s="66"/>
    </row>
    <row r="122" spans="1:44" x14ac:dyDescent="0.25">
      <c r="A122" s="264"/>
      <c r="B122" s="264"/>
      <c r="C122" s="264"/>
      <c r="D122" s="264"/>
      <c r="E122" s="264"/>
      <c r="F122" s="264"/>
      <c r="G122" s="264"/>
      <c r="H122" s="264"/>
      <c r="I122" s="250"/>
      <c r="J122" s="250"/>
      <c r="K122" s="250"/>
      <c r="L122" s="250"/>
      <c r="M122" s="250"/>
      <c r="N122" s="266"/>
      <c r="O122" s="250"/>
      <c r="P122" s="250"/>
      <c r="Q122" s="250"/>
      <c r="R122" s="250"/>
      <c r="S122" s="250"/>
      <c r="T122" s="267"/>
      <c r="U122" s="267"/>
      <c r="V122" s="267"/>
      <c r="W122" s="250"/>
      <c r="X122" s="250"/>
      <c r="Y122" s="250"/>
      <c r="Z122" s="250"/>
      <c r="AA122" s="266"/>
      <c r="AB122" s="250"/>
      <c r="AC122" s="250"/>
      <c r="AD122" s="250"/>
      <c r="AE122" s="250"/>
      <c r="AF122" s="249"/>
      <c r="AG122" s="249"/>
      <c r="AH122" s="249"/>
      <c r="AI122" s="249"/>
      <c r="AJ122" s="249"/>
      <c r="AK122" s="249"/>
      <c r="AL122" s="249"/>
      <c r="AM122" s="249"/>
      <c r="AN122" s="249"/>
      <c r="AO122" s="249"/>
      <c r="AP122" s="249"/>
      <c r="AQ122" s="66"/>
      <c r="AR122" s="66"/>
    </row>
    <row r="123" spans="1:44" x14ac:dyDescent="0.25">
      <c r="A123" s="264"/>
      <c r="B123" s="264"/>
      <c r="C123" s="264"/>
      <c r="D123" s="264"/>
      <c r="E123" s="264"/>
      <c r="F123" s="264"/>
      <c r="G123" s="264"/>
      <c r="H123" s="264"/>
      <c r="I123" s="250"/>
      <c r="J123" s="250"/>
      <c r="K123" s="250"/>
      <c r="L123" s="250"/>
      <c r="M123" s="250"/>
      <c r="N123" s="266"/>
      <c r="O123" s="250"/>
      <c r="P123" s="250"/>
      <c r="Q123" s="250"/>
      <c r="R123" s="250"/>
      <c r="S123" s="250"/>
      <c r="T123" s="267"/>
      <c r="U123" s="267"/>
      <c r="V123" s="267"/>
      <c r="W123" s="250"/>
      <c r="X123" s="250"/>
      <c r="Y123" s="250"/>
      <c r="Z123" s="250"/>
      <c r="AA123" s="266"/>
      <c r="AB123" s="250"/>
      <c r="AC123" s="250"/>
      <c r="AD123" s="250"/>
      <c r="AE123" s="250"/>
      <c r="AF123" s="249"/>
      <c r="AG123" s="249"/>
      <c r="AH123" s="249"/>
      <c r="AI123" s="249"/>
      <c r="AJ123" s="249"/>
      <c r="AK123" s="249"/>
      <c r="AL123" s="249"/>
      <c r="AM123" s="249"/>
      <c r="AN123" s="249"/>
      <c r="AO123" s="249"/>
      <c r="AP123" s="249"/>
      <c r="AQ123" s="66"/>
      <c r="AR123" s="66"/>
    </row>
    <row r="124" spans="1:44" x14ac:dyDescent="0.25">
      <c r="A124" s="264"/>
      <c r="B124" s="264"/>
      <c r="C124" s="264"/>
      <c r="D124" s="264"/>
      <c r="E124" s="264"/>
      <c r="F124" s="264"/>
      <c r="G124" s="264"/>
      <c r="H124" s="264"/>
      <c r="I124" s="250"/>
      <c r="J124" s="250"/>
      <c r="K124" s="250"/>
      <c r="L124" s="250"/>
      <c r="M124" s="250"/>
      <c r="N124" s="266"/>
      <c r="O124" s="250"/>
      <c r="P124" s="250"/>
      <c r="Q124" s="250"/>
      <c r="R124" s="250"/>
      <c r="S124" s="250"/>
      <c r="T124" s="267"/>
      <c r="U124" s="267"/>
      <c r="V124" s="267"/>
      <c r="W124" s="250"/>
      <c r="X124" s="250"/>
      <c r="Y124" s="250"/>
      <c r="Z124" s="250"/>
      <c r="AA124" s="266"/>
      <c r="AB124" s="250"/>
      <c r="AC124" s="250"/>
      <c r="AD124" s="250"/>
      <c r="AE124" s="250"/>
      <c r="AF124" s="249"/>
      <c r="AG124" s="249"/>
      <c r="AH124" s="249"/>
      <c r="AI124" s="249"/>
      <c r="AJ124" s="249"/>
      <c r="AK124" s="249"/>
      <c r="AL124" s="249"/>
      <c r="AM124" s="249"/>
      <c r="AN124" s="249"/>
      <c r="AO124" s="249"/>
      <c r="AP124" s="249"/>
      <c r="AQ124" s="66"/>
      <c r="AR124" s="66"/>
    </row>
    <row r="125" spans="1:44" x14ac:dyDescent="0.25">
      <c r="A125" s="264"/>
      <c r="B125" s="264"/>
      <c r="C125" s="264"/>
      <c r="D125" s="264"/>
      <c r="E125" s="264"/>
      <c r="F125" s="264"/>
      <c r="G125" s="264"/>
      <c r="H125" s="264"/>
      <c r="I125" s="250"/>
      <c r="J125" s="250"/>
      <c r="K125" s="250"/>
      <c r="L125" s="250"/>
      <c r="M125" s="250"/>
      <c r="N125" s="266"/>
      <c r="O125" s="250"/>
      <c r="P125" s="250"/>
      <c r="Q125" s="250"/>
      <c r="R125" s="250"/>
      <c r="S125" s="250"/>
      <c r="T125" s="267"/>
      <c r="U125" s="267"/>
      <c r="V125" s="267"/>
      <c r="W125" s="250"/>
      <c r="X125" s="250"/>
      <c r="Y125" s="250"/>
      <c r="Z125" s="250"/>
      <c r="AA125" s="266"/>
      <c r="AB125" s="250"/>
      <c r="AC125" s="250"/>
      <c r="AD125" s="250"/>
      <c r="AE125" s="250"/>
      <c r="AF125" s="249"/>
      <c r="AG125" s="249"/>
      <c r="AH125" s="249"/>
      <c r="AI125" s="249"/>
      <c r="AJ125" s="249"/>
      <c r="AK125" s="249"/>
      <c r="AL125" s="249"/>
      <c r="AM125" s="249"/>
      <c r="AN125" s="249"/>
      <c r="AO125" s="249"/>
      <c r="AP125" s="249"/>
      <c r="AQ125" s="66"/>
      <c r="AR125" s="66"/>
    </row>
    <row r="126" spans="1:44" x14ac:dyDescent="0.25">
      <c r="A126" s="264"/>
      <c r="B126" s="264"/>
      <c r="C126" s="264"/>
      <c r="D126" s="264"/>
      <c r="E126" s="264"/>
      <c r="F126" s="264"/>
      <c r="G126" s="264"/>
      <c r="H126" s="264"/>
      <c r="I126" s="250"/>
      <c r="J126" s="250"/>
      <c r="K126" s="250"/>
      <c r="L126" s="250"/>
      <c r="M126" s="250"/>
      <c r="N126" s="266"/>
      <c r="O126" s="250"/>
      <c r="P126" s="250"/>
      <c r="Q126" s="250"/>
      <c r="R126" s="250"/>
      <c r="S126" s="250"/>
      <c r="T126" s="267"/>
      <c r="U126" s="267"/>
      <c r="V126" s="267"/>
      <c r="W126" s="250"/>
      <c r="X126" s="250"/>
      <c r="Y126" s="250"/>
      <c r="Z126" s="250"/>
      <c r="AA126" s="266"/>
      <c r="AB126" s="250"/>
      <c r="AC126" s="250"/>
      <c r="AD126" s="250"/>
      <c r="AE126" s="250"/>
      <c r="AF126" s="249"/>
      <c r="AG126" s="249"/>
      <c r="AH126" s="249"/>
      <c r="AI126" s="249"/>
      <c r="AJ126" s="249"/>
      <c r="AK126" s="249"/>
      <c r="AL126" s="249"/>
      <c r="AM126" s="249"/>
      <c r="AN126" s="249"/>
      <c r="AO126" s="249"/>
      <c r="AP126" s="249"/>
      <c r="AQ126" s="66"/>
      <c r="AR126" s="66"/>
    </row>
    <row r="127" spans="1:44" x14ac:dyDescent="0.25">
      <c r="A127" s="264"/>
      <c r="B127" s="264"/>
      <c r="C127" s="264"/>
      <c r="D127" s="264"/>
      <c r="E127" s="264"/>
      <c r="F127" s="264"/>
      <c r="G127" s="264"/>
      <c r="H127" s="264"/>
      <c r="I127" s="250"/>
      <c r="J127" s="250"/>
      <c r="K127" s="250"/>
      <c r="L127" s="250"/>
      <c r="M127" s="250"/>
      <c r="N127" s="266"/>
      <c r="O127" s="250"/>
      <c r="P127" s="250"/>
      <c r="Q127" s="250"/>
      <c r="R127" s="250"/>
      <c r="S127" s="250"/>
      <c r="T127" s="267"/>
      <c r="U127" s="267"/>
      <c r="V127" s="267"/>
      <c r="W127" s="250"/>
      <c r="X127" s="250"/>
      <c r="Y127" s="250"/>
      <c r="Z127" s="250"/>
      <c r="AA127" s="266"/>
      <c r="AB127" s="250"/>
      <c r="AC127" s="250"/>
      <c r="AD127" s="250"/>
      <c r="AE127" s="250"/>
      <c r="AF127" s="249"/>
      <c r="AG127" s="249"/>
      <c r="AH127" s="249"/>
      <c r="AI127" s="249"/>
      <c r="AJ127" s="249"/>
      <c r="AK127" s="249"/>
      <c r="AL127" s="249"/>
      <c r="AM127" s="249"/>
      <c r="AN127" s="249"/>
      <c r="AO127" s="249"/>
      <c r="AP127" s="249"/>
      <c r="AQ127" s="66"/>
      <c r="AR127" s="66"/>
    </row>
    <row r="128" spans="1:44" x14ac:dyDescent="0.25">
      <c r="A128" s="264"/>
      <c r="B128" s="264"/>
      <c r="C128" s="264"/>
      <c r="D128" s="264"/>
      <c r="E128" s="264"/>
      <c r="F128" s="264"/>
      <c r="G128" s="264"/>
      <c r="H128" s="264"/>
      <c r="I128" s="249"/>
      <c r="J128" s="249"/>
      <c r="K128" s="249"/>
      <c r="L128" s="249"/>
      <c r="M128" s="249"/>
      <c r="N128" s="264"/>
      <c r="O128" s="249"/>
      <c r="P128" s="249"/>
      <c r="Q128" s="249"/>
      <c r="R128" s="249"/>
      <c r="S128" s="249"/>
      <c r="T128" s="267"/>
      <c r="U128" s="267"/>
      <c r="V128" s="267"/>
      <c r="W128" s="249"/>
      <c r="X128" s="249"/>
      <c r="Y128" s="249"/>
      <c r="Z128" s="249"/>
      <c r="AA128" s="264"/>
      <c r="AB128" s="249"/>
      <c r="AC128" s="249"/>
      <c r="AD128" s="249"/>
      <c r="AE128" s="249"/>
      <c r="AF128" s="249"/>
      <c r="AG128" s="249"/>
      <c r="AH128" s="249"/>
      <c r="AI128" s="249"/>
      <c r="AJ128" s="249"/>
      <c r="AK128" s="249"/>
      <c r="AL128" s="249"/>
      <c r="AM128" s="249"/>
      <c r="AN128" s="249"/>
      <c r="AO128" s="249"/>
      <c r="AP128" s="249"/>
      <c r="AQ128" s="66"/>
      <c r="AR128" s="66"/>
    </row>
    <row r="129" spans="1:44" x14ac:dyDescent="0.25">
      <c r="A129" s="264"/>
      <c r="B129" s="264"/>
      <c r="C129" s="264"/>
      <c r="D129" s="264"/>
      <c r="E129" s="264"/>
      <c r="F129" s="264"/>
      <c r="G129" s="264"/>
      <c r="H129" s="264"/>
      <c r="I129" s="249"/>
      <c r="J129" s="249"/>
      <c r="K129" s="249"/>
      <c r="L129" s="249"/>
      <c r="M129" s="249"/>
      <c r="N129" s="264"/>
      <c r="O129" s="249"/>
      <c r="P129" s="249"/>
      <c r="Q129" s="249"/>
      <c r="R129" s="249"/>
      <c r="S129" s="249"/>
      <c r="T129" s="267"/>
      <c r="U129" s="267"/>
      <c r="V129" s="267"/>
      <c r="W129" s="249"/>
      <c r="X129" s="249"/>
      <c r="Y129" s="249"/>
      <c r="Z129" s="249"/>
      <c r="AA129" s="264"/>
      <c r="AB129" s="249"/>
      <c r="AC129" s="249"/>
      <c r="AD129" s="249"/>
      <c r="AE129" s="249"/>
      <c r="AF129" s="249"/>
      <c r="AG129" s="249"/>
      <c r="AH129" s="249"/>
      <c r="AI129" s="249"/>
      <c r="AJ129" s="249"/>
      <c r="AK129" s="249"/>
      <c r="AL129" s="249"/>
      <c r="AM129" s="249"/>
      <c r="AN129" s="249"/>
      <c r="AO129" s="249"/>
      <c r="AP129" s="249"/>
      <c r="AQ129" s="66"/>
      <c r="AR129" s="66"/>
    </row>
    <row r="130" spans="1:44" x14ac:dyDescent="0.25">
      <c r="A130" s="264"/>
      <c r="B130" s="264"/>
      <c r="C130" s="264"/>
      <c r="D130" s="264"/>
      <c r="E130" s="264"/>
      <c r="F130" s="264"/>
      <c r="G130" s="264"/>
      <c r="H130" s="264"/>
      <c r="I130" s="249"/>
      <c r="J130" s="249"/>
      <c r="K130" s="249"/>
      <c r="L130" s="249"/>
      <c r="M130" s="249"/>
      <c r="N130" s="264"/>
      <c r="O130" s="249"/>
      <c r="P130" s="249"/>
      <c r="Q130" s="249"/>
      <c r="R130" s="249"/>
      <c r="S130" s="249"/>
      <c r="T130" s="267"/>
      <c r="U130" s="267"/>
      <c r="V130" s="267"/>
      <c r="W130" s="249"/>
      <c r="X130" s="249"/>
      <c r="Y130" s="249"/>
      <c r="Z130" s="249"/>
      <c r="AA130" s="264"/>
      <c r="AB130" s="249"/>
      <c r="AC130" s="249"/>
      <c r="AD130" s="249"/>
      <c r="AE130" s="249"/>
      <c r="AF130" s="249"/>
      <c r="AG130" s="249"/>
      <c r="AH130" s="249"/>
      <c r="AI130" s="249"/>
      <c r="AJ130" s="249"/>
      <c r="AK130" s="249"/>
      <c r="AL130" s="249"/>
      <c r="AM130" s="249"/>
      <c r="AN130" s="249"/>
      <c r="AO130" s="249"/>
      <c r="AP130" s="249"/>
      <c r="AQ130" s="66"/>
      <c r="AR130" s="66"/>
    </row>
    <row r="131" spans="1:44" x14ac:dyDescent="0.25">
      <c r="A131" s="264"/>
      <c r="B131" s="264"/>
      <c r="C131" s="264"/>
      <c r="D131" s="264"/>
      <c r="E131" s="264"/>
      <c r="F131" s="264"/>
      <c r="G131" s="264"/>
      <c r="H131" s="264"/>
      <c r="I131" s="249"/>
      <c r="J131" s="249"/>
      <c r="K131" s="249"/>
      <c r="L131" s="249"/>
      <c r="M131" s="249"/>
      <c r="N131" s="264"/>
      <c r="O131" s="249"/>
      <c r="P131" s="249"/>
      <c r="Q131" s="249"/>
      <c r="R131" s="249"/>
      <c r="S131" s="249"/>
      <c r="T131" s="267"/>
      <c r="U131" s="267"/>
      <c r="V131" s="267"/>
      <c r="W131" s="249"/>
      <c r="X131" s="249"/>
      <c r="Y131" s="249"/>
      <c r="Z131" s="249"/>
      <c r="AA131" s="264"/>
      <c r="AB131" s="249"/>
      <c r="AC131" s="249"/>
      <c r="AD131" s="249"/>
      <c r="AE131" s="249"/>
      <c r="AF131" s="249"/>
      <c r="AG131" s="249"/>
      <c r="AH131" s="249"/>
      <c r="AI131" s="249"/>
      <c r="AJ131" s="249"/>
      <c r="AK131" s="249"/>
      <c r="AL131" s="249"/>
      <c r="AM131" s="249"/>
      <c r="AN131" s="249"/>
      <c r="AO131" s="249"/>
      <c r="AP131" s="249"/>
      <c r="AQ131" s="66"/>
      <c r="AR131" s="66"/>
    </row>
    <row r="132" spans="1:44" x14ac:dyDescent="0.25">
      <c r="A132" s="264"/>
      <c r="B132" s="264"/>
      <c r="C132" s="264"/>
      <c r="D132" s="264"/>
      <c r="E132" s="264"/>
      <c r="F132" s="264"/>
      <c r="G132" s="264"/>
      <c r="H132" s="264"/>
      <c r="I132" s="249"/>
      <c r="J132" s="249"/>
      <c r="K132" s="249"/>
      <c r="L132" s="249"/>
      <c r="M132" s="249"/>
      <c r="N132" s="264"/>
      <c r="O132" s="249"/>
      <c r="P132" s="249"/>
      <c r="Q132" s="249"/>
      <c r="R132" s="249"/>
      <c r="S132" s="249"/>
      <c r="T132" s="267"/>
      <c r="U132" s="267"/>
      <c r="V132" s="267"/>
      <c r="W132" s="249"/>
      <c r="X132" s="249"/>
      <c r="Y132" s="249"/>
      <c r="Z132" s="249"/>
      <c r="AA132" s="264"/>
      <c r="AB132" s="249"/>
      <c r="AC132" s="249"/>
      <c r="AD132" s="249"/>
      <c r="AE132" s="249"/>
      <c r="AF132" s="249"/>
      <c r="AG132" s="249"/>
      <c r="AH132" s="249"/>
      <c r="AI132" s="249"/>
      <c r="AJ132" s="249"/>
      <c r="AK132" s="249"/>
      <c r="AL132" s="249"/>
      <c r="AM132" s="249"/>
      <c r="AN132" s="249"/>
      <c r="AO132" s="249"/>
      <c r="AP132" s="249"/>
      <c r="AQ132" s="66"/>
      <c r="AR132" s="66"/>
    </row>
    <row r="133" spans="1:44" x14ac:dyDescent="0.25">
      <c r="A133" s="264"/>
      <c r="B133" s="264"/>
      <c r="C133" s="264"/>
      <c r="D133" s="264"/>
      <c r="E133" s="264"/>
      <c r="F133" s="264"/>
      <c r="G133" s="264"/>
      <c r="H133" s="264"/>
      <c r="I133" s="249"/>
      <c r="J133" s="249"/>
      <c r="K133" s="249"/>
      <c r="L133" s="249"/>
      <c r="M133" s="249"/>
      <c r="N133" s="264"/>
      <c r="O133" s="249"/>
      <c r="P133" s="249"/>
      <c r="Q133" s="249"/>
      <c r="R133" s="249"/>
      <c r="S133" s="249"/>
      <c r="T133" s="267"/>
      <c r="U133" s="267"/>
      <c r="V133" s="267"/>
      <c r="W133" s="249"/>
      <c r="X133" s="249"/>
      <c r="Y133" s="249"/>
      <c r="Z133" s="249"/>
      <c r="AA133" s="264"/>
      <c r="AB133" s="249"/>
      <c r="AC133" s="249"/>
      <c r="AD133" s="249"/>
      <c r="AE133" s="249"/>
      <c r="AF133" s="249"/>
      <c r="AG133" s="249"/>
      <c r="AH133" s="249"/>
      <c r="AI133" s="249"/>
      <c r="AJ133" s="249"/>
      <c r="AK133" s="249"/>
      <c r="AL133" s="249"/>
      <c r="AM133" s="249"/>
      <c r="AN133" s="249"/>
      <c r="AO133" s="249"/>
      <c r="AP133" s="249"/>
      <c r="AQ133" s="66"/>
      <c r="AR133" s="66"/>
    </row>
    <row r="134" spans="1:44" x14ac:dyDescent="0.25">
      <c r="A134" s="264"/>
      <c r="B134" s="264"/>
      <c r="C134" s="264"/>
      <c r="D134" s="264"/>
      <c r="E134" s="264"/>
      <c r="F134" s="264"/>
      <c r="G134" s="264"/>
      <c r="H134" s="264"/>
      <c r="I134" s="249"/>
      <c r="J134" s="249"/>
      <c r="K134" s="249"/>
      <c r="L134" s="249"/>
      <c r="M134" s="249"/>
      <c r="N134" s="264"/>
      <c r="O134" s="249"/>
      <c r="P134" s="249"/>
      <c r="Q134" s="249"/>
      <c r="R134" s="249"/>
      <c r="S134" s="249"/>
      <c r="T134" s="267"/>
      <c r="U134" s="267"/>
      <c r="V134" s="267"/>
      <c r="W134" s="249"/>
      <c r="X134" s="249"/>
      <c r="Y134" s="249"/>
      <c r="Z134" s="249"/>
      <c r="AA134" s="264"/>
      <c r="AB134" s="249"/>
      <c r="AC134" s="249"/>
      <c r="AD134" s="249"/>
      <c r="AE134" s="249"/>
      <c r="AF134" s="249"/>
      <c r="AG134" s="249"/>
      <c r="AH134" s="249"/>
      <c r="AI134" s="249"/>
      <c r="AJ134" s="249"/>
      <c r="AK134" s="249"/>
      <c r="AL134" s="249"/>
      <c r="AM134" s="249"/>
      <c r="AN134" s="249"/>
      <c r="AO134" s="249"/>
      <c r="AP134" s="249"/>
      <c r="AQ134" s="66"/>
      <c r="AR134" s="66"/>
    </row>
    <row r="135" spans="1:44" x14ac:dyDescent="0.25">
      <c r="A135" s="264"/>
      <c r="B135" s="264"/>
      <c r="C135" s="264"/>
      <c r="D135" s="264"/>
      <c r="E135" s="264"/>
      <c r="F135" s="264"/>
      <c r="G135" s="264"/>
      <c r="H135" s="264"/>
      <c r="I135" s="249"/>
      <c r="J135" s="249"/>
      <c r="K135" s="249"/>
      <c r="L135" s="249"/>
      <c r="M135" s="249"/>
      <c r="N135" s="264"/>
      <c r="O135" s="249"/>
      <c r="P135" s="249"/>
      <c r="Q135" s="249"/>
      <c r="R135" s="249"/>
      <c r="S135" s="249"/>
      <c r="T135" s="267"/>
      <c r="U135" s="267"/>
      <c r="V135" s="267"/>
      <c r="W135" s="249"/>
      <c r="X135" s="249"/>
      <c r="Y135" s="249"/>
      <c r="Z135" s="249"/>
      <c r="AA135" s="264"/>
      <c r="AB135" s="249"/>
      <c r="AC135" s="249"/>
      <c r="AD135" s="249"/>
      <c r="AE135" s="249"/>
      <c r="AF135" s="249"/>
      <c r="AG135" s="249"/>
      <c r="AH135" s="249"/>
      <c r="AI135" s="249"/>
      <c r="AJ135" s="249"/>
      <c r="AK135" s="249"/>
      <c r="AL135" s="249"/>
      <c r="AM135" s="249"/>
      <c r="AN135" s="249"/>
      <c r="AO135" s="249"/>
      <c r="AP135" s="249"/>
      <c r="AQ135" s="66"/>
      <c r="AR135" s="66"/>
    </row>
    <row r="136" spans="1:44" x14ac:dyDescent="0.25">
      <c r="A136" s="264"/>
      <c r="B136" s="264"/>
      <c r="C136" s="264"/>
      <c r="D136" s="264"/>
      <c r="E136" s="264"/>
      <c r="F136" s="264"/>
      <c r="G136" s="264"/>
      <c r="H136" s="264"/>
      <c r="I136" s="249"/>
      <c r="J136" s="249"/>
      <c r="K136" s="249"/>
      <c r="L136" s="249"/>
      <c r="M136" s="249"/>
      <c r="N136" s="264"/>
      <c r="O136" s="249"/>
      <c r="P136" s="249"/>
      <c r="Q136" s="249"/>
      <c r="R136" s="249"/>
      <c r="S136" s="249"/>
      <c r="T136" s="267"/>
      <c r="U136" s="267"/>
      <c r="V136" s="267"/>
      <c r="W136" s="249"/>
      <c r="X136" s="249"/>
      <c r="Y136" s="249"/>
      <c r="Z136" s="249"/>
      <c r="AA136" s="264"/>
      <c r="AB136" s="249"/>
      <c r="AC136" s="249"/>
      <c r="AD136" s="249"/>
      <c r="AE136" s="249"/>
      <c r="AF136" s="249"/>
      <c r="AG136" s="249"/>
      <c r="AH136" s="249"/>
      <c r="AI136" s="249"/>
      <c r="AJ136" s="249"/>
      <c r="AK136" s="249"/>
      <c r="AL136" s="249"/>
      <c r="AM136" s="249"/>
      <c r="AN136" s="249"/>
      <c r="AO136" s="249"/>
      <c r="AP136" s="249"/>
      <c r="AQ136" s="66"/>
      <c r="AR136" s="66"/>
    </row>
    <row r="137" spans="1:44" x14ac:dyDescent="0.25">
      <c r="A137" s="264"/>
      <c r="B137" s="264"/>
      <c r="C137" s="264"/>
      <c r="D137" s="264"/>
      <c r="E137" s="264"/>
      <c r="F137" s="264"/>
      <c r="G137" s="264"/>
      <c r="H137" s="264"/>
      <c r="I137" s="249"/>
      <c r="J137" s="249"/>
      <c r="K137" s="249"/>
      <c r="L137" s="249"/>
      <c r="M137" s="249"/>
      <c r="N137" s="264"/>
      <c r="O137" s="249"/>
      <c r="P137" s="249"/>
      <c r="Q137" s="249"/>
      <c r="R137" s="249"/>
      <c r="S137" s="249"/>
      <c r="T137" s="267"/>
      <c r="U137" s="267"/>
      <c r="V137" s="267"/>
      <c r="W137" s="249"/>
      <c r="X137" s="249"/>
      <c r="Y137" s="249"/>
      <c r="Z137" s="249"/>
      <c r="AA137" s="264"/>
      <c r="AB137" s="249"/>
      <c r="AC137" s="249"/>
      <c r="AD137" s="249"/>
      <c r="AE137" s="249"/>
      <c r="AF137" s="249"/>
      <c r="AG137" s="249"/>
      <c r="AH137" s="249"/>
      <c r="AI137" s="249"/>
      <c r="AJ137" s="249"/>
      <c r="AK137" s="249"/>
      <c r="AL137" s="249"/>
      <c r="AM137" s="249"/>
      <c r="AN137" s="249"/>
      <c r="AO137" s="249"/>
      <c r="AP137" s="249"/>
      <c r="AQ137" s="66"/>
      <c r="AR137" s="66"/>
    </row>
    <row r="138" spans="1:44" x14ac:dyDescent="0.25">
      <c r="A138" s="264"/>
      <c r="B138" s="264"/>
      <c r="C138" s="264"/>
      <c r="D138" s="264"/>
      <c r="E138" s="264"/>
      <c r="F138" s="264"/>
      <c r="G138" s="264"/>
      <c r="H138" s="264"/>
      <c r="I138" s="249"/>
      <c r="J138" s="249"/>
      <c r="K138" s="249"/>
      <c r="L138" s="249"/>
      <c r="M138" s="249"/>
      <c r="N138" s="264"/>
      <c r="O138" s="249"/>
      <c r="P138" s="249"/>
      <c r="Q138" s="249"/>
      <c r="R138" s="249"/>
      <c r="S138" s="249"/>
      <c r="T138" s="267"/>
      <c r="U138" s="267"/>
      <c r="V138" s="267"/>
      <c r="W138" s="249"/>
      <c r="X138" s="249"/>
      <c r="Y138" s="249"/>
      <c r="Z138" s="249"/>
      <c r="AA138" s="264"/>
      <c r="AB138" s="249"/>
      <c r="AC138" s="249"/>
      <c r="AD138" s="249"/>
      <c r="AE138" s="249"/>
      <c r="AF138" s="249"/>
      <c r="AG138" s="249"/>
      <c r="AH138" s="249"/>
      <c r="AI138" s="249"/>
      <c r="AJ138" s="249"/>
      <c r="AK138" s="249"/>
      <c r="AL138" s="249"/>
      <c r="AM138" s="249"/>
      <c r="AN138" s="249"/>
      <c r="AO138" s="249"/>
      <c r="AP138" s="249"/>
      <c r="AQ138" s="66"/>
      <c r="AR138" s="66"/>
    </row>
    <row r="139" spans="1:44" x14ac:dyDescent="0.25">
      <c r="A139" s="264"/>
      <c r="B139" s="264"/>
      <c r="C139" s="264"/>
      <c r="D139" s="264"/>
      <c r="E139" s="264"/>
      <c r="F139" s="264"/>
      <c r="G139" s="264"/>
      <c r="H139" s="264"/>
      <c r="I139" s="249"/>
      <c r="J139" s="249"/>
      <c r="K139" s="249"/>
      <c r="L139" s="249"/>
      <c r="M139" s="249"/>
      <c r="N139" s="264"/>
      <c r="O139" s="249"/>
      <c r="P139" s="249"/>
      <c r="Q139" s="249"/>
      <c r="R139" s="249"/>
      <c r="S139" s="249"/>
      <c r="T139" s="267"/>
      <c r="U139" s="267"/>
      <c r="V139" s="267"/>
      <c r="W139" s="249"/>
      <c r="X139" s="249"/>
      <c r="Y139" s="249"/>
      <c r="Z139" s="249"/>
      <c r="AA139" s="264"/>
      <c r="AB139" s="249"/>
      <c r="AC139" s="249"/>
      <c r="AD139" s="249"/>
      <c r="AE139" s="249"/>
      <c r="AF139" s="249"/>
      <c r="AG139" s="249"/>
      <c r="AH139" s="249"/>
      <c r="AI139" s="249"/>
      <c r="AJ139" s="249"/>
      <c r="AK139" s="249"/>
      <c r="AL139" s="249"/>
      <c r="AM139" s="249"/>
      <c r="AN139" s="249"/>
      <c r="AO139" s="249"/>
      <c r="AP139" s="249"/>
      <c r="AQ139" s="66"/>
      <c r="AR139" s="66"/>
    </row>
    <row r="140" spans="1:44" x14ac:dyDescent="0.25">
      <c r="A140" s="264"/>
      <c r="B140" s="264"/>
      <c r="C140" s="264"/>
      <c r="D140" s="264"/>
      <c r="E140" s="264"/>
      <c r="F140" s="264"/>
      <c r="G140" s="264"/>
      <c r="H140" s="264"/>
      <c r="I140" s="249"/>
      <c r="J140" s="249"/>
      <c r="K140" s="249"/>
      <c r="L140" s="249"/>
      <c r="M140" s="249"/>
      <c r="N140" s="264"/>
      <c r="O140" s="249"/>
      <c r="P140" s="249"/>
      <c r="Q140" s="249"/>
      <c r="R140" s="249"/>
      <c r="S140" s="249"/>
      <c r="T140" s="267"/>
      <c r="U140" s="267"/>
      <c r="V140" s="267"/>
      <c r="W140" s="249"/>
      <c r="X140" s="249"/>
      <c r="Y140" s="249"/>
      <c r="Z140" s="249"/>
      <c r="AA140" s="264"/>
      <c r="AB140" s="249"/>
      <c r="AC140" s="249"/>
      <c r="AD140" s="249"/>
      <c r="AE140" s="249"/>
      <c r="AF140" s="249"/>
      <c r="AG140" s="249"/>
      <c r="AH140" s="249"/>
      <c r="AI140" s="249"/>
      <c r="AJ140" s="249"/>
      <c r="AK140" s="249"/>
      <c r="AL140" s="249"/>
      <c r="AM140" s="249"/>
      <c r="AN140" s="249"/>
      <c r="AO140" s="249"/>
      <c r="AP140" s="249"/>
      <c r="AQ140" s="66"/>
      <c r="AR140" s="66"/>
    </row>
    <row r="141" spans="1:44" x14ac:dyDescent="0.25">
      <c r="A141" s="264"/>
      <c r="B141" s="264"/>
      <c r="C141" s="264"/>
      <c r="D141" s="264"/>
      <c r="E141" s="264"/>
      <c r="F141" s="264"/>
      <c r="G141" s="264"/>
      <c r="H141" s="264"/>
      <c r="I141" s="249"/>
      <c r="J141" s="249"/>
      <c r="K141" s="249"/>
      <c r="L141" s="249"/>
      <c r="M141" s="249"/>
      <c r="N141" s="264"/>
      <c r="O141" s="249"/>
      <c r="P141" s="249"/>
      <c r="Q141" s="249"/>
      <c r="R141" s="249"/>
      <c r="S141" s="249"/>
      <c r="T141" s="267"/>
      <c r="U141" s="267"/>
      <c r="V141" s="267"/>
      <c r="W141" s="249"/>
      <c r="X141" s="249"/>
      <c r="Y141" s="249"/>
      <c r="Z141" s="249"/>
      <c r="AA141" s="264"/>
      <c r="AB141" s="249"/>
      <c r="AC141" s="249"/>
      <c r="AD141" s="249"/>
      <c r="AE141" s="249"/>
      <c r="AF141" s="249"/>
      <c r="AG141" s="249"/>
      <c r="AH141" s="249"/>
      <c r="AI141" s="249"/>
      <c r="AJ141" s="249"/>
      <c r="AK141" s="249"/>
      <c r="AL141" s="249"/>
      <c r="AM141" s="249"/>
      <c r="AN141" s="249"/>
      <c r="AO141" s="249"/>
      <c r="AP141" s="249"/>
      <c r="AQ141" s="66"/>
      <c r="AR141" s="66"/>
    </row>
    <row r="142" spans="1:44" x14ac:dyDescent="0.25">
      <c r="A142" s="264"/>
      <c r="B142" s="264"/>
      <c r="C142" s="264"/>
      <c r="D142" s="264"/>
      <c r="E142" s="264"/>
      <c r="F142" s="264"/>
      <c r="G142" s="264"/>
      <c r="H142" s="264"/>
      <c r="I142" s="249"/>
      <c r="J142" s="249"/>
      <c r="K142" s="249"/>
      <c r="L142" s="249"/>
      <c r="M142" s="249"/>
      <c r="N142" s="264"/>
      <c r="O142" s="249"/>
      <c r="P142" s="249"/>
      <c r="Q142" s="249"/>
      <c r="R142" s="249"/>
      <c r="S142" s="249"/>
      <c r="T142" s="267"/>
      <c r="U142" s="267"/>
      <c r="V142" s="267"/>
      <c r="W142" s="249"/>
      <c r="X142" s="249"/>
      <c r="Y142" s="249"/>
      <c r="Z142" s="249"/>
      <c r="AA142" s="264"/>
      <c r="AB142" s="249"/>
      <c r="AC142" s="249"/>
      <c r="AD142" s="249"/>
      <c r="AE142" s="249"/>
      <c r="AF142" s="249"/>
      <c r="AG142" s="249"/>
      <c r="AH142" s="249"/>
      <c r="AI142" s="249"/>
      <c r="AJ142" s="249"/>
      <c r="AK142" s="249"/>
      <c r="AL142" s="249"/>
      <c r="AM142" s="249"/>
      <c r="AN142" s="249"/>
      <c r="AO142" s="249"/>
      <c r="AP142" s="249"/>
      <c r="AQ142" s="66"/>
      <c r="AR142" s="66"/>
    </row>
    <row r="143" spans="1:44" x14ac:dyDescent="0.25">
      <c r="A143" s="264"/>
      <c r="B143" s="264"/>
      <c r="C143" s="264"/>
      <c r="D143" s="264"/>
      <c r="E143" s="264"/>
      <c r="F143" s="264"/>
      <c r="G143" s="264"/>
      <c r="H143" s="264"/>
      <c r="I143" s="249"/>
      <c r="J143" s="249"/>
      <c r="K143" s="249"/>
      <c r="L143" s="249"/>
      <c r="M143" s="249"/>
      <c r="N143" s="264"/>
      <c r="O143" s="249"/>
      <c r="P143" s="249"/>
      <c r="Q143" s="249"/>
      <c r="R143" s="249"/>
      <c r="S143" s="249"/>
      <c r="T143" s="267"/>
      <c r="U143" s="267"/>
      <c r="V143" s="267"/>
      <c r="W143" s="249"/>
      <c r="X143" s="249"/>
      <c r="Y143" s="249"/>
      <c r="Z143" s="249"/>
      <c r="AA143" s="264"/>
      <c r="AB143" s="249"/>
      <c r="AC143" s="249"/>
      <c r="AD143" s="249"/>
      <c r="AE143" s="249"/>
      <c r="AF143" s="249"/>
      <c r="AG143" s="249"/>
      <c r="AH143" s="249"/>
      <c r="AI143" s="249"/>
      <c r="AJ143" s="249"/>
      <c r="AK143" s="249"/>
      <c r="AL143" s="249"/>
      <c r="AM143" s="249"/>
      <c r="AN143" s="249"/>
      <c r="AO143" s="249"/>
      <c r="AP143" s="249"/>
      <c r="AQ143" s="66"/>
      <c r="AR143" s="66"/>
    </row>
    <row r="144" spans="1:44" x14ac:dyDescent="0.25">
      <c r="A144" s="264"/>
      <c r="B144" s="264"/>
      <c r="C144" s="264"/>
      <c r="D144" s="264"/>
      <c r="E144" s="264"/>
      <c r="F144" s="264"/>
      <c r="G144" s="264"/>
      <c r="H144" s="264"/>
      <c r="I144" s="249"/>
      <c r="J144" s="249"/>
      <c r="K144" s="249"/>
      <c r="L144" s="249"/>
      <c r="M144" s="249"/>
      <c r="N144" s="264"/>
      <c r="O144" s="249"/>
      <c r="P144" s="249"/>
      <c r="Q144" s="249"/>
      <c r="R144" s="249"/>
      <c r="S144" s="249"/>
      <c r="T144" s="267"/>
      <c r="U144" s="267"/>
      <c r="V144" s="267"/>
      <c r="W144" s="249"/>
      <c r="X144" s="249"/>
      <c r="Y144" s="249"/>
      <c r="Z144" s="249"/>
      <c r="AA144" s="264"/>
      <c r="AB144" s="249"/>
      <c r="AC144" s="249"/>
      <c r="AD144" s="249"/>
      <c r="AE144" s="249"/>
      <c r="AF144" s="249"/>
      <c r="AG144" s="249"/>
      <c r="AH144" s="249"/>
      <c r="AI144" s="249"/>
      <c r="AJ144" s="249"/>
      <c r="AK144" s="249"/>
      <c r="AL144" s="249"/>
      <c r="AM144" s="249"/>
      <c r="AN144" s="249"/>
      <c r="AO144" s="249"/>
      <c r="AP144" s="249"/>
      <c r="AQ144" s="66"/>
      <c r="AR144" s="66"/>
    </row>
    <row r="145" spans="1:44" x14ac:dyDescent="0.25">
      <c r="A145" s="264"/>
      <c r="B145" s="264"/>
      <c r="C145" s="264"/>
      <c r="D145" s="264"/>
      <c r="E145" s="264"/>
      <c r="F145" s="264"/>
      <c r="G145" s="264"/>
      <c r="H145" s="264"/>
      <c r="I145" s="249"/>
      <c r="J145" s="249"/>
      <c r="K145" s="249"/>
      <c r="L145" s="249"/>
      <c r="M145" s="249"/>
      <c r="N145" s="264"/>
      <c r="O145" s="249"/>
      <c r="P145" s="249"/>
      <c r="Q145" s="249"/>
      <c r="R145" s="249"/>
      <c r="S145" s="249"/>
      <c r="T145" s="267"/>
      <c r="U145" s="267"/>
      <c r="V145" s="267"/>
      <c r="W145" s="249"/>
      <c r="X145" s="249"/>
      <c r="Y145" s="249"/>
      <c r="Z145" s="249"/>
      <c r="AA145" s="264"/>
      <c r="AB145" s="249"/>
      <c r="AC145" s="249"/>
      <c r="AD145" s="249"/>
      <c r="AE145" s="249"/>
      <c r="AF145" s="249"/>
      <c r="AG145" s="249"/>
      <c r="AH145" s="249"/>
      <c r="AI145" s="249"/>
      <c r="AJ145" s="249"/>
      <c r="AK145" s="249"/>
      <c r="AL145" s="249"/>
      <c r="AM145" s="249"/>
      <c r="AN145" s="249"/>
      <c r="AO145" s="249"/>
      <c r="AP145" s="249"/>
      <c r="AQ145" s="66"/>
      <c r="AR145" s="66"/>
    </row>
    <row r="146" spans="1:44" x14ac:dyDescent="0.25">
      <c r="A146" s="264"/>
      <c r="B146" s="264"/>
      <c r="C146" s="264"/>
      <c r="D146" s="264"/>
      <c r="E146" s="264"/>
      <c r="F146" s="264"/>
      <c r="G146" s="264"/>
      <c r="H146" s="264"/>
      <c r="I146" s="249"/>
      <c r="J146" s="249"/>
      <c r="K146" s="249"/>
      <c r="L146" s="249"/>
      <c r="M146" s="249"/>
      <c r="N146" s="264"/>
      <c r="O146" s="249"/>
      <c r="P146" s="249"/>
      <c r="Q146" s="249"/>
      <c r="R146" s="249"/>
      <c r="S146" s="249"/>
      <c r="T146" s="267"/>
      <c r="U146" s="267"/>
      <c r="V146" s="267"/>
      <c r="W146" s="249"/>
      <c r="X146" s="249"/>
      <c r="Y146" s="249"/>
      <c r="Z146" s="249"/>
      <c r="AA146" s="264"/>
      <c r="AB146" s="249"/>
      <c r="AC146" s="249"/>
      <c r="AD146" s="249"/>
      <c r="AE146" s="249"/>
      <c r="AF146" s="249"/>
      <c r="AG146" s="249"/>
      <c r="AH146" s="249"/>
      <c r="AI146" s="249"/>
      <c r="AJ146" s="249"/>
      <c r="AK146" s="249"/>
      <c r="AL146" s="249"/>
      <c r="AM146" s="249"/>
      <c r="AN146" s="249"/>
      <c r="AO146" s="249"/>
      <c r="AP146" s="249"/>
      <c r="AQ146" s="66"/>
      <c r="AR146" s="66"/>
    </row>
    <row r="147" spans="1:44" x14ac:dyDescent="0.25">
      <c r="A147" s="264"/>
      <c r="B147" s="264"/>
      <c r="C147" s="264"/>
      <c r="D147" s="264"/>
      <c r="E147" s="264"/>
      <c r="F147" s="264"/>
      <c r="G147" s="264"/>
      <c r="H147" s="264"/>
      <c r="I147" s="249"/>
      <c r="J147" s="249"/>
      <c r="K147" s="249"/>
      <c r="L147" s="249"/>
      <c r="M147" s="249"/>
      <c r="N147" s="264"/>
      <c r="O147" s="249"/>
      <c r="P147" s="249"/>
      <c r="Q147" s="249"/>
      <c r="R147" s="249"/>
      <c r="S147" s="249"/>
      <c r="T147" s="267"/>
      <c r="U147" s="267"/>
      <c r="V147" s="267"/>
      <c r="W147" s="249"/>
      <c r="X147" s="249"/>
      <c r="Y147" s="249"/>
      <c r="Z147" s="249"/>
      <c r="AA147" s="264"/>
      <c r="AB147" s="249"/>
      <c r="AC147" s="249"/>
      <c r="AD147" s="249"/>
      <c r="AE147" s="249"/>
      <c r="AF147" s="249"/>
      <c r="AG147" s="249"/>
      <c r="AH147" s="249"/>
      <c r="AI147" s="249"/>
      <c r="AJ147" s="249"/>
      <c r="AK147" s="249"/>
      <c r="AL147" s="249"/>
      <c r="AM147" s="249"/>
      <c r="AN147" s="249"/>
      <c r="AO147" s="249"/>
      <c r="AP147" s="249"/>
      <c r="AQ147" s="66"/>
      <c r="AR147" s="66"/>
    </row>
    <row r="148" spans="1:44" x14ac:dyDescent="0.25">
      <c r="A148" s="264"/>
      <c r="B148" s="264"/>
      <c r="C148" s="264"/>
      <c r="D148" s="264"/>
      <c r="E148" s="264"/>
      <c r="F148" s="264"/>
      <c r="G148" s="264"/>
      <c r="H148" s="264"/>
      <c r="I148" s="249"/>
      <c r="J148" s="249"/>
      <c r="K148" s="249"/>
      <c r="L148" s="249"/>
      <c r="M148" s="249"/>
      <c r="N148" s="264"/>
      <c r="O148" s="249"/>
      <c r="P148" s="249"/>
      <c r="Q148" s="249"/>
      <c r="R148" s="249"/>
      <c r="S148" s="249"/>
      <c r="T148" s="267"/>
      <c r="U148" s="267"/>
      <c r="V148" s="267"/>
      <c r="W148" s="249"/>
      <c r="X148" s="249"/>
      <c r="Y148" s="249"/>
      <c r="Z148" s="249"/>
      <c r="AA148" s="264"/>
      <c r="AB148" s="249"/>
      <c r="AC148" s="249"/>
      <c r="AD148" s="249"/>
      <c r="AE148" s="249"/>
      <c r="AF148" s="249"/>
      <c r="AG148" s="249"/>
      <c r="AH148" s="249"/>
      <c r="AI148" s="249"/>
      <c r="AJ148" s="249"/>
      <c r="AK148" s="249"/>
      <c r="AL148" s="249"/>
      <c r="AM148" s="249"/>
      <c r="AN148" s="249"/>
      <c r="AO148" s="249"/>
      <c r="AP148" s="249"/>
      <c r="AQ148" s="66"/>
      <c r="AR148" s="66"/>
    </row>
    <row r="149" spans="1:44" x14ac:dyDescent="0.25">
      <c r="A149" s="264"/>
      <c r="B149" s="264"/>
      <c r="C149" s="264"/>
      <c r="D149" s="264"/>
      <c r="E149" s="264"/>
      <c r="F149" s="264"/>
      <c r="G149" s="264"/>
      <c r="H149" s="264"/>
      <c r="I149" s="249"/>
      <c r="J149" s="249"/>
      <c r="K149" s="249"/>
      <c r="L149" s="249"/>
      <c r="M149" s="249"/>
      <c r="N149" s="264"/>
      <c r="O149" s="249"/>
      <c r="P149" s="249"/>
      <c r="Q149" s="249"/>
      <c r="R149" s="249"/>
      <c r="S149" s="249"/>
      <c r="T149" s="267"/>
      <c r="U149" s="267"/>
      <c r="V149" s="267"/>
      <c r="W149" s="249"/>
      <c r="X149" s="249"/>
      <c r="Y149" s="249"/>
      <c r="Z149" s="249"/>
      <c r="AA149" s="264"/>
      <c r="AB149" s="249"/>
      <c r="AC149" s="249"/>
      <c r="AD149" s="249"/>
      <c r="AE149" s="249"/>
      <c r="AF149" s="249"/>
      <c r="AG149" s="249"/>
      <c r="AH149" s="249"/>
      <c r="AI149" s="249"/>
      <c r="AJ149" s="249"/>
      <c r="AK149" s="249"/>
      <c r="AL149" s="249"/>
      <c r="AM149" s="249"/>
      <c r="AN149" s="249"/>
      <c r="AO149" s="249"/>
      <c r="AP149" s="249"/>
      <c r="AQ149" s="66"/>
      <c r="AR149" s="66"/>
    </row>
    <row r="150" spans="1:44" x14ac:dyDescent="0.25">
      <c r="A150" s="264"/>
      <c r="B150" s="264"/>
      <c r="C150" s="264"/>
      <c r="D150" s="264"/>
      <c r="E150" s="264"/>
      <c r="F150" s="264"/>
      <c r="G150" s="264"/>
      <c r="H150" s="264"/>
      <c r="I150" s="249"/>
      <c r="J150" s="249"/>
      <c r="K150" s="249"/>
      <c r="L150" s="249"/>
      <c r="M150" s="249"/>
      <c r="N150" s="264"/>
      <c r="O150" s="249"/>
      <c r="P150" s="249"/>
      <c r="Q150" s="249"/>
      <c r="R150" s="249"/>
      <c r="S150" s="249"/>
      <c r="T150" s="267"/>
      <c r="U150" s="267"/>
      <c r="V150" s="267"/>
      <c r="W150" s="249"/>
      <c r="X150" s="249"/>
      <c r="Y150" s="249"/>
      <c r="Z150" s="249"/>
      <c r="AA150" s="264"/>
      <c r="AB150" s="249"/>
      <c r="AC150" s="249"/>
      <c r="AD150" s="249"/>
      <c r="AE150" s="249"/>
      <c r="AF150" s="249"/>
      <c r="AG150" s="249"/>
      <c r="AH150" s="249"/>
      <c r="AI150" s="249"/>
      <c r="AJ150" s="249"/>
      <c r="AK150" s="249"/>
      <c r="AL150" s="249"/>
      <c r="AM150" s="249"/>
      <c r="AN150" s="249"/>
      <c r="AO150" s="249"/>
      <c r="AP150" s="249"/>
      <c r="AQ150" s="66"/>
      <c r="AR150" s="66"/>
    </row>
    <row r="151" spans="1:44" x14ac:dyDescent="0.25">
      <c r="A151" s="264"/>
      <c r="B151" s="264"/>
      <c r="C151" s="264"/>
      <c r="D151" s="264"/>
      <c r="E151" s="264"/>
      <c r="F151" s="264"/>
      <c r="G151" s="264"/>
      <c r="H151" s="264"/>
      <c r="I151" s="249"/>
      <c r="J151" s="249"/>
      <c r="K151" s="249"/>
      <c r="L151" s="249"/>
      <c r="M151" s="249"/>
      <c r="N151" s="264"/>
      <c r="O151" s="249"/>
      <c r="P151" s="249"/>
      <c r="Q151" s="249"/>
      <c r="R151" s="249"/>
      <c r="S151" s="249"/>
      <c r="T151" s="267"/>
      <c r="U151" s="267"/>
      <c r="V151" s="267"/>
      <c r="W151" s="249"/>
      <c r="X151" s="249"/>
      <c r="Y151" s="249"/>
      <c r="Z151" s="249"/>
      <c r="AA151" s="264"/>
      <c r="AB151" s="249"/>
      <c r="AC151" s="249"/>
      <c r="AD151" s="249"/>
      <c r="AE151" s="249"/>
      <c r="AF151" s="249"/>
      <c r="AG151" s="249"/>
      <c r="AH151" s="249"/>
      <c r="AI151" s="249"/>
      <c r="AJ151" s="249"/>
      <c r="AK151" s="249"/>
      <c r="AL151" s="249"/>
      <c r="AM151" s="249"/>
      <c r="AN151" s="249"/>
      <c r="AO151" s="249"/>
      <c r="AP151" s="249"/>
      <c r="AQ151" s="66"/>
      <c r="AR151" s="66"/>
    </row>
    <row r="152" spans="1:44" x14ac:dyDescent="0.25">
      <c r="A152" s="264"/>
      <c r="B152" s="264"/>
      <c r="C152" s="264"/>
      <c r="D152" s="264"/>
      <c r="E152" s="264"/>
      <c r="F152" s="264"/>
      <c r="G152" s="264"/>
      <c r="H152" s="264"/>
      <c r="I152" s="249"/>
      <c r="J152" s="249"/>
      <c r="K152" s="249"/>
      <c r="L152" s="249"/>
      <c r="M152" s="249"/>
      <c r="N152" s="264"/>
      <c r="O152" s="249"/>
      <c r="P152" s="249"/>
      <c r="Q152" s="249"/>
      <c r="R152" s="249"/>
      <c r="S152" s="249"/>
      <c r="T152" s="267"/>
      <c r="U152" s="267"/>
      <c r="V152" s="267"/>
      <c r="W152" s="249"/>
      <c r="X152" s="249"/>
      <c r="Y152" s="249"/>
      <c r="Z152" s="249"/>
      <c r="AA152" s="264"/>
      <c r="AB152" s="249"/>
      <c r="AC152" s="249"/>
      <c r="AD152" s="249"/>
      <c r="AE152" s="249"/>
      <c r="AF152" s="249"/>
      <c r="AG152" s="249"/>
      <c r="AH152" s="249"/>
      <c r="AI152" s="249"/>
      <c r="AJ152" s="249"/>
      <c r="AK152" s="249"/>
      <c r="AL152" s="249"/>
      <c r="AM152" s="249"/>
      <c r="AN152" s="249"/>
      <c r="AO152" s="249"/>
      <c r="AP152" s="249"/>
      <c r="AQ152" s="66"/>
      <c r="AR152" s="66"/>
    </row>
    <row r="153" spans="1:44" x14ac:dyDescent="0.25">
      <c r="A153" s="264"/>
      <c r="B153" s="264"/>
      <c r="C153" s="264"/>
      <c r="D153" s="264"/>
      <c r="E153" s="264"/>
      <c r="F153" s="264"/>
      <c r="G153" s="264"/>
      <c r="H153" s="264"/>
      <c r="I153" s="249"/>
      <c r="J153" s="249"/>
      <c r="K153" s="249"/>
      <c r="L153" s="249"/>
      <c r="M153" s="249"/>
      <c r="N153" s="264"/>
      <c r="O153" s="249"/>
      <c r="P153" s="249"/>
      <c r="Q153" s="249"/>
      <c r="R153" s="249"/>
      <c r="S153" s="249"/>
      <c r="T153" s="267"/>
      <c r="U153" s="267"/>
      <c r="V153" s="267"/>
      <c r="W153" s="249"/>
      <c r="X153" s="249"/>
      <c r="Y153" s="249"/>
      <c r="Z153" s="249"/>
      <c r="AA153" s="264"/>
      <c r="AB153" s="249"/>
      <c r="AC153" s="249"/>
      <c r="AD153" s="249"/>
      <c r="AE153" s="249"/>
      <c r="AF153" s="249"/>
      <c r="AG153" s="249"/>
      <c r="AH153" s="249"/>
      <c r="AI153" s="249"/>
      <c r="AJ153" s="249"/>
      <c r="AK153" s="249"/>
      <c r="AL153" s="249"/>
      <c r="AM153" s="249"/>
      <c r="AN153" s="249"/>
      <c r="AO153" s="249"/>
      <c r="AP153" s="249"/>
      <c r="AQ153" s="66"/>
      <c r="AR153" s="66"/>
    </row>
    <row r="154" spans="1:44" x14ac:dyDescent="0.25">
      <c r="A154" s="264"/>
      <c r="B154" s="264"/>
      <c r="C154" s="264"/>
      <c r="D154" s="264"/>
      <c r="E154" s="264"/>
      <c r="F154" s="264"/>
      <c r="G154" s="264"/>
      <c r="H154" s="264"/>
      <c r="I154" s="249"/>
      <c r="J154" s="249"/>
      <c r="K154" s="249"/>
      <c r="L154" s="249"/>
      <c r="M154" s="249"/>
      <c r="N154" s="264"/>
      <c r="O154" s="249"/>
      <c r="P154" s="249"/>
      <c r="Q154" s="249"/>
      <c r="R154" s="249"/>
      <c r="S154" s="249"/>
      <c r="T154" s="267"/>
      <c r="U154" s="267"/>
      <c r="V154" s="267"/>
      <c r="W154" s="249"/>
      <c r="X154" s="249"/>
      <c r="Y154" s="249"/>
      <c r="Z154" s="249"/>
      <c r="AA154" s="264"/>
      <c r="AB154" s="249"/>
      <c r="AC154" s="249"/>
      <c r="AD154" s="249"/>
      <c r="AE154" s="249"/>
      <c r="AF154" s="249"/>
      <c r="AG154" s="249"/>
      <c r="AH154" s="249"/>
      <c r="AI154" s="249"/>
      <c r="AJ154" s="249"/>
      <c r="AK154" s="249"/>
      <c r="AL154" s="249"/>
      <c r="AM154" s="249"/>
      <c r="AN154" s="249"/>
      <c r="AO154" s="249"/>
      <c r="AP154" s="249"/>
      <c r="AQ154" s="66"/>
      <c r="AR154" s="66"/>
    </row>
    <row r="155" spans="1:44" x14ac:dyDescent="0.25">
      <c r="A155" s="264"/>
      <c r="B155" s="264"/>
      <c r="C155" s="264"/>
      <c r="D155" s="264"/>
      <c r="E155" s="264"/>
      <c r="F155" s="264"/>
      <c r="G155" s="264"/>
      <c r="H155" s="264"/>
      <c r="I155" s="249"/>
      <c r="J155" s="249"/>
      <c r="K155" s="249"/>
      <c r="L155" s="249"/>
      <c r="M155" s="249"/>
      <c r="N155" s="264"/>
      <c r="O155" s="249"/>
      <c r="P155" s="249"/>
      <c r="Q155" s="249"/>
      <c r="R155" s="249"/>
      <c r="S155" s="249"/>
      <c r="T155" s="267"/>
      <c r="U155" s="267"/>
      <c r="V155" s="267"/>
      <c r="W155" s="249"/>
      <c r="X155" s="249"/>
      <c r="Y155" s="249"/>
      <c r="Z155" s="249"/>
      <c r="AA155" s="264"/>
      <c r="AB155" s="249"/>
      <c r="AC155" s="249"/>
      <c r="AD155" s="249"/>
      <c r="AE155" s="249"/>
      <c r="AF155" s="249"/>
      <c r="AG155" s="249"/>
      <c r="AH155" s="249"/>
      <c r="AI155" s="249"/>
      <c r="AJ155" s="249"/>
      <c r="AK155" s="249"/>
      <c r="AL155" s="249"/>
      <c r="AM155" s="249"/>
      <c r="AN155" s="249"/>
      <c r="AO155" s="249"/>
      <c r="AP155" s="249"/>
      <c r="AQ155" s="66"/>
      <c r="AR155" s="66"/>
    </row>
    <row r="156" spans="1:44" x14ac:dyDescent="0.25">
      <c r="A156" s="264"/>
      <c r="B156" s="264"/>
      <c r="C156" s="264"/>
      <c r="D156" s="264"/>
      <c r="E156" s="264"/>
      <c r="F156" s="264"/>
      <c r="G156" s="264"/>
      <c r="H156" s="264"/>
      <c r="I156" s="249"/>
      <c r="J156" s="249"/>
      <c r="K156" s="249"/>
      <c r="L156" s="249"/>
      <c r="M156" s="249"/>
      <c r="N156" s="264"/>
      <c r="O156" s="249"/>
      <c r="P156" s="249"/>
      <c r="Q156" s="249"/>
      <c r="R156" s="249"/>
      <c r="S156" s="249"/>
      <c r="T156" s="267"/>
      <c r="U156" s="267"/>
      <c r="V156" s="267"/>
      <c r="W156" s="249"/>
      <c r="X156" s="249"/>
      <c r="Y156" s="249"/>
      <c r="Z156" s="249"/>
      <c r="AA156" s="264"/>
      <c r="AB156" s="249"/>
      <c r="AC156" s="249"/>
      <c r="AD156" s="249"/>
      <c r="AE156" s="249"/>
      <c r="AF156" s="249"/>
      <c r="AG156" s="249"/>
      <c r="AH156" s="249"/>
      <c r="AI156" s="249"/>
      <c r="AJ156" s="249"/>
      <c r="AK156" s="249"/>
      <c r="AL156" s="249"/>
      <c r="AM156" s="249"/>
      <c r="AN156" s="249"/>
      <c r="AO156" s="249"/>
      <c r="AP156" s="249"/>
      <c r="AQ156" s="66"/>
      <c r="AR156" s="66"/>
    </row>
    <row r="157" spans="1:44" x14ac:dyDescent="0.25">
      <c r="A157" s="264"/>
      <c r="B157" s="264"/>
      <c r="C157" s="264"/>
      <c r="D157" s="264"/>
      <c r="E157" s="264"/>
      <c r="F157" s="264"/>
      <c r="G157" s="264"/>
      <c r="H157" s="264"/>
      <c r="I157" s="249"/>
      <c r="J157" s="249"/>
      <c r="K157" s="249"/>
      <c r="L157" s="249"/>
      <c r="M157" s="249"/>
      <c r="N157" s="264"/>
      <c r="O157" s="249"/>
      <c r="P157" s="249"/>
      <c r="Q157" s="249"/>
      <c r="R157" s="249"/>
      <c r="S157" s="249"/>
      <c r="T157" s="267"/>
      <c r="U157" s="267"/>
      <c r="V157" s="267"/>
      <c r="W157" s="249"/>
      <c r="X157" s="249"/>
      <c r="Y157" s="249"/>
      <c r="Z157" s="249"/>
      <c r="AA157" s="264"/>
      <c r="AB157" s="249"/>
      <c r="AC157" s="249"/>
      <c r="AD157" s="249"/>
      <c r="AE157" s="249"/>
      <c r="AF157" s="249"/>
      <c r="AG157" s="249"/>
      <c r="AH157" s="249"/>
      <c r="AI157" s="249"/>
      <c r="AJ157" s="249"/>
      <c r="AK157" s="249"/>
      <c r="AL157" s="249"/>
      <c r="AM157" s="249"/>
      <c r="AN157" s="249"/>
      <c r="AO157" s="249"/>
      <c r="AP157" s="249"/>
      <c r="AQ157" s="66"/>
      <c r="AR157" s="66"/>
    </row>
    <row r="158" spans="1:44" x14ac:dyDescent="0.25">
      <c r="A158" s="264"/>
      <c r="B158" s="264"/>
      <c r="C158" s="264"/>
      <c r="D158" s="264"/>
      <c r="E158" s="264"/>
      <c r="F158" s="264"/>
      <c r="G158" s="264"/>
      <c r="H158" s="264"/>
      <c r="I158" s="249"/>
      <c r="J158" s="249"/>
      <c r="K158" s="249"/>
      <c r="L158" s="249"/>
      <c r="M158" s="249"/>
      <c r="N158" s="264"/>
      <c r="O158" s="249"/>
      <c r="P158" s="249"/>
      <c r="Q158" s="249"/>
      <c r="R158" s="249"/>
      <c r="S158" s="249"/>
      <c r="T158" s="267"/>
      <c r="U158" s="267"/>
      <c r="V158" s="267"/>
      <c r="W158" s="249"/>
      <c r="X158" s="249"/>
      <c r="Y158" s="249"/>
      <c r="Z158" s="249"/>
      <c r="AA158" s="264"/>
      <c r="AB158" s="249"/>
      <c r="AC158" s="249"/>
      <c r="AD158" s="249"/>
      <c r="AE158" s="249"/>
      <c r="AF158" s="249"/>
      <c r="AG158" s="249"/>
      <c r="AH158" s="249"/>
      <c r="AI158" s="249"/>
      <c r="AJ158" s="249"/>
      <c r="AK158" s="249"/>
      <c r="AL158" s="249"/>
      <c r="AM158" s="249"/>
      <c r="AN158" s="249"/>
      <c r="AO158" s="249"/>
      <c r="AP158" s="249"/>
      <c r="AQ158" s="66"/>
      <c r="AR158" s="66"/>
    </row>
    <row r="159" spans="1:44" x14ac:dyDescent="0.25">
      <c r="A159" s="264"/>
      <c r="B159" s="264"/>
      <c r="C159" s="264"/>
      <c r="D159" s="264"/>
      <c r="E159" s="264"/>
      <c r="F159" s="264"/>
      <c r="G159" s="264"/>
      <c r="H159" s="264"/>
      <c r="I159" s="249"/>
      <c r="J159" s="249"/>
      <c r="K159" s="249"/>
      <c r="L159" s="249"/>
      <c r="M159" s="249"/>
      <c r="N159" s="264"/>
      <c r="O159" s="249"/>
      <c r="P159" s="249"/>
      <c r="Q159" s="249"/>
      <c r="R159" s="249"/>
      <c r="S159" s="249"/>
      <c r="T159" s="267"/>
      <c r="U159" s="267"/>
      <c r="V159" s="267"/>
      <c r="W159" s="249"/>
      <c r="X159" s="249"/>
      <c r="Y159" s="249"/>
      <c r="Z159" s="249"/>
      <c r="AA159" s="264"/>
      <c r="AB159" s="249"/>
      <c r="AC159" s="249"/>
      <c r="AD159" s="249"/>
      <c r="AE159" s="249"/>
      <c r="AF159" s="249"/>
      <c r="AG159" s="249"/>
      <c r="AH159" s="249"/>
      <c r="AI159" s="249"/>
      <c r="AJ159" s="249"/>
      <c r="AK159" s="249"/>
      <c r="AL159" s="249"/>
      <c r="AM159" s="249"/>
      <c r="AN159" s="249"/>
      <c r="AO159" s="249"/>
      <c r="AP159" s="249"/>
      <c r="AQ159" s="66"/>
      <c r="AR159" s="66"/>
    </row>
    <row r="160" spans="1:44" x14ac:dyDescent="0.25">
      <c r="A160" s="264"/>
      <c r="B160" s="264"/>
      <c r="C160" s="264"/>
      <c r="D160" s="264"/>
      <c r="E160" s="264"/>
      <c r="F160" s="264"/>
      <c r="G160" s="264"/>
      <c r="H160" s="264"/>
      <c r="I160" s="249"/>
      <c r="J160" s="249"/>
      <c r="K160" s="249"/>
      <c r="L160" s="249"/>
      <c r="M160" s="249"/>
      <c r="N160" s="264"/>
      <c r="O160" s="249"/>
      <c r="P160" s="249"/>
      <c r="Q160" s="249"/>
      <c r="R160" s="249"/>
      <c r="S160" s="249"/>
      <c r="T160" s="267"/>
      <c r="U160" s="267"/>
      <c r="V160" s="267"/>
      <c r="W160" s="249"/>
      <c r="X160" s="249"/>
      <c r="Y160" s="249"/>
      <c r="Z160" s="249"/>
      <c r="AA160" s="264"/>
      <c r="AB160" s="249"/>
      <c r="AC160" s="249"/>
      <c r="AD160" s="249"/>
      <c r="AE160" s="249"/>
      <c r="AF160" s="249"/>
      <c r="AG160" s="249"/>
      <c r="AH160" s="249"/>
      <c r="AI160" s="249"/>
      <c r="AJ160" s="249"/>
      <c r="AK160" s="249"/>
      <c r="AL160" s="249"/>
      <c r="AM160" s="249"/>
      <c r="AN160" s="249"/>
      <c r="AO160" s="249"/>
      <c r="AP160" s="249"/>
      <c r="AQ160" s="66"/>
      <c r="AR160" s="66"/>
    </row>
    <row r="161" spans="1:44" x14ac:dyDescent="0.25">
      <c r="A161" s="264"/>
      <c r="B161" s="264"/>
      <c r="C161" s="264"/>
      <c r="D161" s="264"/>
      <c r="E161" s="264"/>
      <c r="F161" s="264"/>
      <c r="G161" s="264"/>
      <c r="H161" s="264"/>
      <c r="I161" s="249"/>
      <c r="J161" s="249"/>
      <c r="K161" s="249"/>
      <c r="L161" s="249"/>
      <c r="M161" s="249"/>
      <c r="N161" s="264"/>
      <c r="O161" s="249"/>
      <c r="P161" s="249"/>
      <c r="Q161" s="249"/>
      <c r="R161" s="249"/>
      <c r="S161" s="249"/>
      <c r="T161" s="267"/>
      <c r="U161" s="267"/>
      <c r="V161" s="267"/>
      <c r="W161" s="249"/>
      <c r="X161" s="249"/>
      <c r="Y161" s="249"/>
      <c r="Z161" s="249"/>
      <c r="AA161" s="264"/>
      <c r="AB161" s="249"/>
      <c r="AC161" s="249"/>
      <c r="AD161" s="249"/>
      <c r="AE161" s="249"/>
      <c r="AF161" s="249"/>
      <c r="AG161" s="249"/>
      <c r="AH161" s="249"/>
      <c r="AI161" s="249"/>
      <c r="AJ161" s="249"/>
      <c r="AK161" s="249"/>
      <c r="AL161" s="249"/>
      <c r="AM161" s="249"/>
      <c r="AN161" s="249"/>
      <c r="AO161" s="249"/>
      <c r="AP161" s="249"/>
      <c r="AQ161" s="66"/>
      <c r="AR161" s="66"/>
    </row>
    <row r="162" spans="1:44" x14ac:dyDescent="0.25">
      <c r="A162" s="264"/>
      <c r="B162" s="264"/>
      <c r="C162" s="264"/>
      <c r="D162" s="264"/>
      <c r="E162" s="264"/>
      <c r="F162" s="264"/>
      <c r="G162" s="264"/>
      <c r="H162" s="264"/>
      <c r="I162" s="249"/>
      <c r="J162" s="249"/>
      <c r="K162" s="249"/>
      <c r="L162" s="249"/>
      <c r="M162" s="249"/>
      <c r="N162" s="264"/>
      <c r="O162" s="249"/>
      <c r="P162" s="249"/>
      <c r="Q162" s="249"/>
      <c r="R162" s="249"/>
      <c r="S162" s="249"/>
      <c r="T162" s="267"/>
      <c r="U162" s="267"/>
      <c r="V162" s="267"/>
      <c r="W162" s="249"/>
      <c r="X162" s="249"/>
      <c r="Y162" s="249"/>
      <c r="Z162" s="249"/>
      <c r="AA162" s="264"/>
      <c r="AB162" s="249"/>
      <c r="AC162" s="249"/>
      <c r="AD162" s="249"/>
      <c r="AE162" s="249"/>
      <c r="AF162" s="249"/>
      <c r="AG162" s="249"/>
      <c r="AH162" s="249"/>
      <c r="AI162" s="249"/>
      <c r="AJ162" s="249"/>
      <c r="AK162" s="249"/>
      <c r="AL162" s="249"/>
      <c r="AM162" s="249"/>
      <c r="AN162" s="249"/>
      <c r="AO162" s="249"/>
      <c r="AP162" s="249"/>
      <c r="AQ162" s="66"/>
      <c r="AR162" s="66"/>
    </row>
    <row r="163" spans="1:44" x14ac:dyDescent="0.25">
      <c r="A163" s="264"/>
      <c r="B163" s="264"/>
      <c r="C163" s="264"/>
      <c r="D163" s="264"/>
      <c r="E163" s="264"/>
      <c r="F163" s="264"/>
      <c r="G163" s="264"/>
      <c r="H163" s="264"/>
      <c r="I163" s="249"/>
      <c r="J163" s="249"/>
      <c r="K163" s="249"/>
      <c r="L163" s="249"/>
      <c r="M163" s="249"/>
      <c r="N163" s="264"/>
      <c r="O163" s="249"/>
      <c r="P163" s="249"/>
      <c r="Q163" s="249"/>
      <c r="R163" s="249"/>
      <c r="S163" s="249"/>
      <c r="T163" s="267"/>
      <c r="U163" s="267"/>
      <c r="V163" s="267"/>
      <c r="W163" s="249"/>
      <c r="X163" s="249"/>
      <c r="Y163" s="249"/>
      <c r="Z163" s="249"/>
      <c r="AA163" s="264"/>
      <c r="AB163" s="249"/>
      <c r="AC163" s="249"/>
      <c r="AD163" s="249"/>
      <c r="AE163" s="249"/>
      <c r="AF163" s="249"/>
      <c r="AG163" s="249"/>
      <c r="AH163" s="249"/>
      <c r="AI163" s="249"/>
      <c r="AJ163" s="249"/>
      <c r="AK163" s="249"/>
      <c r="AL163" s="249"/>
      <c r="AM163" s="249"/>
      <c r="AN163" s="249"/>
      <c r="AO163" s="249"/>
      <c r="AP163" s="249"/>
      <c r="AQ163" s="66"/>
      <c r="AR163" s="66"/>
    </row>
    <row r="164" spans="1:44" x14ac:dyDescent="0.25">
      <c r="A164" s="264"/>
      <c r="B164" s="264"/>
      <c r="C164" s="264"/>
      <c r="D164" s="264"/>
      <c r="E164" s="264"/>
      <c r="F164" s="264"/>
      <c r="G164" s="264"/>
      <c r="H164" s="264"/>
      <c r="I164" s="249"/>
      <c r="J164" s="249"/>
      <c r="K164" s="249"/>
      <c r="L164" s="249"/>
      <c r="M164" s="249"/>
      <c r="N164" s="264"/>
      <c r="O164" s="249"/>
      <c r="P164" s="249"/>
      <c r="Q164" s="249"/>
      <c r="R164" s="249"/>
      <c r="S164" s="249"/>
      <c r="T164" s="267"/>
      <c r="U164" s="267"/>
      <c r="V164" s="267"/>
      <c r="W164" s="249"/>
      <c r="X164" s="249"/>
      <c r="Y164" s="249"/>
      <c r="Z164" s="249"/>
      <c r="AA164" s="264"/>
      <c r="AB164" s="249"/>
      <c r="AC164" s="249"/>
      <c r="AD164" s="249"/>
      <c r="AE164" s="249"/>
      <c r="AF164" s="249"/>
      <c r="AG164" s="249"/>
      <c r="AH164" s="249"/>
      <c r="AI164" s="249"/>
      <c r="AJ164" s="249"/>
      <c r="AK164" s="249"/>
      <c r="AL164" s="249"/>
      <c r="AM164" s="249"/>
      <c r="AN164" s="249"/>
      <c r="AO164" s="249"/>
      <c r="AP164" s="249"/>
      <c r="AQ164" s="66"/>
      <c r="AR164" s="66"/>
    </row>
    <row r="165" spans="1:44" x14ac:dyDescent="0.25">
      <c r="A165" s="264"/>
      <c r="B165" s="264"/>
      <c r="C165" s="264"/>
      <c r="D165" s="264"/>
      <c r="E165" s="264"/>
      <c r="F165" s="264"/>
      <c r="G165" s="264"/>
      <c r="H165" s="264"/>
      <c r="I165" s="249"/>
      <c r="J165" s="249"/>
      <c r="K165" s="249"/>
      <c r="L165" s="249"/>
      <c r="M165" s="249"/>
      <c r="N165" s="264"/>
      <c r="O165" s="249"/>
      <c r="P165" s="249"/>
      <c r="Q165" s="249"/>
      <c r="R165" s="249"/>
      <c r="S165" s="249"/>
      <c r="T165" s="267"/>
      <c r="U165" s="267"/>
      <c r="V165" s="267"/>
      <c r="W165" s="249"/>
      <c r="X165" s="249"/>
      <c r="Y165" s="249"/>
      <c r="Z165" s="249"/>
      <c r="AA165" s="264"/>
      <c r="AB165" s="249"/>
      <c r="AC165" s="249"/>
      <c r="AD165" s="249"/>
      <c r="AE165" s="249"/>
      <c r="AF165" s="249"/>
      <c r="AG165" s="249"/>
      <c r="AH165" s="249"/>
      <c r="AI165" s="249"/>
      <c r="AJ165" s="249"/>
      <c r="AK165" s="249"/>
      <c r="AL165" s="249"/>
      <c r="AM165" s="249"/>
      <c r="AN165" s="249"/>
      <c r="AO165" s="249"/>
      <c r="AP165" s="249"/>
      <c r="AQ165" s="66"/>
      <c r="AR165" s="66"/>
    </row>
    <row r="166" spans="1:44" x14ac:dyDescent="0.25">
      <c r="A166" s="264"/>
      <c r="B166" s="264"/>
      <c r="C166" s="264"/>
      <c r="D166" s="264"/>
      <c r="E166" s="264"/>
      <c r="F166" s="264"/>
      <c r="G166" s="264"/>
      <c r="H166" s="264"/>
      <c r="I166" s="249"/>
      <c r="J166" s="249"/>
      <c r="K166" s="249"/>
      <c r="L166" s="249"/>
      <c r="M166" s="249"/>
      <c r="N166" s="264"/>
      <c r="O166" s="249"/>
      <c r="P166" s="249"/>
      <c r="Q166" s="249"/>
      <c r="R166" s="249"/>
      <c r="S166" s="249"/>
      <c r="T166" s="267"/>
      <c r="U166" s="267"/>
      <c r="V166" s="267"/>
      <c r="W166" s="249"/>
      <c r="X166" s="249"/>
      <c r="Y166" s="249"/>
      <c r="Z166" s="249"/>
      <c r="AA166" s="264"/>
      <c r="AB166" s="249"/>
      <c r="AC166" s="249"/>
      <c r="AD166" s="249"/>
      <c r="AE166" s="249"/>
      <c r="AF166" s="249"/>
      <c r="AG166" s="249"/>
      <c r="AH166" s="249"/>
      <c r="AI166" s="249"/>
      <c r="AJ166" s="249"/>
      <c r="AK166" s="249"/>
      <c r="AL166" s="249"/>
      <c r="AM166" s="249"/>
      <c r="AN166" s="249"/>
      <c r="AO166" s="249"/>
      <c r="AP166" s="249"/>
      <c r="AQ166" s="66"/>
      <c r="AR166" s="66"/>
    </row>
    <row r="167" spans="1:44" x14ac:dyDescent="0.25">
      <c r="A167" s="264"/>
      <c r="B167" s="264"/>
      <c r="C167" s="264"/>
      <c r="D167" s="264"/>
      <c r="E167" s="264"/>
      <c r="F167" s="264"/>
      <c r="G167" s="264"/>
      <c r="H167" s="264"/>
      <c r="I167" s="249"/>
      <c r="J167" s="249"/>
      <c r="K167" s="249"/>
      <c r="L167" s="249"/>
      <c r="M167" s="249"/>
      <c r="N167" s="264"/>
      <c r="O167" s="249"/>
      <c r="P167" s="249"/>
      <c r="Q167" s="249"/>
      <c r="R167" s="249"/>
      <c r="S167" s="249"/>
      <c r="T167" s="267"/>
      <c r="U167" s="267"/>
      <c r="V167" s="267"/>
      <c r="W167" s="249"/>
      <c r="X167" s="249"/>
      <c r="Y167" s="249"/>
      <c r="Z167" s="249"/>
      <c r="AA167" s="264"/>
      <c r="AB167" s="249"/>
      <c r="AC167" s="249"/>
      <c r="AD167" s="249"/>
      <c r="AE167" s="249"/>
      <c r="AF167" s="249"/>
      <c r="AG167" s="249"/>
      <c r="AH167" s="249"/>
      <c r="AI167" s="249"/>
      <c r="AJ167" s="249"/>
      <c r="AK167" s="249"/>
      <c r="AL167" s="249"/>
      <c r="AM167" s="249"/>
      <c r="AN167" s="249"/>
      <c r="AO167" s="249"/>
      <c r="AP167" s="249"/>
      <c r="AQ167" s="66"/>
      <c r="AR167" s="66"/>
    </row>
    <row r="168" spans="1:44" x14ac:dyDescent="0.25">
      <c r="A168" s="264"/>
      <c r="B168" s="264"/>
      <c r="C168" s="264"/>
      <c r="D168" s="264"/>
      <c r="E168" s="264"/>
      <c r="F168" s="264"/>
      <c r="G168" s="264"/>
      <c r="H168" s="264"/>
      <c r="I168" s="249"/>
      <c r="J168" s="249"/>
      <c r="K168" s="249"/>
      <c r="L168" s="249"/>
      <c r="M168" s="249"/>
      <c r="N168" s="264"/>
      <c r="O168" s="249"/>
      <c r="P168" s="249"/>
      <c r="Q168" s="249"/>
      <c r="R168" s="249"/>
      <c r="S168" s="249"/>
      <c r="T168" s="267"/>
      <c r="U168" s="267"/>
      <c r="V168" s="267"/>
      <c r="W168" s="249"/>
      <c r="X168" s="249"/>
      <c r="Y168" s="249"/>
      <c r="Z168" s="249"/>
      <c r="AA168" s="264"/>
      <c r="AB168" s="249"/>
      <c r="AC168" s="249"/>
      <c r="AD168" s="249"/>
      <c r="AE168" s="249"/>
      <c r="AF168" s="249"/>
      <c r="AG168" s="249"/>
      <c r="AH168" s="249"/>
      <c r="AI168" s="249"/>
      <c r="AJ168" s="249"/>
      <c r="AK168" s="249"/>
      <c r="AL168" s="249"/>
      <c r="AM168" s="249"/>
      <c r="AN168" s="249"/>
      <c r="AO168" s="249"/>
      <c r="AP168" s="249"/>
      <c r="AQ168" s="66"/>
      <c r="AR168" s="66"/>
    </row>
    <row r="169" spans="1:44" x14ac:dyDescent="0.25">
      <c r="A169" s="264"/>
      <c r="B169" s="264"/>
      <c r="C169" s="264"/>
      <c r="D169" s="264"/>
      <c r="E169" s="264"/>
      <c r="F169" s="264"/>
      <c r="G169" s="264"/>
      <c r="H169" s="264"/>
      <c r="I169" s="249"/>
      <c r="J169" s="249"/>
      <c r="K169" s="249"/>
      <c r="L169" s="249"/>
      <c r="M169" s="249"/>
      <c r="N169" s="264"/>
      <c r="O169" s="249"/>
      <c r="P169" s="249"/>
      <c r="Q169" s="249"/>
      <c r="R169" s="249"/>
      <c r="S169" s="249"/>
      <c r="T169" s="267"/>
      <c r="U169" s="267"/>
      <c r="V169" s="267"/>
      <c r="W169" s="249"/>
      <c r="X169" s="249"/>
      <c r="Y169" s="249"/>
      <c r="Z169" s="249"/>
      <c r="AA169" s="264"/>
      <c r="AB169" s="249"/>
      <c r="AC169" s="249"/>
      <c r="AD169" s="249"/>
      <c r="AE169" s="249"/>
      <c r="AF169" s="249"/>
      <c r="AG169" s="249"/>
      <c r="AH169" s="249"/>
      <c r="AI169" s="249"/>
      <c r="AJ169" s="249"/>
      <c r="AK169" s="249"/>
      <c r="AL169" s="249"/>
      <c r="AM169" s="249"/>
      <c r="AN169" s="249"/>
      <c r="AO169" s="249"/>
      <c r="AP169" s="249"/>
      <c r="AQ169" s="66"/>
      <c r="AR169" s="66"/>
    </row>
    <row r="170" spans="1:44" x14ac:dyDescent="0.25">
      <c r="A170" s="264"/>
      <c r="B170" s="264"/>
      <c r="C170" s="264"/>
      <c r="D170" s="264"/>
      <c r="E170" s="264"/>
      <c r="F170" s="264"/>
      <c r="G170" s="264"/>
      <c r="H170" s="264"/>
      <c r="I170" s="249"/>
      <c r="J170" s="249"/>
      <c r="K170" s="249"/>
      <c r="L170" s="249"/>
      <c r="M170" s="249"/>
      <c r="N170" s="264"/>
      <c r="O170" s="249"/>
      <c r="P170" s="249"/>
      <c r="Q170" s="249"/>
      <c r="R170" s="249"/>
      <c r="S170" s="249"/>
      <c r="T170" s="267"/>
      <c r="U170" s="267"/>
      <c r="V170" s="267"/>
      <c r="W170" s="249"/>
      <c r="X170" s="249"/>
      <c r="Y170" s="249"/>
      <c r="Z170" s="249"/>
      <c r="AA170" s="264"/>
      <c r="AB170" s="249"/>
      <c r="AC170" s="249"/>
      <c r="AD170" s="249"/>
      <c r="AE170" s="249"/>
      <c r="AF170" s="249"/>
      <c r="AG170" s="249"/>
      <c r="AH170" s="249"/>
      <c r="AI170" s="249"/>
      <c r="AJ170" s="249"/>
      <c r="AK170" s="249"/>
      <c r="AL170" s="249"/>
      <c r="AM170" s="249"/>
      <c r="AN170" s="249"/>
      <c r="AO170" s="249"/>
      <c r="AP170" s="249"/>
      <c r="AQ170" s="66"/>
      <c r="AR170" s="66"/>
    </row>
    <row r="171" spans="1:44" x14ac:dyDescent="0.25">
      <c r="A171" s="264"/>
      <c r="B171" s="264"/>
      <c r="C171" s="264"/>
      <c r="D171" s="264"/>
      <c r="E171" s="264"/>
      <c r="F171" s="264"/>
      <c r="G171" s="264"/>
      <c r="H171" s="264"/>
      <c r="I171" s="249"/>
      <c r="J171" s="249"/>
      <c r="K171" s="249"/>
      <c r="L171" s="249"/>
      <c r="M171" s="249"/>
      <c r="N171" s="264"/>
      <c r="O171" s="249"/>
      <c r="P171" s="249"/>
      <c r="Q171" s="249"/>
      <c r="R171" s="249"/>
      <c r="S171" s="249"/>
      <c r="T171" s="267"/>
      <c r="U171" s="267"/>
      <c r="V171" s="267"/>
      <c r="W171" s="249"/>
      <c r="X171" s="249"/>
      <c r="Y171" s="249"/>
      <c r="Z171" s="249"/>
      <c r="AA171" s="264"/>
      <c r="AB171" s="249"/>
      <c r="AC171" s="249"/>
      <c r="AD171" s="249"/>
      <c r="AE171" s="249"/>
      <c r="AF171" s="249"/>
      <c r="AG171" s="249"/>
      <c r="AH171" s="249"/>
      <c r="AI171" s="249"/>
      <c r="AJ171" s="249"/>
      <c r="AK171" s="249"/>
      <c r="AL171" s="249"/>
      <c r="AM171" s="249"/>
      <c r="AN171" s="249"/>
      <c r="AO171" s="249"/>
      <c r="AP171" s="249"/>
      <c r="AQ171" s="66"/>
      <c r="AR171" s="66"/>
    </row>
    <row r="172" spans="1:44" x14ac:dyDescent="0.25">
      <c r="A172" s="264"/>
      <c r="B172" s="264"/>
      <c r="C172" s="264"/>
      <c r="D172" s="264"/>
      <c r="E172" s="264"/>
      <c r="F172" s="264"/>
      <c r="G172" s="264"/>
      <c r="H172" s="264"/>
      <c r="I172" s="249"/>
      <c r="J172" s="249"/>
      <c r="K172" s="249"/>
      <c r="L172" s="249"/>
      <c r="M172" s="249"/>
      <c r="N172" s="264"/>
      <c r="O172" s="249"/>
      <c r="P172" s="249"/>
      <c r="Q172" s="249"/>
      <c r="R172" s="249"/>
      <c r="S172" s="249"/>
      <c r="T172" s="267"/>
      <c r="U172" s="267"/>
      <c r="V172" s="267"/>
      <c r="W172" s="249"/>
      <c r="X172" s="249"/>
      <c r="Y172" s="249"/>
      <c r="Z172" s="249"/>
      <c r="AA172" s="264"/>
      <c r="AB172" s="249"/>
      <c r="AC172" s="249"/>
      <c r="AD172" s="249"/>
      <c r="AE172" s="249"/>
      <c r="AF172" s="249"/>
      <c r="AG172" s="249"/>
      <c r="AH172" s="249"/>
      <c r="AI172" s="249"/>
      <c r="AJ172" s="249"/>
      <c r="AK172" s="249"/>
      <c r="AL172" s="249"/>
      <c r="AM172" s="249"/>
      <c r="AN172" s="249"/>
      <c r="AO172" s="249"/>
      <c r="AP172" s="249"/>
      <c r="AQ172" s="66"/>
      <c r="AR172" s="66"/>
    </row>
    <row r="173" spans="1:44" x14ac:dyDescent="0.25">
      <c r="A173" s="264"/>
      <c r="B173" s="264"/>
      <c r="C173" s="264"/>
      <c r="D173" s="264"/>
      <c r="E173" s="264"/>
      <c r="F173" s="264"/>
      <c r="G173" s="264"/>
      <c r="H173" s="264"/>
      <c r="I173" s="249"/>
      <c r="J173" s="249"/>
      <c r="K173" s="249"/>
      <c r="L173" s="249"/>
      <c r="M173" s="249"/>
      <c r="N173" s="264"/>
      <c r="O173" s="249"/>
      <c r="P173" s="249"/>
      <c r="Q173" s="249"/>
      <c r="R173" s="249"/>
      <c r="S173" s="249"/>
      <c r="T173" s="267"/>
      <c r="U173" s="267"/>
      <c r="V173" s="267"/>
      <c r="W173" s="249"/>
      <c r="X173" s="249"/>
      <c r="Y173" s="249"/>
      <c r="Z173" s="249"/>
      <c r="AA173" s="264"/>
      <c r="AB173" s="249"/>
      <c r="AC173" s="249"/>
      <c r="AD173" s="249"/>
      <c r="AE173" s="249"/>
      <c r="AF173" s="249"/>
      <c r="AG173" s="249"/>
      <c r="AH173" s="249"/>
      <c r="AI173" s="249"/>
      <c r="AJ173" s="249"/>
      <c r="AK173" s="249"/>
      <c r="AL173" s="249"/>
      <c r="AM173" s="249"/>
      <c r="AN173" s="249"/>
      <c r="AO173" s="249"/>
      <c r="AP173" s="249"/>
      <c r="AQ173" s="66"/>
      <c r="AR173" s="66"/>
    </row>
    <row r="174" spans="1:44" x14ac:dyDescent="0.25">
      <c r="A174" s="264"/>
      <c r="B174" s="264"/>
      <c r="C174" s="264"/>
      <c r="D174" s="264"/>
      <c r="E174" s="264"/>
      <c r="F174" s="264"/>
      <c r="G174" s="264"/>
      <c r="H174" s="264"/>
      <c r="I174" s="249"/>
      <c r="J174" s="249"/>
      <c r="K174" s="249"/>
      <c r="L174" s="249"/>
      <c r="M174" s="249"/>
      <c r="N174" s="264"/>
      <c r="O174" s="249"/>
      <c r="P174" s="249"/>
      <c r="Q174" s="249"/>
      <c r="R174" s="249"/>
      <c r="S174" s="249"/>
      <c r="T174" s="267"/>
      <c r="U174" s="267"/>
      <c r="V174" s="267"/>
      <c r="W174" s="249"/>
      <c r="X174" s="249"/>
      <c r="Y174" s="249"/>
      <c r="Z174" s="249"/>
      <c r="AA174" s="264"/>
      <c r="AB174" s="249"/>
      <c r="AC174" s="249"/>
      <c r="AD174" s="249"/>
      <c r="AE174" s="249"/>
      <c r="AF174" s="249"/>
      <c r="AG174" s="249"/>
      <c r="AH174" s="249"/>
      <c r="AI174" s="249"/>
      <c r="AJ174" s="249"/>
      <c r="AK174" s="249"/>
      <c r="AL174" s="249"/>
      <c r="AM174" s="249"/>
      <c r="AN174" s="249"/>
      <c r="AO174" s="249"/>
      <c r="AP174" s="249"/>
      <c r="AQ174" s="66"/>
      <c r="AR174" s="66"/>
    </row>
    <row r="175" spans="1:44" x14ac:dyDescent="0.25">
      <c r="A175" s="264"/>
      <c r="B175" s="264"/>
      <c r="C175" s="264"/>
      <c r="D175" s="264"/>
      <c r="E175" s="264"/>
      <c r="F175" s="264"/>
      <c r="G175" s="264"/>
      <c r="H175" s="264"/>
      <c r="I175" s="249"/>
      <c r="J175" s="249"/>
      <c r="K175" s="249"/>
      <c r="L175" s="249"/>
      <c r="M175" s="249"/>
      <c r="N175" s="264"/>
      <c r="O175" s="249"/>
      <c r="P175" s="249"/>
      <c r="Q175" s="249"/>
      <c r="R175" s="249"/>
      <c r="S175" s="249"/>
      <c r="T175" s="267"/>
      <c r="U175" s="267"/>
      <c r="V175" s="267"/>
      <c r="W175" s="249"/>
      <c r="X175" s="249"/>
      <c r="Y175" s="249"/>
      <c r="Z175" s="249"/>
      <c r="AA175" s="264"/>
      <c r="AB175" s="249"/>
      <c r="AC175" s="249"/>
      <c r="AD175" s="249"/>
      <c r="AE175" s="249"/>
      <c r="AF175" s="249"/>
      <c r="AG175" s="249"/>
      <c r="AH175" s="249"/>
      <c r="AI175" s="249"/>
      <c r="AJ175" s="249"/>
      <c r="AK175" s="249"/>
      <c r="AL175" s="249"/>
      <c r="AM175" s="249"/>
      <c r="AN175" s="249"/>
      <c r="AO175" s="249"/>
      <c r="AP175" s="249"/>
      <c r="AQ175" s="66"/>
      <c r="AR175" s="66"/>
    </row>
    <row r="176" spans="1:44" x14ac:dyDescent="0.25">
      <c r="A176" s="264"/>
      <c r="B176" s="264"/>
      <c r="C176" s="264"/>
      <c r="D176" s="264"/>
      <c r="E176" s="264"/>
      <c r="F176" s="264"/>
      <c r="G176" s="264"/>
      <c r="H176" s="264"/>
      <c r="I176" s="249"/>
      <c r="J176" s="249"/>
      <c r="K176" s="249"/>
      <c r="L176" s="249"/>
      <c r="M176" s="249"/>
      <c r="N176" s="264"/>
      <c r="O176" s="249"/>
      <c r="P176" s="249"/>
      <c r="Q176" s="249"/>
      <c r="R176" s="249"/>
      <c r="S176" s="249"/>
      <c r="T176" s="267"/>
      <c r="U176" s="267"/>
      <c r="V176" s="267"/>
      <c r="W176" s="249"/>
      <c r="X176" s="249"/>
      <c r="Y176" s="249"/>
      <c r="Z176" s="249"/>
      <c r="AA176" s="264"/>
      <c r="AB176" s="249"/>
      <c r="AC176" s="249"/>
      <c r="AD176" s="249"/>
      <c r="AE176" s="249"/>
      <c r="AF176" s="249"/>
      <c r="AG176" s="249"/>
      <c r="AH176" s="249"/>
      <c r="AI176" s="249"/>
      <c r="AJ176" s="249"/>
      <c r="AK176" s="249"/>
      <c r="AL176" s="249"/>
      <c r="AM176" s="249"/>
      <c r="AN176" s="249"/>
      <c r="AO176" s="249"/>
      <c r="AP176" s="249"/>
      <c r="AQ176" s="66"/>
      <c r="AR176" s="66"/>
    </row>
    <row r="177" spans="1:44" x14ac:dyDescent="0.25">
      <c r="A177" s="264"/>
      <c r="B177" s="264"/>
      <c r="C177" s="264"/>
      <c r="D177" s="264"/>
      <c r="E177" s="264"/>
      <c r="F177" s="264"/>
      <c r="G177" s="264"/>
      <c r="H177" s="264"/>
      <c r="I177" s="249"/>
      <c r="J177" s="249"/>
      <c r="K177" s="249"/>
      <c r="L177" s="249"/>
      <c r="M177" s="249"/>
      <c r="N177" s="264"/>
      <c r="O177" s="249"/>
      <c r="P177" s="249"/>
      <c r="Q177" s="249"/>
      <c r="R177" s="249"/>
      <c r="S177" s="249"/>
      <c r="T177" s="267"/>
      <c r="U177" s="267"/>
      <c r="V177" s="267"/>
      <c r="W177" s="249"/>
      <c r="X177" s="249"/>
      <c r="Y177" s="249"/>
      <c r="Z177" s="249"/>
      <c r="AA177" s="264"/>
      <c r="AB177" s="249"/>
      <c r="AC177" s="249"/>
      <c r="AD177" s="249"/>
      <c r="AE177" s="249"/>
      <c r="AF177" s="249"/>
      <c r="AG177" s="249"/>
      <c r="AH177" s="249"/>
      <c r="AI177" s="249"/>
      <c r="AJ177" s="249"/>
      <c r="AK177" s="249"/>
      <c r="AL177" s="249"/>
      <c r="AM177" s="249"/>
      <c r="AN177" s="249"/>
      <c r="AO177" s="249"/>
      <c r="AP177" s="249"/>
      <c r="AQ177" s="66"/>
      <c r="AR177" s="66"/>
    </row>
    <row r="178" spans="1:44" x14ac:dyDescent="0.25">
      <c r="A178" s="264"/>
      <c r="B178" s="264"/>
      <c r="C178" s="264"/>
      <c r="D178" s="264"/>
      <c r="E178" s="264"/>
      <c r="F178" s="264"/>
      <c r="G178" s="264"/>
      <c r="H178" s="264"/>
      <c r="I178" s="249"/>
      <c r="J178" s="249"/>
      <c r="K178" s="249"/>
      <c r="L178" s="249"/>
      <c r="M178" s="249"/>
      <c r="N178" s="264"/>
      <c r="O178" s="249"/>
      <c r="P178" s="249"/>
      <c r="Q178" s="249"/>
      <c r="R178" s="249"/>
      <c r="S178" s="249"/>
      <c r="T178" s="267"/>
      <c r="U178" s="267"/>
      <c r="V178" s="267"/>
      <c r="W178" s="249"/>
      <c r="X178" s="249"/>
      <c r="Y178" s="249"/>
      <c r="Z178" s="249"/>
      <c r="AA178" s="264"/>
      <c r="AB178" s="249"/>
      <c r="AC178" s="249"/>
      <c r="AD178" s="249"/>
      <c r="AE178" s="249"/>
      <c r="AF178" s="249"/>
      <c r="AG178" s="249"/>
      <c r="AH178" s="249"/>
      <c r="AI178" s="249"/>
      <c r="AJ178" s="249"/>
      <c r="AK178" s="249"/>
      <c r="AL178" s="249"/>
      <c r="AM178" s="249"/>
      <c r="AN178" s="249"/>
      <c r="AO178" s="249"/>
      <c r="AP178" s="249"/>
      <c r="AQ178" s="66"/>
      <c r="AR178" s="66"/>
    </row>
    <row r="179" spans="1:44" x14ac:dyDescent="0.25">
      <c r="A179" s="264"/>
      <c r="B179" s="264"/>
      <c r="C179" s="264"/>
      <c r="D179" s="264"/>
      <c r="E179" s="264"/>
      <c r="F179" s="264"/>
      <c r="G179" s="264"/>
      <c r="H179" s="264"/>
      <c r="I179" s="249"/>
      <c r="J179" s="249"/>
      <c r="K179" s="249"/>
      <c r="L179" s="249"/>
      <c r="M179" s="249"/>
      <c r="N179" s="264"/>
      <c r="O179" s="249"/>
      <c r="P179" s="249"/>
      <c r="Q179" s="249"/>
      <c r="R179" s="249"/>
      <c r="S179" s="249"/>
      <c r="T179" s="267"/>
      <c r="U179" s="267"/>
      <c r="V179" s="267"/>
      <c r="W179" s="249"/>
      <c r="X179" s="249"/>
      <c r="Y179" s="249"/>
      <c r="Z179" s="249"/>
      <c r="AA179" s="264"/>
      <c r="AB179" s="249"/>
      <c r="AC179" s="249"/>
      <c r="AD179" s="249"/>
      <c r="AE179" s="249"/>
      <c r="AF179" s="249"/>
      <c r="AG179" s="249"/>
      <c r="AH179" s="249"/>
      <c r="AI179" s="249"/>
      <c r="AJ179" s="249"/>
      <c r="AK179" s="249"/>
      <c r="AL179" s="249"/>
      <c r="AM179" s="249"/>
      <c r="AN179" s="249"/>
      <c r="AO179" s="249"/>
      <c r="AP179" s="249"/>
      <c r="AQ179" s="66"/>
      <c r="AR179" s="66"/>
    </row>
    <row r="180" spans="1:44" x14ac:dyDescent="0.25">
      <c r="A180" s="264"/>
      <c r="B180" s="264"/>
      <c r="C180" s="264"/>
      <c r="D180" s="264"/>
      <c r="E180" s="264"/>
      <c r="F180" s="264"/>
      <c r="G180" s="264"/>
      <c r="H180" s="264"/>
      <c r="I180" s="249"/>
      <c r="J180" s="249"/>
      <c r="K180" s="249"/>
      <c r="L180" s="249"/>
      <c r="M180" s="249"/>
      <c r="N180" s="264"/>
      <c r="O180" s="249"/>
      <c r="P180" s="249"/>
      <c r="Q180" s="249"/>
      <c r="R180" s="249"/>
      <c r="S180" s="249"/>
      <c r="T180" s="267"/>
      <c r="U180" s="267"/>
      <c r="V180" s="267"/>
      <c r="W180" s="249"/>
      <c r="X180" s="249"/>
      <c r="Y180" s="249"/>
      <c r="Z180" s="249"/>
      <c r="AA180" s="264"/>
      <c r="AB180" s="249"/>
      <c r="AC180" s="249"/>
      <c r="AD180" s="249"/>
      <c r="AE180" s="249"/>
      <c r="AF180" s="249"/>
      <c r="AG180" s="249"/>
      <c r="AH180" s="249"/>
      <c r="AI180" s="249"/>
      <c r="AJ180" s="249"/>
      <c r="AK180" s="249"/>
      <c r="AL180" s="249"/>
      <c r="AM180" s="249"/>
      <c r="AN180" s="249"/>
      <c r="AO180" s="249"/>
      <c r="AP180" s="249"/>
      <c r="AQ180" s="66"/>
      <c r="AR180" s="66"/>
    </row>
    <row r="181" spans="1:44" x14ac:dyDescent="0.25">
      <c r="A181" s="264"/>
      <c r="B181" s="264"/>
      <c r="C181" s="264"/>
      <c r="D181" s="264"/>
      <c r="E181" s="264"/>
      <c r="F181" s="264"/>
      <c r="G181" s="264"/>
      <c r="H181" s="264"/>
      <c r="I181" s="249"/>
      <c r="J181" s="249"/>
      <c r="K181" s="249"/>
      <c r="L181" s="249"/>
      <c r="M181" s="249"/>
      <c r="N181" s="264"/>
      <c r="O181" s="249"/>
      <c r="P181" s="249"/>
      <c r="Q181" s="249"/>
      <c r="R181" s="249"/>
      <c r="S181" s="249"/>
      <c r="T181" s="267"/>
      <c r="U181" s="267"/>
      <c r="V181" s="267"/>
      <c r="W181" s="249"/>
      <c r="X181" s="249"/>
      <c r="Y181" s="249"/>
      <c r="Z181" s="249"/>
      <c r="AA181" s="264"/>
      <c r="AB181" s="249"/>
      <c r="AC181" s="249"/>
      <c r="AD181" s="249"/>
      <c r="AE181" s="249"/>
      <c r="AF181" s="249"/>
      <c r="AG181" s="249"/>
      <c r="AH181" s="249"/>
      <c r="AI181" s="249"/>
      <c r="AJ181" s="249"/>
      <c r="AK181" s="249"/>
      <c r="AL181" s="249"/>
      <c r="AM181" s="249"/>
      <c r="AN181" s="249"/>
      <c r="AO181" s="249"/>
      <c r="AP181" s="249"/>
      <c r="AQ181" s="66"/>
      <c r="AR181" s="66"/>
    </row>
    <row r="182" spans="1:44" x14ac:dyDescent="0.25">
      <c r="A182" s="264"/>
      <c r="B182" s="264"/>
      <c r="C182" s="264"/>
      <c r="D182" s="264"/>
      <c r="E182" s="264"/>
      <c r="F182" s="264"/>
      <c r="G182" s="264"/>
      <c r="H182" s="264"/>
      <c r="I182" s="249"/>
      <c r="J182" s="249"/>
      <c r="K182" s="249"/>
      <c r="L182" s="249"/>
      <c r="M182" s="249"/>
      <c r="N182" s="264"/>
      <c r="O182" s="249"/>
      <c r="P182" s="249"/>
      <c r="Q182" s="249"/>
      <c r="R182" s="249"/>
      <c r="S182" s="249"/>
      <c r="T182" s="267"/>
      <c r="U182" s="267"/>
      <c r="V182" s="267"/>
      <c r="W182" s="249"/>
      <c r="X182" s="249"/>
      <c r="Y182" s="249"/>
      <c r="Z182" s="249"/>
      <c r="AA182" s="264"/>
      <c r="AB182" s="249"/>
      <c r="AC182" s="249"/>
      <c r="AD182" s="249"/>
      <c r="AE182" s="249"/>
      <c r="AF182" s="249"/>
      <c r="AG182" s="249"/>
      <c r="AH182" s="249"/>
      <c r="AI182" s="249"/>
      <c r="AJ182" s="249"/>
      <c r="AK182" s="249"/>
      <c r="AL182" s="249"/>
      <c r="AM182" s="249"/>
      <c r="AN182" s="249"/>
      <c r="AO182" s="249"/>
      <c r="AP182" s="249"/>
      <c r="AQ182" s="66"/>
      <c r="AR182" s="66"/>
    </row>
    <row r="183" spans="1:44" x14ac:dyDescent="0.25">
      <c r="A183" s="264"/>
      <c r="B183" s="264"/>
      <c r="C183" s="264"/>
      <c r="D183" s="264"/>
      <c r="E183" s="264"/>
      <c r="F183" s="264"/>
      <c r="G183" s="264"/>
      <c r="H183" s="264"/>
      <c r="I183" s="249"/>
      <c r="J183" s="249"/>
      <c r="K183" s="249"/>
      <c r="L183" s="249"/>
      <c r="M183" s="249"/>
      <c r="N183" s="264"/>
      <c r="O183" s="249"/>
      <c r="P183" s="249"/>
      <c r="Q183" s="249"/>
      <c r="R183" s="249"/>
      <c r="S183" s="249"/>
      <c r="T183" s="267"/>
      <c r="U183" s="267"/>
      <c r="V183" s="267"/>
      <c r="W183" s="249"/>
      <c r="X183" s="249"/>
      <c r="Y183" s="249"/>
      <c r="Z183" s="249"/>
      <c r="AA183" s="264"/>
      <c r="AB183" s="249"/>
      <c r="AC183" s="249"/>
      <c r="AD183" s="249"/>
      <c r="AE183" s="249"/>
      <c r="AF183" s="249"/>
      <c r="AG183" s="249"/>
      <c r="AH183" s="249"/>
      <c r="AI183" s="249"/>
      <c r="AJ183" s="249"/>
      <c r="AK183" s="249"/>
      <c r="AL183" s="249"/>
      <c r="AM183" s="249"/>
      <c r="AN183" s="249"/>
      <c r="AO183" s="249"/>
      <c r="AP183" s="249"/>
      <c r="AQ183" s="66"/>
      <c r="AR183" s="66"/>
    </row>
    <row r="184" spans="1:44" x14ac:dyDescent="0.25">
      <c r="A184" s="264"/>
      <c r="B184" s="264"/>
      <c r="C184" s="264"/>
      <c r="D184" s="264"/>
      <c r="E184" s="264"/>
      <c r="F184" s="264"/>
      <c r="G184" s="264"/>
      <c r="H184" s="264"/>
      <c r="I184" s="249"/>
      <c r="J184" s="249"/>
      <c r="K184" s="249"/>
      <c r="L184" s="249"/>
      <c r="M184" s="249"/>
      <c r="N184" s="264"/>
      <c r="O184" s="249"/>
      <c r="P184" s="249"/>
      <c r="Q184" s="249"/>
      <c r="R184" s="249"/>
      <c r="S184" s="249"/>
      <c r="T184" s="267"/>
      <c r="U184" s="267"/>
      <c r="V184" s="267"/>
      <c r="W184" s="249"/>
      <c r="X184" s="249"/>
      <c r="Y184" s="249"/>
      <c r="Z184" s="249"/>
      <c r="AA184" s="264"/>
      <c r="AB184" s="249"/>
      <c r="AC184" s="249"/>
      <c r="AD184" s="249"/>
      <c r="AE184" s="249"/>
      <c r="AF184" s="249"/>
      <c r="AG184" s="249"/>
      <c r="AH184" s="249"/>
      <c r="AI184" s="249"/>
      <c r="AJ184" s="249"/>
      <c r="AK184" s="249"/>
      <c r="AL184" s="249"/>
      <c r="AM184" s="249"/>
      <c r="AN184" s="249"/>
      <c r="AO184" s="249"/>
      <c r="AP184" s="249"/>
      <c r="AQ184" s="66"/>
      <c r="AR184" s="66"/>
    </row>
    <row r="185" spans="1:44" x14ac:dyDescent="0.25">
      <c r="A185" s="264"/>
      <c r="B185" s="264"/>
      <c r="C185" s="264"/>
      <c r="D185" s="264"/>
      <c r="E185" s="264"/>
      <c r="F185" s="264"/>
      <c r="G185" s="264"/>
      <c r="H185" s="264"/>
      <c r="I185" s="249"/>
      <c r="J185" s="249"/>
      <c r="K185" s="249"/>
      <c r="L185" s="249"/>
      <c r="M185" s="249"/>
      <c r="N185" s="264"/>
      <c r="O185" s="249"/>
      <c r="P185" s="249"/>
      <c r="Q185" s="249"/>
      <c r="R185" s="249"/>
      <c r="S185" s="249"/>
      <c r="T185" s="267"/>
      <c r="U185" s="267"/>
      <c r="V185" s="267"/>
      <c r="W185" s="249"/>
      <c r="X185" s="249"/>
      <c r="Y185" s="249"/>
      <c r="Z185" s="249"/>
      <c r="AA185" s="264"/>
      <c r="AB185" s="249"/>
      <c r="AC185" s="249"/>
      <c r="AD185" s="249"/>
      <c r="AE185" s="249"/>
      <c r="AF185" s="249"/>
      <c r="AG185" s="249"/>
      <c r="AH185" s="249"/>
      <c r="AI185" s="249"/>
      <c r="AJ185" s="249"/>
      <c r="AK185" s="249"/>
      <c r="AL185" s="249"/>
      <c r="AM185" s="249"/>
      <c r="AN185" s="249"/>
      <c r="AO185" s="249"/>
      <c r="AP185" s="249"/>
      <c r="AQ185" s="66"/>
      <c r="AR185" s="66"/>
    </row>
    <row r="186" spans="1:44" x14ac:dyDescent="0.25">
      <c r="A186" s="264"/>
      <c r="B186" s="264"/>
      <c r="C186" s="264"/>
      <c r="D186" s="264"/>
      <c r="E186" s="264"/>
      <c r="F186" s="264"/>
      <c r="G186" s="264"/>
      <c r="H186" s="264"/>
      <c r="I186" s="249"/>
      <c r="J186" s="249"/>
      <c r="K186" s="249"/>
      <c r="L186" s="249"/>
      <c r="M186" s="249"/>
      <c r="N186" s="264"/>
      <c r="O186" s="249"/>
      <c r="P186" s="249"/>
      <c r="Q186" s="249"/>
      <c r="R186" s="249"/>
      <c r="S186" s="249"/>
      <c r="T186" s="267"/>
      <c r="U186" s="267"/>
      <c r="V186" s="267"/>
      <c r="W186" s="249"/>
      <c r="X186" s="249"/>
      <c r="Y186" s="249"/>
      <c r="Z186" s="249"/>
      <c r="AA186" s="264"/>
      <c r="AB186" s="249"/>
      <c r="AC186" s="249"/>
      <c r="AD186" s="249"/>
      <c r="AE186" s="249"/>
      <c r="AF186" s="249"/>
      <c r="AG186" s="249"/>
      <c r="AH186" s="249"/>
      <c r="AI186" s="249"/>
      <c r="AJ186" s="249"/>
      <c r="AK186" s="249"/>
      <c r="AL186" s="249"/>
      <c r="AM186" s="249"/>
      <c r="AN186" s="249"/>
      <c r="AO186" s="249"/>
      <c r="AP186" s="249"/>
      <c r="AQ186" s="66"/>
      <c r="AR186" s="66"/>
    </row>
    <row r="187" spans="1:44" x14ac:dyDescent="0.25">
      <c r="A187" s="264"/>
      <c r="B187" s="264"/>
      <c r="C187" s="264"/>
      <c r="D187" s="264"/>
      <c r="E187" s="264"/>
      <c r="F187" s="264"/>
      <c r="G187" s="264"/>
      <c r="H187" s="264"/>
      <c r="I187" s="249"/>
      <c r="J187" s="249"/>
      <c r="K187" s="249"/>
      <c r="L187" s="249"/>
      <c r="M187" s="249"/>
      <c r="N187" s="264"/>
      <c r="O187" s="249"/>
      <c r="P187" s="249"/>
      <c r="Q187" s="249"/>
      <c r="R187" s="249"/>
      <c r="S187" s="249"/>
      <c r="T187" s="267"/>
      <c r="U187" s="267"/>
      <c r="V187" s="267"/>
      <c r="W187" s="249"/>
      <c r="X187" s="249"/>
      <c r="Y187" s="249"/>
      <c r="Z187" s="249"/>
      <c r="AA187" s="264"/>
      <c r="AB187" s="249"/>
      <c r="AC187" s="249"/>
      <c r="AD187" s="249"/>
      <c r="AE187" s="249"/>
      <c r="AF187" s="249"/>
      <c r="AG187" s="249"/>
      <c r="AH187" s="249"/>
      <c r="AI187" s="249"/>
      <c r="AJ187" s="249"/>
      <c r="AK187" s="249"/>
      <c r="AL187" s="249"/>
      <c r="AM187" s="249"/>
      <c r="AN187" s="249"/>
      <c r="AO187" s="249"/>
      <c r="AP187" s="249"/>
      <c r="AQ187" s="66"/>
      <c r="AR187" s="66"/>
    </row>
    <row r="188" spans="1:44" x14ac:dyDescent="0.25">
      <c r="A188" s="264"/>
      <c r="B188" s="264"/>
      <c r="C188" s="264"/>
      <c r="D188" s="264"/>
      <c r="E188" s="264"/>
      <c r="F188" s="264"/>
      <c r="G188" s="264"/>
      <c r="H188" s="264"/>
      <c r="I188" s="249"/>
      <c r="J188" s="249"/>
      <c r="K188" s="249"/>
      <c r="L188" s="249"/>
      <c r="M188" s="249"/>
      <c r="N188" s="264"/>
      <c r="O188" s="249"/>
      <c r="P188" s="249"/>
      <c r="Q188" s="249"/>
      <c r="R188" s="249"/>
      <c r="S188" s="249"/>
      <c r="T188" s="267"/>
      <c r="U188" s="267"/>
      <c r="V188" s="267"/>
      <c r="W188" s="249"/>
      <c r="X188" s="249"/>
      <c r="Y188" s="249"/>
      <c r="Z188" s="249"/>
      <c r="AA188" s="264"/>
      <c r="AB188" s="249"/>
      <c r="AC188" s="249"/>
      <c r="AD188" s="249"/>
      <c r="AE188" s="249"/>
      <c r="AF188" s="249"/>
      <c r="AG188" s="249"/>
      <c r="AH188" s="249"/>
      <c r="AI188" s="249"/>
      <c r="AJ188" s="249"/>
      <c r="AK188" s="249"/>
      <c r="AL188" s="249"/>
      <c r="AM188" s="249"/>
      <c r="AN188" s="249"/>
      <c r="AO188" s="249"/>
      <c r="AP188" s="249"/>
      <c r="AQ188" s="66"/>
      <c r="AR188" s="66"/>
    </row>
    <row r="189" spans="1:44" x14ac:dyDescent="0.25">
      <c r="A189" s="264"/>
      <c r="B189" s="264"/>
      <c r="C189" s="264"/>
      <c r="D189" s="264"/>
      <c r="E189" s="264"/>
      <c r="F189" s="264"/>
      <c r="G189" s="264"/>
      <c r="H189" s="264"/>
      <c r="I189" s="249"/>
      <c r="J189" s="249"/>
      <c r="K189" s="249"/>
      <c r="L189" s="249"/>
      <c r="M189" s="249"/>
      <c r="N189" s="264"/>
      <c r="O189" s="249"/>
      <c r="P189" s="249"/>
      <c r="Q189" s="249"/>
      <c r="R189" s="249"/>
      <c r="S189" s="249"/>
      <c r="T189" s="267"/>
      <c r="U189" s="267"/>
      <c r="V189" s="267"/>
      <c r="W189" s="249"/>
      <c r="X189" s="249"/>
      <c r="Y189" s="249"/>
      <c r="Z189" s="249"/>
      <c r="AA189" s="264"/>
      <c r="AB189" s="249"/>
      <c r="AC189" s="249"/>
      <c r="AD189" s="249"/>
      <c r="AE189" s="249"/>
      <c r="AF189" s="249"/>
      <c r="AG189" s="249"/>
      <c r="AH189" s="249"/>
      <c r="AI189" s="249"/>
      <c r="AJ189" s="249"/>
      <c r="AK189" s="249"/>
      <c r="AL189" s="249"/>
      <c r="AM189" s="249"/>
      <c r="AN189" s="249"/>
      <c r="AO189" s="249"/>
      <c r="AP189" s="249"/>
      <c r="AQ189" s="66"/>
      <c r="AR189" s="66"/>
    </row>
    <row r="190" spans="1:44" x14ac:dyDescent="0.25">
      <c r="A190" s="264"/>
      <c r="B190" s="264"/>
      <c r="C190" s="264"/>
      <c r="D190" s="264"/>
      <c r="E190" s="264"/>
      <c r="F190" s="264"/>
      <c r="G190" s="264"/>
      <c r="H190" s="264"/>
      <c r="I190" s="249"/>
      <c r="J190" s="249"/>
      <c r="K190" s="249"/>
      <c r="L190" s="249"/>
      <c r="M190" s="249"/>
      <c r="N190" s="264"/>
      <c r="O190" s="249"/>
      <c r="P190" s="249"/>
      <c r="Q190" s="249"/>
      <c r="R190" s="249"/>
      <c r="S190" s="249"/>
      <c r="T190" s="267"/>
      <c r="U190" s="267"/>
      <c r="V190" s="267"/>
      <c r="W190" s="249"/>
      <c r="X190" s="249"/>
      <c r="Y190" s="249"/>
      <c r="Z190" s="249"/>
      <c r="AA190" s="264"/>
      <c r="AB190" s="249"/>
      <c r="AC190" s="249"/>
      <c r="AD190" s="249"/>
      <c r="AE190" s="249"/>
      <c r="AF190" s="249"/>
      <c r="AG190" s="249"/>
      <c r="AH190" s="249"/>
      <c r="AI190" s="249"/>
      <c r="AJ190" s="249"/>
      <c r="AK190" s="249"/>
      <c r="AL190" s="249"/>
      <c r="AM190" s="249"/>
      <c r="AN190" s="249"/>
      <c r="AO190" s="249"/>
      <c r="AP190" s="249"/>
      <c r="AQ190" s="66"/>
      <c r="AR190" s="66"/>
    </row>
    <row r="191" spans="1:44" x14ac:dyDescent="0.25">
      <c r="A191" s="264"/>
      <c r="B191" s="264"/>
      <c r="C191" s="264"/>
      <c r="D191" s="264"/>
      <c r="E191" s="264"/>
      <c r="F191" s="264"/>
      <c r="G191" s="264"/>
      <c r="H191" s="264"/>
      <c r="I191" s="249"/>
      <c r="J191" s="249"/>
      <c r="K191" s="249"/>
      <c r="L191" s="249"/>
      <c r="M191" s="249"/>
      <c r="N191" s="264"/>
      <c r="O191" s="249"/>
      <c r="P191" s="249"/>
      <c r="Q191" s="249"/>
      <c r="R191" s="249"/>
      <c r="S191" s="249"/>
      <c r="T191" s="267"/>
      <c r="U191" s="267"/>
      <c r="V191" s="267"/>
      <c r="W191" s="249"/>
      <c r="X191" s="249"/>
      <c r="Y191" s="249"/>
      <c r="Z191" s="249"/>
      <c r="AA191" s="264"/>
      <c r="AB191" s="249"/>
      <c r="AC191" s="249"/>
      <c r="AD191" s="249"/>
      <c r="AE191" s="249"/>
      <c r="AF191" s="249"/>
      <c r="AG191" s="249"/>
      <c r="AH191" s="249"/>
      <c r="AI191" s="249"/>
      <c r="AJ191" s="249"/>
      <c r="AK191" s="249"/>
      <c r="AL191" s="249"/>
      <c r="AM191" s="249"/>
      <c r="AN191" s="249"/>
      <c r="AO191" s="249"/>
      <c r="AP191" s="249"/>
      <c r="AQ191" s="66"/>
      <c r="AR191" s="66"/>
    </row>
    <row r="192" spans="1:44" x14ac:dyDescent="0.25">
      <c r="A192" s="264"/>
      <c r="B192" s="264"/>
      <c r="C192" s="264"/>
      <c r="D192" s="264"/>
      <c r="E192" s="264"/>
      <c r="F192" s="264"/>
      <c r="G192" s="264"/>
      <c r="H192" s="264"/>
      <c r="I192" s="249"/>
      <c r="J192" s="249"/>
      <c r="K192" s="249"/>
      <c r="L192" s="249"/>
      <c r="M192" s="249"/>
      <c r="N192" s="264"/>
      <c r="O192" s="249"/>
      <c r="P192" s="249"/>
      <c r="Q192" s="249"/>
      <c r="R192" s="249"/>
      <c r="S192" s="249"/>
      <c r="T192" s="267"/>
      <c r="U192" s="267"/>
      <c r="V192" s="267"/>
      <c r="W192" s="249"/>
      <c r="X192" s="249"/>
      <c r="Y192" s="249"/>
      <c r="Z192" s="249"/>
      <c r="AA192" s="264"/>
      <c r="AB192" s="249"/>
      <c r="AC192" s="249"/>
      <c r="AD192" s="249"/>
      <c r="AE192" s="249"/>
      <c r="AF192" s="249"/>
      <c r="AG192" s="249"/>
      <c r="AH192" s="249"/>
      <c r="AI192" s="249"/>
      <c r="AJ192" s="249"/>
      <c r="AK192" s="249"/>
      <c r="AL192" s="249"/>
      <c r="AM192" s="249"/>
      <c r="AN192" s="249"/>
      <c r="AO192" s="249"/>
      <c r="AP192" s="249"/>
      <c r="AQ192" s="66"/>
      <c r="AR192" s="66"/>
    </row>
    <row r="193" spans="1:44" x14ac:dyDescent="0.25">
      <c r="A193" s="264"/>
      <c r="B193" s="264"/>
      <c r="C193" s="264"/>
      <c r="D193" s="264"/>
      <c r="E193" s="264"/>
      <c r="F193" s="264"/>
      <c r="G193" s="264"/>
      <c r="H193" s="264"/>
      <c r="I193" s="249"/>
      <c r="J193" s="249"/>
      <c r="K193" s="249"/>
      <c r="L193" s="249"/>
      <c r="M193" s="249"/>
      <c r="N193" s="264"/>
      <c r="O193" s="249"/>
      <c r="P193" s="249"/>
      <c r="Q193" s="249"/>
      <c r="R193" s="249"/>
      <c r="S193" s="249"/>
      <c r="T193" s="267"/>
      <c r="U193" s="267"/>
      <c r="V193" s="267"/>
      <c r="W193" s="249"/>
      <c r="X193" s="249"/>
      <c r="Y193" s="249"/>
      <c r="Z193" s="249"/>
      <c r="AA193" s="264"/>
      <c r="AB193" s="249"/>
      <c r="AC193" s="249"/>
      <c r="AD193" s="249"/>
      <c r="AE193" s="249"/>
      <c r="AF193" s="249"/>
      <c r="AG193" s="249"/>
      <c r="AH193" s="249"/>
      <c r="AI193" s="249"/>
      <c r="AJ193" s="249"/>
      <c r="AK193" s="249"/>
      <c r="AL193" s="249"/>
      <c r="AM193" s="249"/>
      <c r="AN193" s="249"/>
      <c r="AO193" s="249"/>
      <c r="AP193" s="249"/>
      <c r="AQ193" s="66"/>
      <c r="AR193" s="66"/>
    </row>
    <row r="194" spans="1:44" x14ac:dyDescent="0.25">
      <c r="A194" s="264"/>
      <c r="B194" s="264"/>
      <c r="C194" s="264"/>
      <c r="D194" s="264"/>
      <c r="E194" s="264"/>
      <c r="F194" s="264"/>
      <c r="G194" s="264"/>
      <c r="H194" s="264"/>
      <c r="I194" s="249"/>
      <c r="J194" s="249"/>
      <c r="K194" s="249"/>
      <c r="L194" s="249"/>
      <c r="M194" s="249"/>
      <c r="N194" s="264"/>
      <c r="O194" s="249"/>
      <c r="P194" s="249"/>
      <c r="Q194" s="249"/>
      <c r="R194" s="249"/>
      <c r="S194" s="249"/>
      <c r="T194" s="267"/>
      <c r="U194" s="267"/>
      <c r="V194" s="267"/>
      <c r="W194" s="249"/>
      <c r="X194" s="249"/>
      <c r="Y194" s="249"/>
      <c r="Z194" s="249"/>
      <c r="AA194" s="264"/>
      <c r="AB194" s="249"/>
      <c r="AC194" s="249"/>
      <c r="AD194" s="249"/>
      <c r="AE194" s="249"/>
      <c r="AF194" s="249"/>
      <c r="AG194" s="249"/>
      <c r="AH194" s="249"/>
      <c r="AI194" s="249"/>
      <c r="AJ194" s="249"/>
      <c r="AK194" s="249"/>
      <c r="AL194" s="249"/>
      <c r="AM194" s="249"/>
      <c r="AN194" s="249"/>
      <c r="AO194" s="249"/>
      <c r="AP194" s="249"/>
      <c r="AQ194" s="66"/>
      <c r="AR194" s="66"/>
    </row>
    <row r="195" spans="1:44" x14ac:dyDescent="0.25">
      <c r="A195" s="264"/>
      <c r="B195" s="264"/>
      <c r="C195" s="264"/>
      <c r="D195" s="264"/>
      <c r="E195" s="264"/>
      <c r="F195" s="264"/>
      <c r="G195" s="264"/>
      <c r="H195" s="264"/>
      <c r="I195" s="249"/>
      <c r="J195" s="249"/>
      <c r="K195" s="249"/>
      <c r="L195" s="249"/>
      <c r="M195" s="249"/>
      <c r="N195" s="264"/>
      <c r="O195" s="249"/>
      <c r="P195" s="249"/>
      <c r="Q195" s="249"/>
      <c r="R195" s="249"/>
      <c r="S195" s="249"/>
      <c r="T195" s="267"/>
      <c r="U195" s="267"/>
      <c r="V195" s="267"/>
      <c r="W195" s="249"/>
      <c r="X195" s="249"/>
      <c r="Y195" s="249"/>
      <c r="Z195" s="249"/>
      <c r="AA195" s="264"/>
      <c r="AB195" s="249"/>
      <c r="AC195" s="249"/>
      <c r="AD195" s="249"/>
      <c r="AE195" s="249"/>
      <c r="AF195" s="249"/>
      <c r="AG195" s="249"/>
      <c r="AH195" s="249"/>
      <c r="AI195" s="249"/>
      <c r="AJ195" s="249"/>
      <c r="AK195" s="249"/>
      <c r="AL195" s="249"/>
      <c r="AM195" s="249"/>
      <c r="AN195" s="249"/>
      <c r="AO195" s="249"/>
      <c r="AP195" s="249"/>
      <c r="AQ195" s="66"/>
      <c r="AR195" s="66"/>
    </row>
    <row r="196" spans="1:44" x14ac:dyDescent="0.25">
      <c r="A196" s="264"/>
      <c r="B196" s="264"/>
      <c r="C196" s="264"/>
      <c r="D196" s="264"/>
      <c r="E196" s="264"/>
      <c r="F196" s="264"/>
      <c r="G196" s="264"/>
      <c r="H196" s="264"/>
      <c r="I196" s="249"/>
      <c r="J196" s="249"/>
      <c r="K196" s="249"/>
      <c r="L196" s="249"/>
      <c r="M196" s="249"/>
      <c r="N196" s="264"/>
      <c r="O196" s="249"/>
      <c r="P196" s="249"/>
      <c r="Q196" s="249"/>
      <c r="R196" s="249"/>
      <c r="S196" s="249"/>
      <c r="T196" s="267"/>
      <c r="U196" s="267"/>
      <c r="V196" s="267"/>
      <c r="W196" s="249"/>
      <c r="X196" s="249"/>
      <c r="Y196" s="249"/>
      <c r="Z196" s="249"/>
      <c r="AA196" s="264"/>
      <c r="AB196" s="249"/>
      <c r="AC196" s="249"/>
      <c r="AD196" s="249"/>
      <c r="AE196" s="249"/>
      <c r="AF196" s="249"/>
      <c r="AG196" s="249"/>
      <c r="AH196" s="249"/>
      <c r="AI196" s="249"/>
      <c r="AJ196" s="249"/>
      <c r="AK196" s="249"/>
      <c r="AL196" s="249"/>
      <c r="AM196" s="249"/>
      <c r="AN196" s="249"/>
      <c r="AO196" s="249"/>
      <c r="AP196" s="249"/>
      <c r="AQ196" s="66"/>
      <c r="AR196" s="66"/>
    </row>
    <row r="197" spans="1:44" x14ac:dyDescent="0.25">
      <c r="A197" s="264"/>
      <c r="B197" s="264"/>
      <c r="C197" s="264"/>
      <c r="D197" s="264"/>
      <c r="E197" s="264"/>
      <c r="F197" s="264"/>
      <c r="G197" s="264"/>
      <c r="H197" s="264"/>
      <c r="I197" s="249"/>
      <c r="J197" s="249"/>
      <c r="K197" s="249"/>
      <c r="L197" s="249"/>
      <c r="M197" s="249"/>
      <c r="N197" s="264"/>
      <c r="O197" s="249"/>
      <c r="P197" s="249"/>
      <c r="Q197" s="249"/>
      <c r="R197" s="249"/>
      <c r="S197" s="249"/>
      <c r="T197" s="267"/>
      <c r="U197" s="267"/>
      <c r="V197" s="267"/>
      <c r="W197" s="249"/>
      <c r="X197" s="249"/>
      <c r="Y197" s="249"/>
      <c r="Z197" s="249"/>
      <c r="AA197" s="264"/>
      <c r="AB197" s="249"/>
      <c r="AC197" s="249"/>
      <c r="AD197" s="249"/>
      <c r="AE197" s="249"/>
      <c r="AF197" s="249"/>
      <c r="AG197" s="249"/>
      <c r="AH197" s="249"/>
      <c r="AI197" s="249"/>
      <c r="AJ197" s="249"/>
      <c r="AK197" s="249"/>
      <c r="AL197" s="249"/>
      <c r="AM197" s="249"/>
      <c r="AN197" s="249"/>
      <c r="AO197" s="249"/>
      <c r="AP197" s="249"/>
      <c r="AQ197" s="66"/>
      <c r="AR197" s="66"/>
    </row>
    <row r="198" spans="1:44" x14ac:dyDescent="0.25">
      <c r="A198" s="264"/>
      <c r="B198" s="264"/>
      <c r="C198" s="264"/>
      <c r="D198" s="264"/>
      <c r="E198" s="264"/>
      <c r="F198" s="264"/>
      <c r="G198" s="264"/>
      <c r="H198" s="264"/>
      <c r="I198" s="249"/>
      <c r="J198" s="249"/>
      <c r="K198" s="249"/>
      <c r="L198" s="249"/>
      <c r="M198" s="249"/>
      <c r="N198" s="264"/>
      <c r="O198" s="249"/>
      <c r="P198" s="249"/>
      <c r="Q198" s="249"/>
      <c r="R198" s="249"/>
      <c r="S198" s="249"/>
      <c r="T198" s="267"/>
      <c r="U198" s="267"/>
      <c r="V198" s="267"/>
      <c r="W198" s="249"/>
      <c r="X198" s="249"/>
      <c r="Y198" s="249"/>
      <c r="Z198" s="249"/>
      <c r="AA198" s="264"/>
      <c r="AB198" s="249"/>
      <c r="AC198" s="249"/>
      <c r="AD198" s="249"/>
      <c r="AE198" s="249"/>
      <c r="AF198" s="249"/>
      <c r="AG198" s="249"/>
      <c r="AH198" s="249"/>
      <c r="AI198" s="249"/>
      <c r="AJ198" s="249"/>
      <c r="AK198" s="249"/>
      <c r="AL198" s="249"/>
      <c r="AM198" s="249"/>
      <c r="AN198" s="249"/>
      <c r="AO198" s="249"/>
      <c r="AP198" s="249"/>
      <c r="AQ198" s="66"/>
      <c r="AR198" s="66"/>
    </row>
    <row r="199" spans="1:44" x14ac:dyDescent="0.25">
      <c r="A199" s="264"/>
      <c r="B199" s="264"/>
      <c r="C199" s="264"/>
      <c r="D199" s="264"/>
      <c r="E199" s="264"/>
      <c r="F199" s="264"/>
      <c r="G199" s="264"/>
      <c r="H199" s="264"/>
      <c r="I199" s="249"/>
      <c r="J199" s="249"/>
      <c r="K199" s="249"/>
      <c r="L199" s="249"/>
      <c r="M199" s="249"/>
      <c r="N199" s="264"/>
      <c r="O199" s="249"/>
      <c r="P199" s="249"/>
      <c r="Q199" s="249"/>
      <c r="R199" s="249"/>
      <c r="S199" s="249"/>
      <c r="T199" s="267"/>
      <c r="U199" s="267"/>
      <c r="V199" s="267"/>
      <c r="W199" s="249"/>
      <c r="X199" s="249"/>
      <c r="Y199" s="249"/>
      <c r="Z199" s="249"/>
      <c r="AA199" s="264"/>
      <c r="AB199" s="249"/>
      <c r="AC199" s="249"/>
      <c r="AD199" s="249"/>
      <c r="AE199" s="249"/>
      <c r="AF199" s="249"/>
      <c r="AG199" s="249"/>
      <c r="AH199" s="249"/>
      <c r="AI199" s="249"/>
      <c r="AJ199" s="249"/>
      <c r="AK199" s="249"/>
      <c r="AL199" s="249"/>
      <c r="AM199" s="249"/>
      <c r="AN199" s="249"/>
      <c r="AO199" s="249"/>
      <c r="AP199" s="249"/>
      <c r="AQ199" s="66"/>
      <c r="AR199" s="66"/>
    </row>
    <row r="200" spans="1:44" x14ac:dyDescent="0.25">
      <c r="A200" s="264"/>
      <c r="B200" s="264"/>
      <c r="C200" s="264"/>
      <c r="D200" s="264"/>
      <c r="E200" s="264"/>
      <c r="F200" s="264"/>
      <c r="G200" s="264"/>
      <c r="H200" s="264"/>
      <c r="I200" s="249"/>
      <c r="J200" s="249"/>
      <c r="K200" s="249"/>
      <c r="L200" s="249"/>
      <c r="M200" s="249"/>
      <c r="N200" s="264"/>
      <c r="O200" s="249"/>
      <c r="P200" s="249"/>
      <c r="Q200" s="249"/>
      <c r="R200" s="249"/>
      <c r="S200" s="249"/>
      <c r="T200" s="267"/>
      <c r="U200" s="267"/>
      <c r="V200" s="267"/>
      <c r="W200" s="249"/>
      <c r="X200" s="249"/>
      <c r="Y200" s="249"/>
      <c r="Z200" s="249"/>
      <c r="AA200" s="264"/>
      <c r="AB200" s="249"/>
      <c r="AC200" s="249"/>
      <c r="AD200" s="249"/>
      <c r="AE200" s="249"/>
      <c r="AF200" s="249"/>
      <c r="AG200" s="249"/>
      <c r="AH200" s="249"/>
      <c r="AI200" s="249"/>
      <c r="AJ200" s="249"/>
      <c r="AK200" s="249"/>
      <c r="AL200" s="249"/>
      <c r="AM200" s="249"/>
      <c r="AN200" s="249"/>
      <c r="AO200" s="249"/>
      <c r="AP200" s="249"/>
      <c r="AQ200" s="66"/>
      <c r="AR200" s="66"/>
    </row>
    <row r="201" spans="1:44" x14ac:dyDescent="0.25">
      <c r="A201" s="264"/>
      <c r="B201" s="264"/>
      <c r="C201" s="264"/>
      <c r="D201" s="264"/>
      <c r="E201" s="264"/>
      <c r="F201" s="264"/>
      <c r="G201" s="264"/>
      <c r="H201" s="264"/>
      <c r="I201" s="249"/>
      <c r="J201" s="249"/>
      <c r="K201" s="249"/>
      <c r="L201" s="249"/>
      <c r="M201" s="249"/>
      <c r="N201" s="264"/>
      <c r="O201" s="249"/>
      <c r="P201" s="249"/>
      <c r="Q201" s="249"/>
      <c r="R201" s="249"/>
      <c r="S201" s="249"/>
      <c r="T201" s="267"/>
      <c r="U201" s="267"/>
      <c r="V201" s="267"/>
      <c r="W201" s="249"/>
      <c r="X201" s="249"/>
      <c r="Y201" s="249"/>
      <c r="Z201" s="249"/>
      <c r="AA201" s="264"/>
      <c r="AB201" s="249"/>
      <c r="AC201" s="249"/>
      <c r="AD201" s="249"/>
      <c r="AE201" s="249"/>
      <c r="AF201" s="249"/>
      <c r="AG201" s="249"/>
      <c r="AH201" s="249"/>
      <c r="AI201" s="249"/>
      <c r="AJ201" s="249"/>
      <c r="AK201" s="249"/>
      <c r="AL201" s="249"/>
      <c r="AM201" s="249"/>
      <c r="AN201" s="249"/>
      <c r="AO201" s="249"/>
      <c r="AP201" s="249"/>
      <c r="AQ201" s="66"/>
      <c r="AR201" s="66"/>
    </row>
    <row r="202" spans="1:44" x14ac:dyDescent="0.25">
      <c r="A202" s="264"/>
      <c r="B202" s="264"/>
      <c r="C202" s="264"/>
      <c r="D202" s="264"/>
      <c r="E202" s="264"/>
      <c r="F202" s="264"/>
      <c r="G202" s="264"/>
      <c r="H202" s="264"/>
      <c r="I202" s="249"/>
      <c r="J202" s="249"/>
      <c r="K202" s="249"/>
      <c r="L202" s="249"/>
      <c r="M202" s="249"/>
      <c r="N202" s="264"/>
      <c r="O202" s="249"/>
      <c r="P202" s="249"/>
      <c r="Q202" s="249"/>
      <c r="R202" s="249"/>
      <c r="S202" s="249"/>
      <c r="T202" s="267"/>
      <c r="U202" s="267"/>
      <c r="V202" s="267"/>
      <c r="W202" s="249"/>
      <c r="X202" s="249"/>
      <c r="Y202" s="249"/>
      <c r="Z202" s="249"/>
      <c r="AA202" s="264"/>
      <c r="AB202" s="249"/>
      <c r="AC202" s="249"/>
      <c r="AD202" s="249"/>
      <c r="AE202" s="249"/>
      <c r="AF202" s="249"/>
      <c r="AG202" s="249"/>
      <c r="AH202" s="249"/>
      <c r="AI202" s="249"/>
      <c r="AJ202" s="249"/>
      <c r="AK202" s="249"/>
      <c r="AL202" s="249"/>
      <c r="AM202" s="249"/>
      <c r="AN202" s="249"/>
      <c r="AO202" s="249"/>
      <c r="AP202" s="249"/>
      <c r="AQ202" s="66"/>
      <c r="AR202" s="66"/>
    </row>
    <row r="203" spans="1:44" x14ac:dyDescent="0.25">
      <c r="A203" s="264"/>
      <c r="B203" s="264"/>
      <c r="C203" s="264"/>
      <c r="D203" s="264"/>
      <c r="E203" s="264"/>
      <c r="F203" s="264"/>
      <c r="G203" s="264"/>
      <c r="H203" s="264"/>
      <c r="I203" s="249"/>
      <c r="J203" s="249"/>
      <c r="K203" s="249"/>
      <c r="L203" s="249"/>
      <c r="M203" s="249"/>
      <c r="N203" s="264"/>
      <c r="O203" s="249"/>
      <c r="P203" s="249"/>
      <c r="Q203" s="249"/>
      <c r="R203" s="249"/>
      <c r="S203" s="249"/>
      <c r="T203" s="267"/>
      <c r="U203" s="267"/>
      <c r="V203" s="267"/>
      <c r="W203" s="249"/>
      <c r="X203" s="249"/>
      <c r="Y203" s="249"/>
      <c r="Z203" s="249"/>
      <c r="AA203" s="264"/>
      <c r="AB203" s="249"/>
      <c r="AC203" s="249"/>
      <c r="AD203" s="249"/>
      <c r="AE203" s="249"/>
      <c r="AF203" s="249"/>
      <c r="AG203" s="249"/>
      <c r="AH203" s="249"/>
      <c r="AI203" s="249"/>
      <c r="AJ203" s="249"/>
      <c r="AK203" s="249"/>
      <c r="AL203" s="249"/>
      <c r="AM203" s="249"/>
      <c r="AN203" s="249"/>
      <c r="AO203" s="249"/>
      <c r="AP203" s="249"/>
      <c r="AQ203" s="66"/>
      <c r="AR203" s="66"/>
    </row>
    <row r="204" spans="1:44" x14ac:dyDescent="0.25">
      <c r="A204" s="264"/>
      <c r="B204" s="264"/>
      <c r="C204" s="264"/>
      <c r="D204" s="264"/>
      <c r="E204" s="264"/>
      <c r="F204" s="264"/>
      <c r="G204" s="264"/>
      <c r="H204" s="264"/>
      <c r="I204" s="249"/>
      <c r="J204" s="249"/>
      <c r="K204" s="249"/>
      <c r="L204" s="249"/>
      <c r="M204" s="249"/>
      <c r="N204" s="264"/>
      <c r="O204" s="249"/>
      <c r="P204" s="249"/>
      <c r="Q204" s="249"/>
      <c r="R204" s="249"/>
      <c r="S204" s="249"/>
      <c r="T204" s="267"/>
      <c r="U204" s="267"/>
      <c r="V204" s="267"/>
      <c r="W204" s="249"/>
      <c r="X204" s="249"/>
      <c r="Y204" s="249"/>
      <c r="Z204" s="249"/>
      <c r="AA204" s="264"/>
      <c r="AB204" s="249"/>
      <c r="AC204" s="249"/>
      <c r="AD204" s="249"/>
      <c r="AE204" s="249"/>
      <c r="AF204" s="249"/>
      <c r="AG204" s="249"/>
      <c r="AH204" s="249"/>
      <c r="AI204" s="249"/>
      <c r="AJ204" s="249"/>
      <c r="AK204" s="249"/>
      <c r="AL204" s="249"/>
      <c r="AM204" s="249"/>
      <c r="AN204" s="249"/>
      <c r="AO204" s="249"/>
      <c r="AP204" s="249"/>
      <c r="AQ204" s="66"/>
      <c r="AR204" s="66"/>
    </row>
    <row r="205" spans="1:44" x14ac:dyDescent="0.25">
      <c r="A205" s="264"/>
      <c r="B205" s="264"/>
      <c r="C205" s="264"/>
      <c r="D205" s="264"/>
      <c r="E205" s="264"/>
      <c r="F205" s="264"/>
      <c r="G205" s="264"/>
      <c r="H205" s="264"/>
      <c r="I205" s="249"/>
      <c r="J205" s="249"/>
      <c r="K205" s="249"/>
      <c r="L205" s="249"/>
      <c r="M205" s="249"/>
      <c r="N205" s="264"/>
      <c r="O205" s="249"/>
      <c r="P205" s="249"/>
      <c r="Q205" s="249"/>
      <c r="R205" s="249"/>
      <c r="S205" s="249"/>
      <c r="T205" s="267"/>
      <c r="U205" s="267"/>
      <c r="V205" s="267"/>
      <c r="W205" s="249"/>
      <c r="X205" s="249"/>
      <c r="Y205" s="249"/>
      <c r="Z205" s="249"/>
      <c r="AA205" s="264"/>
      <c r="AB205" s="249"/>
      <c r="AC205" s="249"/>
      <c r="AD205" s="249"/>
      <c r="AE205" s="249"/>
      <c r="AF205" s="249"/>
      <c r="AG205" s="249"/>
      <c r="AH205" s="249"/>
      <c r="AI205" s="249"/>
      <c r="AJ205" s="249"/>
      <c r="AK205" s="249"/>
      <c r="AL205" s="249"/>
      <c r="AM205" s="249"/>
      <c r="AN205" s="249"/>
      <c r="AO205" s="249"/>
      <c r="AP205" s="249"/>
      <c r="AQ205" s="66"/>
      <c r="AR205" s="66"/>
    </row>
    <row r="206" spans="1:44" x14ac:dyDescent="0.25">
      <c r="A206" s="264"/>
      <c r="B206" s="264"/>
      <c r="C206" s="264"/>
      <c r="D206" s="264"/>
      <c r="E206" s="264"/>
      <c r="F206" s="264"/>
      <c r="G206" s="264"/>
      <c r="H206" s="264"/>
      <c r="I206" s="249"/>
      <c r="J206" s="249"/>
      <c r="K206" s="249"/>
      <c r="L206" s="249"/>
      <c r="M206" s="249"/>
      <c r="N206" s="264"/>
      <c r="O206" s="249"/>
      <c r="P206" s="249"/>
      <c r="Q206" s="249"/>
      <c r="R206" s="249"/>
      <c r="S206" s="249"/>
      <c r="T206" s="267"/>
      <c r="U206" s="267"/>
      <c r="V206" s="267"/>
      <c r="W206" s="249"/>
      <c r="X206" s="249"/>
      <c r="Y206" s="249"/>
      <c r="Z206" s="249"/>
      <c r="AA206" s="264"/>
      <c r="AB206" s="249"/>
      <c r="AC206" s="249"/>
      <c r="AD206" s="249"/>
      <c r="AE206" s="249"/>
      <c r="AF206" s="249"/>
      <c r="AG206" s="249"/>
      <c r="AH206" s="249"/>
      <c r="AI206" s="249"/>
      <c r="AJ206" s="249"/>
      <c r="AK206" s="249"/>
      <c r="AL206" s="249"/>
      <c r="AM206" s="249"/>
      <c r="AN206" s="249"/>
      <c r="AO206" s="249"/>
      <c r="AP206" s="249"/>
      <c r="AQ206" s="66"/>
      <c r="AR206" s="66"/>
    </row>
    <row r="207" spans="1:44" x14ac:dyDescent="0.25">
      <c r="A207" s="264"/>
      <c r="B207" s="264"/>
      <c r="C207" s="264"/>
      <c r="D207" s="264"/>
      <c r="E207" s="264"/>
      <c r="F207" s="264"/>
      <c r="G207" s="264"/>
      <c r="H207" s="264"/>
      <c r="I207" s="249"/>
      <c r="J207" s="249"/>
      <c r="K207" s="249"/>
      <c r="L207" s="249"/>
      <c r="M207" s="249"/>
      <c r="N207" s="264"/>
      <c r="O207" s="249"/>
      <c r="P207" s="249"/>
      <c r="Q207" s="249"/>
      <c r="R207" s="249"/>
      <c r="S207" s="249"/>
      <c r="T207" s="267"/>
      <c r="U207" s="267"/>
      <c r="V207" s="267"/>
      <c r="W207" s="249"/>
      <c r="X207" s="249"/>
      <c r="Y207" s="249"/>
      <c r="Z207" s="249"/>
      <c r="AA207" s="264"/>
      <c r="AB207" s="249"/>
      <c r="AC207" s="249"/>
      <c r="AD207" s="249"/>
      <c r="AE207" s="249"/>
      <c r="AF207" s="249"/>
      <c r="AG207" s="249"/>
      <c r="AH207" s="249"/>
      <c r="AI207" s="249"/>
      <c r="AJ207" s="249"/>
      <c r="AK207" s="249"/>
      <c r="AL207" s="249"/>
      <c r="AM207" s="249"/>
      <c r="AN207" s="249"/>
      <c r="AO207" s="249"/>
      <c r="AP207" s="249"/>
      <c r="AQ207" s="66"/>
      <c r="AR207" s="66"/>
    </row>
    <row r="208" spans="1:44" x14ac:dyDescent="0.25">
      <c r="A208" s="264"/>
      <c r="B208" s="264"/>
      <c r="C208" s="264"/>
      <c r="D208" s="264"/>
      <c r="E208" s="264"/>
      <c r="F208" s="264"/>
      <c r="G208" s="264"/>
      <c r="H208" s="264"/>
      <c r="I208" s="249"/>
      <c r="J208" s="249"/>
      <c r="K208" s="249"/>
      <c r="L208" s="249"/>
      <c r="M208" s="249"/>
      <c r="N208" s="264"/>
      <c r="O208" s="249"/>
      <c r="P208" s="249"/>
      <c r="Q208" s="249"/>
      <c r="R208" s="249"/>
      <c r="S208" s="249"/>
      <c r="T208" s="267"/>
      <c r="U208" s="267"/>
      <c r="V208" s="267"/>
      <c r="W208" s="249"/>
      <c r="X208" s="249"/>
      <c r="Y208" s="249"/>
      <c r="Z208" s="249"/>
      <c r="AA208" s="264"/>
      <c r="AB208" s="249"/>
      <c r="AC208" s="249"/>
      <c r="AD208" s="249"/>
      <c r="AE208" s="249"/>
      <c r="AF208" s="249"/>
      <c r="AG208" s="249"/>
      <c r="AH208" s="249"/>
      <c r="AI208" s="249"/>
      <c r="AJ208" s="249"/>
      <c r="AK208" s="249"/>
      <c r="AL208" s="249"/>
      <c r="AM208" s="249"/>
      <c r="AN208" s="249"/>
      <c r="AO208" s="249"/>
      <c r="AP208" s="249"/>
      <c r="AQ208" s="66"/>
      <c r="AR208" s="66"/>
    </row>
    <row r="209" spans="1:44" x14ac:dyDescent="0.25">
      <c r="A209" s="264"/>
      <c r="B209" s="264"/>
      <c r="C209" s="264"/>
      <c r="D209" s="264"/>
      <c r="E209" s="264"/>
      <c r="F209" s="264"/>
      <c r="G209" s="264"/>
      <c r="H209" s="264"/>
      <c r="I209" s="249"/>
      <c r="J209" s="249"/>
      <c r="K209" s="249"/>
      <c r="L209" s="249"/>
      <c r="M209" s="249"/>
      <c r="N209" s="264"/>
      <c r="O209" s="249"/>
      <c r="P209" s="249"/>
      <c r="Q209" s="249"/>
      <c r="R209" s="249"/>
      <c r="S209" s="249"/>
      <c r="T209" s="267"/>
      <c r="U209" s="267"/>
      <c r="V209" s="267"/>
      <c r="W209" s="249"/>
      <c r="X209" s="249"/>
      <c r="Y209" s="249"/>
      <c r="Z209" s="249"/>
      <c r="AA209" s="264"/>
      <c r="AB209" s="249"/>
      <c r="AC209" s="249"/>
      <c r="AD209" s="249"/>
      <c r="AE209" s="249"/>
      <c r="AF209" s="249"/>
      <c r="AG209" s="249"/>
      <c r="AH209" s="249"/>
      <c r="AI209" s="249"/>
      <c r="AJ209" s="249"/>
      <c r="AK209" s="249"/>
      <c r="AL209" s="249"/>
      <c r="AM209" s="249"/>
      <c r="AN209" s="249"/>
      <c r="AO209" s="249"/>
      <c r="AP209" s="249"/>
      <c r="AQ209" s="66"/>
      <c r="AR209" s="66"/>
    </row>
    <row r="210" spans="1:44" x14ac:dyDescent="0.25">
      <c r="A210" s="264"/>
      <c r="B210" s="264"/>
      <c r="C210" s="264"/>
      <c r="D210" s="264"/>
      <c r="E210" s="264"/>
      <c r="F210" s="264"/>
      <c r="G210" s="264"/>
      <c r="H210" s="264"/>
      <c r="I210" s="249"/>
      <c r="J210" s="249"/>
      <c r="K210" s="249"/>
      <c r="L210" s="249"/>
      <c r="M210" s="249"/>
      <c r="N210" s="264"/>
      <c r="O210" s="249"/>
      <c r="P210" s="249"/>
      <c r="Q210" s="249"/>
      <c r="R210" s="249"/>
      <c r="S210" s="249"/>
      <c r="T210" s="267"/>
      <c r="U210" s="267"/>
      <c r="V210" s="267"/>
      <c r="W210" s="249"/>
      <c r="X210" s="249"/>
      <c r="Y210" s="249"/>
      <c r="Z210" s="249"/>
      <c r="AA210" s="264"/>
      <c r="AB210" s="249"/>
      <c r="AC210" s="249"/>
      <c r="AD210" s="249"/>
      <c r="AE210" s="249"/>
      <c r="AF210" s="249"/>
      <c r="AG210" s="249"/>
      <c r="AH210" s="249"/>
      <c r="AI210" s="249"/>
      <c r="AJ210" s="249"/>
      <c r="AK210" s="249"/>
      <c r="AL210" s="249"/>
      <c r="AM210" s="249"/>
      <c r="AN210" s="249"/>
      <c r="AO210" s="249"/>
      <c r="AP210" s="249"/>
      <c r="AQ210" s="66"/>
      <c r="AR210" s="66"/>
    </row>
    <row r="211" spans="1:44" x14ac:dyDescent="0.25">
      <c r="A211" s="264"/>
      <c r="B211" s="264"/>
      <c r="C211" s="264"/>
      <c r="D211" s="264"/>
      <c r="E211" s="264"/>
      <c r="F211" s="264"/>
      <c r="G211" s="264"/>
      <c r="H211" s="264"/>
      <c r="I211" s="249"/>
      <c r="J211" s="249"/>
      <c r="K211" s="249"/>
      <c r="L211" s="249"/>
      <c r="M211" s="249"/>
      <c r="N211" s="264"/>
      <c r="O211" s="249"/>
      <c r="P211" s="249"/>
      <c r="Q211" s="249"/>
      <c r="R211" s="249"/>
      <c r="S211" s="249"/>
      <c r="T211" s="267"/>
      <c r="U211" s="267"/>
      <c r="V211" s="267"/>
      <c r="W211" s="249"/>
      <c r="X211" s="249"/>
      <c r="Y211" s="249"/>
      <c r="Z211" s="249"/>
      <c r="AA211" s="264"/>
      <c r="AB211" s="249"/>
      <c r="AC211" s="249"/>
      <c r="AD211" s="249"/>
      <c r="AE211" s="249"/>
      <c r="AF211" s="249"/>
      <c r="AG211" s="249"/>
      <c r="AH211" s="249"/>
      <c r="AI211" s="249"/>
      <c r="AJ211" s="249"/>
      <c r="AK211" s="249"/>
      <c r="AL211" s="249"/>
      <c r="AM211" s="249"/>
      <c r="AN211" s="249"/>
      <c r="AO211" s="249"/>
      <c r="AP211" s="249"/>
      <c r="AQ211" s="66"/>
      <c r="AR211" s="66"/>
    </row>
    <row r="212" spans="1:44" x14ac:dyDescent="0.25">
      <c r="A212" s="264"/>
      <c r="B212" s="264"/>
      <c r="C212" s="264"/>
      <c r="D212" s="264"/>
      <c r="E212" s="264"/>
      <c r="F212" s="264"/>
      <c r="G212" s="264"/>
      <c r="H212" s="264"/>
      <c r="I212" s="249"/>
      <c r="J212" s="249"/>
      <c r="K212" s="249"/>
      <c r="L212" s="249"/>
      <c r="M212" s="249"/>
      <c r="N212" s="264"/>
      <c r="O212" s="249"/>
      <c r="P212" s="249"/>
      <c r="Q212" s="249"/>
      <c r="R212" s="249"/>
      <c r="S212" s="249"/>
      <c r="T212" s="267"/>
      <c r="U212" s="267"/>
      <c r="V212" s="267"/>
      <c r="W212" s="249"/>
      <c r="X212" s="249"/>
      <c r="Y212" s="249"/>
      <c r="Z212" s="249"/>
      <c r="AA212" s="264"/>
      <c r="AB212" s="249"/>
      <c r="AC212" s="249"/>
      <c r="AD212" s="249"/>
      <c r="AE212" s="249"/>
      <c r="AF212" s="249"/>
      <c r="AG212" s="249"/>
      <c r="AH212" s="249"/>
      <c r="AI212" s="249"/>
      <c r="AJ212" s="249"/>
      <c r="AK212" s="249"/>
      <c r="AL212" s="249"/>
      <c r="AM212" s="249"/>
      <c r="AN212" s="249"/>
      <c r="AO212" s="249"/>
      <c r="AP212" s="249"/>
      <c r="AQ212" s="66"/>
      <c r="AR212" s="66"/>
    </row>
    <row r="213" spans="1:44" x14ac:dyDescent="0.25">
      <c r="A213" s="264"/>
      <c r="B213" s="264"/>
      <c r="C213" s="264"/>
      <c r="D213" s="264"/>
      <c r="E213" s="264"/>
      <c r="F213" s="264"/>
      <c r="G213" s="264"/>
      <c r="H213" s="264"/>
      <c r="I213" s="249"/>
      <c r="J213" s="249"/>
      <c r="K213" s="249"/>
      <c r="L213" s="249"/>
      <c r="M213" s="249"/>
      <c r="N213" s="264"/>
      <c r="O213" s="249"/>
      <c r="P213" s="249"/>
      <c r="Q213" s="249"/>
      <c r="R213" s="249"/>
      <c r="S213" s="249"/>
      <c r="T213" s="267"/>
      <c r="U213" s="267"/>
      <c r="V213" s="267"/>
      <c r="W213" s="249"/>
      <c r="X213" s="249"/>
      <c r="Y213" s="249"/>
      <c r="Z213" s="249"/>
      <c r="AA213" s="264"/>
      <c r="AB213" s="249"/>
      <c r="AC213" s="249"/>
      <c r="AD213" s="249"/>
      <c r="AE213" s="249"/>
      <c r="AF213" s="249"/>
      <c r="AG213" s="249"/>
      <c r="AH213" s="249"/>
      <c r="AI213" s="249"/>
      <c r="AJ213" s="249"/>
      <c r="AK213" s="249"/>
      <c r="AL213" s="249"/>
      <c r="AM213" s="249"/>
      <c r="AN213" s="249"/>
      <c r="AO213" s="249"/>
      <c r="AP213" s="249"/>
      <c r="AQ213" s="66"/>
      <c r="AR213" s="66"/>
    </row>
    <row r="214" spans="1:44" x14ac:dyDescent="0.25">
      <c r="A214" s="264"/>
      <c r="B214" s="264"/>
      <c r="C214" s="264"/>
      <c r="D214" s="264"/>
      <c r="E214" s="264"/>
      <c r="F214" s="264"/>
      <c r="G214" s="264"/>
      <c r="H214" s="264"/>
      <c r="I214" s="249"/>
      <c r="J214" s="249"/>
      <c r="K214" s="249"/>
      <c r="L214" s="249"/>
      <c r="M214" s="249"/>
      <c r="N214" s="264"/>
      <c r="O214" s="249"/>
      <c r="P214" s="249"/>
      <c r="Q214" s="249"/>
      <c r="R214" s="249"/>
      <c r="S214" s="249"/>
      <c r="T214" s="267"/>
      <c r="U214" s="267"/>
      <c r="V214" s="267"/>
      <c r="W214" s="249"/>
      <c r="X214" s="249"/>
      <c r="Y214" s="249"/>
      <c r="Z214" s="249"/>
      <c r="AA214" s="264"/>
      <c r="AB214" s="249"/>
      <c r="AC214" s="249"/>
      <c r="AD214" s="249"/>
      <c r="AE214" s="249"/>
      <c r="AF214" s="249"/>
      <c r="AG214" s="249"/>
      <c r="AH214" s="249"/>
      <c r="AI214" s="249"/>
      <c r="AJ214" s="249"/>
      <c r="AK214" s="249"/>
      <c r="AL214" s="249"/>
      <c r="AM214" s="249"/>
      <c r="AN214" s="249"/>
      <c r="AO214" s="249"/>
      <c r="AP214" s="249"/>
      <c r="AQ214" s="66"/>
      <c r="AR214" s="66"/>
    </row>
    <row r="215" spans="1:44" x14ac:dyDescent="0.25">
      <c r="A215" s="264"/>
      <c r="B215" s="264"/>
      <c r="C215" s="264"/>
      <c r="D215" s="264"/>
      <c r="E215" s="264"/>
      <c r="F215" s="264"/>
      <c r="G215" s="264"/>
      <c r="H215" s="264"/>
      <c r="I215" s="249"/>
      <c r="J215" s="249"/>
      <c r="K215" s="249"/>
      <c r="L215" s="249"/>
      <c r="M215" s="249"/>
      <c r="N215" s="264"/>
      <c r="O215" s="249"/>
      <c r="P215" s="249"/>
      <c r="Q215" s="249"/>
      <c r="R215" s="249"/>
      <c r="S215" s="249"/>
      <c r="T215" s="267"/>
      <c r="U215" s="267"/>
      <c r="V215" s="267"/>
      <c r="W215" s="249"/>
      <c r="X215" s="249"/>
      <c r="Y215" s="249"/>
      <c r="Z215" s="249"/>
      <c r="AA215" s="264"/>
      <c r="AB215" s="249"/>
      <c r="AC215" s="249"/>
      <c r="AD215" s="249"/>
      <c r="AE215" s="249"/>
      <c r="AF215" s="249"/>
      <c r="AG215" s="249"/>
      <c r="AH215" s="249"/>
      <c r="AI215" s="249"/>
      <c r="AJ215" s="249"/>
      <c r="AK215" s="249"/>
      <c r="AL215" s="249"/>
      <c r="AM215" s="249"/>
      <c r="AN215" s="249"/>
      <c r="AO215" s="249"/>
      <c r="AP215" s="249"/>
      <c r="AQ215" s="66"/>
      <c r="AR215" s="66"/>
    </row>
    <row r="216" spans="1:44" x14ac:dyDescent="0.25">
      <c r="A216" s="264"/>
      <c r="B216" s="264"/>
      <c r="C216" s="264"/>
      <c r="D216" s="264"/>
      <c r="E216" s="264"/>
      <c r="F216" s="264"/>
      <c r="G216" s="264"/>
      <c r="H216" s="264"/>
      <c r="I216" s="249"/>
      <c r="J216" s="249"/>
      <c r="K216" s="249"/>
      <c r="L216" s="249"/>
      <c r="M216" s="249"/>
      <c r="N216" s="264"/>
      <c r="O216" s="249"/>
      <c r="P216" s="249"/>
      <c r="Q216" s="249"/>
      <c r="R216" s="249"/>
      <c r="S216" s="249"/>
      <c r="T216" s="267"/>
      <c r="U216" s="267"/>
      <c r="V216" s="267"/>
      <c r="W216" s="249"/>
      <c r="X216" s="249"/>
      <c r="Y216" s="249"/>
      <c r="Z216" s="249"/>
      <c r="AA216" s="264"/>
      <c r="AB216" s="249"/>
      <c r="AC216" s="249"/>
      <c r="AD216" s="249"/>
      <c r="AE216" s="249"/>
      <c r="AF216" s="249"/>
      <c r="AG216" s="249"/>
      <c r="AH216" s="249"/>
      <c r="AI216" s="249"/>
      <c r="AJ216" s="249"/>
      <c r="AK216" s="249"/>
      <c r="AL216" s="249"/>
      <c r="AM216" s="249"/>
      <c r="AN216" s="249"/>
      <c r="AO216" s="249"/>
      <c r="AP216" s="249"/>
      <c r="AQ216" s="66"/>
      <c r="AR216" s="66"/>
    </row>
    <row r="217" spans="1:44" x14ac:dyDescent="0.25">
      <c r="A217" s="264"/>
      <c r="B217" s="264"/>
      <c r="C217" s="264"/>
      <c r="D217" s="264"/>
      <c r="E217" s="264"/>
      <c r="F217" s="264"/>
      <c r="G217" s="264"/>
      <c r="H217" s="264"/>
      <c r="I217" s="249"/>
      <c r="J217" s="249"/>
      <c r="K217" s="249"/>
      <c r="L217" s="249"/>
      <c r="M217" s="249"/>
      <c r="N217" s="264"/>
      <c r="O217" s="249"/>
      <c r="P217" s="249"/>
      <c r="Q217" s="249"/>
      <c r="R217" s="249"/>
      <c r="S217" s="249"/>
      <c r="T217" s="267"/>
      <c r="U217" s="267"/>
      <c r="V217" s="267"/>
      <c r="W217" s="249"/>
      <c r="X217" s="249"/>
      <c r="Y217" s="249"/>
      <c r="Z217" s="249"/>
      <c r="AA217" s="264"/>
      <c r="AB217" s="249"/>
      <c r="AC217" s="249"/>
      <c r="AD217" s="249"/>
      <c r="AE217" s="249"/>
      <c r="AF217" s="249"/>
      <c r="AG217" s="249"/>
      <c r="AH217" s="249"/>
      <c r="AI217" s="249"/>
      <c r="AJ217" s="249"/>
      <c r="AK217" s="249"/>
      <c r="AL217" s="249"/>
      <c r="AM217" s="249"/>
      <c r="AN217" s="249"/>
      <c r="AO217" s="249"/>
      <c r="AP217" s="249"/>
      <c r="AQ217" s="66"/>
      <c r="AR217" s="66"/>
    </row>
    <row r="218" spans="1:44" x14ac:dyDescent="0.25">
      <c r="A218" s="264"/>
      <c r="B218" s="264"/>
      <c r="C218" s="264"/>
      <c r="D218" s="264"/>
      <c r="E218" s="264"/>
      <c r="F218" s="264"/>
      <c r="G218" s="264"/>
      <c r="H218" s="264"/>
      <c r="I218" s="249"/>
      <c r="J218" s="249"/>
      <c r="K218" s="249"/>
      <c r="L218" s="249"/>
      <c r="M218" s="249"/>
      <c r="N218" s="264"/>
      <c r="O218" s="249"/>
      <c r="P218" s="249"/>
      <c r="Q218" s="249"/>
      <c r="R218" s="249"/>
      <c r="S218" s="249"/>
      <c r="T218" s="267"/>
      <c r="U218" s="267"/>
      <c r="V218" s="267"/>
      <c r="W218" s="249"/>
      <c r="X218" s="249"/>
      <c r="Y218" s="249"/>
      <c r="Z218" s="249"/>
      <c r="AA218" s="264"/>
      <c r="AB218" s="249"/>
      <c r="AC218" s="249"/>
      <c r="AD218" s="249"/>
      <c r="AE218" s="249"/>
      <c r="AF218" s="249"/>
      <c r="AG218" s="249"/>
      <c r="AH218" s="249"/>
      <c r="AI218" s="249"/>
      <c r="AJ218" s="249"/>
      <c r="AK218" s="249"/>
      <c r="AL218" s="249"/>
      <c r="AM218" s="249"/>
      <c r="AN218" s="249"/>
      <c r="AO218" s="249"/>
      <c r="AP218" s="249"/>
      <c r="AQ218" s="66"/>
      <c r="AR218" s="66"/>
    </row>
    <row r="219" spans="1:44" x14ac:dyDescent="0.25">
      <c r="A219" s="264"/>
      <c r="B219" s="264"/>
      <c r="C219" s="264"/>
      <c r="D219" s="264"/>
      <c r="E219" s="264"/>
      <c r="F219" s="264"/>
      <c r="G219" s="264"/>
      <c r="H219" s="264"/>
      <c r="I219" s="249"/>
      <c r="J219" s="249"/>
      <c r="K219" s="249"/>
      <c r="L219" s="249"/>
      <c r="M219" s="249"/>
      <c r="N219" s="264"/>
      <c r="O219" s="249"/>
      <c r="P219" s="249"/>
      <c r="Q219" s="249"/>
      <c r="R219" s="249"/>
      <c r="S219" s="249"/>
      <c r="T219" s="267"/>
      <c r="U219" s="267"/>
      <c r="V219" s="267"/>
      <c r="W219" s="249"/>
      <c r="X219" s="249"/>
      <c r="Y219" s="249"/>
      <c r="Z219" s="249"/>
      <c r="AA219" s="264"/>
      <c r="AB219" s="249"/>
      <c r="AC219" s="249"/>
      <c r="AD219" s="249"/>
      <c r="AE219" s="249"/>
      <c r="AF219" s="249"/>
      <c r="AG219" s="249"/>
      <c r="AH219" s="249"/>
      <c r="AI219" s="249"/>
      <c r="AJ219" s="249"/>
      <c r="AK219" s="249"/>
      <c r="AL219" s="249"/>
      <c r="AM219" s="249"/>
      <c r="AN219" s="249"/>
      <c r="AO219" s="249"/>
      <c r="AP219" s="249"/>
      <c r="AQ219" s="66"/>
      <c r="AR219" s="66"/>
    </row>
    <row r="220" spans="1:44" x14ac:dyDescent="0.25">
      <c r="A220" s="264"/>
      <c r="B220" s="264"/>
      <c r="C220" s="264"/>
      <c r="D220" s="264"/>
      <c r="E220" s="264"/>
      <c r="F220" s="264"/>
      <c r="G220" s="264"/>
      <c r="H220" s="264"/>
      <c r="I220" s="249"/>
      <c r="J220" s="249"/>
      <c r="K220" s="249"/>
      <c r="L220" s="249"/>
      <c r="M220" s="249"/>
      <c r="N220" s="264"/>
      <c r="O220" s="249"/>
      <c r="P220" s="249"/>
      <c r="Q220" s="249"/>
      <c r="R220" s="249"/>
      <c r="S220" s="249"/>
      <c r="T220" s="267"/>
      <c r="U220" s="267"/>
      <c r="V220" s="267"/>
      <c r="W220" s="249"/>
      <c r="X220" s="249"/>
      <c r="Y220" s="249"/>
      <c r="Z220" s="249"/>
      <c r="AA220" s="264"/>
      <c r="AB220" s="249"/>
      <c r="AC220" s="249"/>
      <c r="AD220" s="249"/>
      <c r="AE220" s="249"/>
      <c r="AF220" s="249"/>
      <c r="AG220" s="249"/>
      <c r="AH220" s="249"/>
      <c r="AI220" s="249"/>
      <c r="AJ220" s="249"/>
      <c r="AK220" s="249"/>
      <c r="AL220" s="249"/>
      <c r="AM220" s="249"/>
      <c r="AN220" s="249"/>
      <c r="AO220" s="249"/>
      <c r="AP220" s="249"/>
      <c r="AQ220" s="66"/>
      <c r="AR220" s="66"/>
    </row>
    <row r="221" spans="1:44" x14ac:dyDescent="0.25">
      <c r="A221" s="264"/>
      <c r="B221" s="264"/>
      <c r="C221" s="264"/>
      <c r="D221" s="264"/>
      <c r="E221" s="264"/>
      <c r="F221" s="264"/>
      <c r="G221" s="264"/>
      <c r="H221" s="264"/>
      <c r="I221" s="249"/>
      <c r="J221" s="249"/>
      <c r="K221" s="249"/>
      <c r="L221" s="249"/>
      <c r="M221" s="249"/>
      <c r="N221" s="264"/>
      <c r="O221" s="249"/>
      <c r="P221" s="249"/>
      <c r="Q221" s="249"/>
      <c r="R221" s="249"/>
      <c r="S221" s="249"/>
      <c r="T221" s="267"/>
      <c r="U221" s="267"/>
      <c r="V221" s="267"/>
      <c r="W221" s="249"/>
      <c r="X221" s="249"/>
      <c r="Y221" s="249"/>
      <c r="Z221" s="249"/>
      <c r="AA221" s="264"/>
      <c r="AB221" s="249"/>
      <c r="AC221" s="249"/>
      <c r="AD221" s="249"/>
      <c r="AE221" s="249"/>
      <c r="AF221" s="249"/>
      <c r="AG221" s="249"/>
      <c r="AH221" s="249"/>
      <c r="AI221" s="249"/>
      <c r="AJ221" s="249"/>
      <c r="AK221" s="249"/>
      <c r="AL221" s="249"/>
      <c r="AM221" s="249"/>
      <c r="AN221" s="249"/>
      <c r="AO221" s="249"/>
      <c r="AP221" s="249"/>
      <c r="AQ221" s="66"/>
      <c r="AR221" s="66"/>
    </row>
    <row r="222" spans="1:44" x14ac:dyDescent="0.25">
      <c r="A222" s="264"/>
      <c r="B222" s="264"/>
      <c r="C222" s="264"/>
      <c r="D222" s="264"/>
      <c r="E222" s="264"/>
      <c r="F222" s="264"/>
      <c r="G222" s="264"/>
      <c r="H222" s="264"/>
      <c r="I222" s="249"/>
      <c r="J222" s="249"/>
      <c r="K222" s="249"/>
      <c r="L222" s="249"/>
      <c r="M222" s="249"/>
      <c r="N222" s="264"/>
      <c r="O222" s="249"/>
      <c r="P222" s="249"/>
      <c r="Q222" s="249"/>
      <c r="R222" s="249"/>
      <c r="S222" s="249"/>
      <c r="T222" s="267"/>
      <c r="U222" s="267"/>
      <c r="V222" s="267"/>
      <c r="W222" s="249"/>
      <c r="X222" s="249"/>
      <c r="Y222" s="249"/>
      <c r="Z222" s="249"/>
      <c r="AA222" s="264"/>
      <c r="AB222" s="249"/>
      <c r="AC222" s="249"/>
      <c r="AD222" s="249"/>
      <c r="AE222" s="249"/>
      <c r="AF222" s="249"/>
      <c r="AG222" s="249"/>
      <c r="AH222" s="249"/>
      <c r="AI222" s="249"/>
      <c r="AJ222" s="249"/>
      <c r="AK222" s="249"/>
      <c r="AL222" s="249"/>
      <c r="AM222" s="249"/>
      <c r="AN222" s="249"/>
      <c r="AO222" s="249"/>
      <c r="AP222" s="249"/>
      <c r="AQ222" s="66"/>
      <c r="AR222" s="66"/>
    </row>
    <row r="223" spans="1:44" x14ac:dyDescent="0.25">
      <c r="A223" s="264"/>
      <c r="B223" s="264"/>
      <c r="C223" s="264"/>
      <c r="D223" s="264"/>
      <c r="E223" s="264"/>
      <c r="F223" s="264"/>
      <c r="G223" s="264"/>
      <c r="H223" s="264"/>
      <c r="I223" s="249"/>
      <c r="J223" s="249"/>
      <c r="K223" s="249"/>
      <c r="L223" s="249"/>
      <c r="M223" s="249"/>
      <c r="N223" s="264"/>
      <c r="O223" s="249"/>
      <c r="P223" s="249"/>
      <c r="Q223" s="249"/>
      <c r="R223" s="249"/>
      <c r="S223" s="249"/>
      <c r="T223" s="267"/>
      <c r="U223" s="267"/>
      <c r="V223" s="267"/>
      <c r="W223" s="249"/>
      <c r="X223" s="249"/>
      <c r="Y223" s="249"/>
      <c r="Z223" s="249"/>
      <c r="AA223" s="264"/>
      <c r="AB223" s="249"/>
      <c r="AC223" s="249"/>
      <c r="AD223" s="249"/>
      <c r="AE223" s="249"/>
      <c r="AF223" s="249"/>
      <c r="AG223" s="249"/>
      <c r="AH223" s="249"/>
      <c r="AI223" s="249"/>
      <c r="AJ223" s="249"/>
      <c r="AK223" s="249"/>
      <c r="AL223" s="249"/>
      <c r="AM223" s="249"/>
      <c r="AN223" s="249"/>
      <c r="AO223" s="249"/>
      <c r="AP223" s="249"/>
      <c r="AQ223" s="66"/>
      <c r="AR223" s="66"/>
    </row>
    <row r="224" spans="1:44" x14ac:dyDescent="0.25">
      <c r="A224" s="264"/>
      <c r="B224" s="264"/>
      <c r="C224" s="264"/>
      <c r="D224" s="264"/>
      <c r="E224" s="264"/>
      <c r="F224" s="264"/>
      <c r="G224" s="264"/>
      <c r="H224" s="264"/>
      <c r="I224" s="249"/>
      <c r="J224" s="249"/>
      <c r="K224" s="249"/>
      <c r="L224" s="249"/>
      <c r="M224" s="249"/>
      <c r="N224" s="264"/>
      <c r="O224" s="249"/>
      <c r="P224" s="249"/>
      <c r="Q224" s="249"/>
      <c r="R224" s="249"/>
      <c r="S224" s="249"/>
      <c r="T224" s="267"/>
      <c r="U224" s="267"/>
      <c r="V224" s="267"/>
      <c r="W224" s="249"/>
      <c r="X224" s="249"/>
      <c r="Y224" s="249"/>
      <c r="Z224" s="249"/>
      <c r="AA224" s="264"/>
      <c r="AB224" s="249"/>
      <c r="AC224" s="249"/>
      <c r="AD224" s="249"/>
      <c r="AE224" s="249"/>
      <c r="AF224" s="249"/>
      <c r="AG224" s="249"/>
      <c r="AH224" s="249"/>
      <c r="AI224" s="249"/>
      <c r="AJ224" s="249"/>
      <c r="AK224" s="249"/>
      <c r="AL224" s="249"/>
      <c r="AM224" s="249"/>
      <c r="AN224" s="249"/>
      <c r="AO224" s="249"/>
      <c r="AP224" s="249"/>
      <c r="AQ224" s="66"/>
      <c r="AR224" s="66"/>
    </row>
    <row r="225" spans="1:44" x14ac:dyDescent="0.25">
      <c r="A225" s="264"/>
      <c r="B225" s="264"/>
      <c r="C225" s="264"/>
      <c r="D225" s="264"/>
      <c r="E225" s="264"/>
      <c r="F225" s="264"/>
      <c r="G225" s="264"/>
      <c r="H225" s="264"/>
      <c r="I225" s="249"/>
      <c r="J225" s="249"/>
      <c r="K225" s="249"/>
      <c r="L225" s="249"/>
      <c r="M225" s="249"/>
      <c r="N225" s="264"/>
      <c r="O225" s="249"/>
      <c r="P225" s="249"/>
      <c r="Q225" s="249"/>
      <c r="R225" s="249"/>
      <c r="S225" s="249"/>
      <c r="T225" s="267"/>
      <c r="U225" s="267"/>
      <c r="V225" s="267"/>
      <c r="W225" s="249"/>
      <c r="X225" s="249"/>
      <c r="Y225" s="249"/>
      <c r="Z225" s="249"/>
      <c r="AA225" s="264"/>
      <c r="AB225" s="249"/>
      <c r="AC225" s="249"/>
      <c r="AD225" s="249"/>
      <c r="AE225" s="249"/>
      <c r="AF225" s="249"/>
      <c r="AG225" s="249"/>
      <c r="AH225" s="249"/>
      <c r="AI225" s="249"/>
      <c r="AJ225" s="249"/>
      <c r="AK225" s="249"/>
      <c r="AL225" s="249"/>
      <c r="AM225" s="249"/>
      <c r="AN225" s="249"/>
      <c r="AO225" s="249"/>
      <c r="AP225" s="249"/>
      <c r="AQ225" s="66"/>
      <c r="AR225" s="66"/>
    </row>
    <row r="226" spans="1:44" x14ac:dyDescent="0.25">
      <c r="A226" s="264"/>
      <c r="B226" s="264"/>
      <c r="C226" s="264"/>
      <c r="D226" s="264"/>
      <c r="E226" s="264"/>
      <c r="F226" s="264"/>
      <c r="G226" s="264"/>
      <c r="H226" s="264"/>
      <c r="I226" s="249"/>
      <c r="J226" s="249"/>
      <c r="K226" s="249"/>
      <c r="L226" s="249"/>
      <c r="M226" s="249"/>
      <c r="N226" s="264"/>
      <c r="O226" s="249"/>
      <c r="P226" s="249"/>
      <c r="Q226" s="249"/>
      <c r="R226" s="249"/>
      <c r="S226" s="249"/>
      <c r="T226" s="267"/>
      <c r="U226" s="267"/>
      <c r="V226" s="267"/>
      <c r="W226" s="249"/>
      <c r="X226" s="249"/>
      <c r="Y226" s="249"/>
      <c r="Z226" s="249"/>
      <c r="AA226" s="264"/>
      <c r="AB226" s="249"/>
      <c r="AC226" s="249"/>
      <c r="AD226" s="249"/>
      <c r="AE226" s="249"/>
      <c r="AF226" s="249"/>
      <c r="AG226" s="249"/>
      <c r="AH226" s="249"/>
      <c r="AI226" s="249"/>
      <c r="AJ226" s="249"/>
      <c r="AK226" s="249"/>
      <c r="AL226" s="249"/>
      <c r="AM226" s="249"/>
      <c r="AN226" s="249"/>
      <c r="AO226" s="249"/>
      <c r="AP226" s="249"/>
      <c r="AQ226" s="66"/>
      <c r="AR226" s="66"/>
    </row>
    <row r="227" spans="1:44" x14ac:dyDescent="0.25">
      <c r="A227" s="264"/>
      <c r="B227" s="264"/>
      <c r="C227" s="264"/>
      <c r="D227" s="264"/>
      <c r="E227" s="264"/>
      <c r="F227" s="264"/>
      <c r="G227" s="264"/>
      <c r="H227" s="264"/>
      <c r="I227" s="249"/>
      <c r="J227" s="249"/>
      <c r="K227" s="249"/>
      <c r="L227" s="249"/>
      <c r="M227" s="249"/>
      <c r="N227" s="264"/>
      <c r="O227" s="249"/>
      <c r="P227" s="249"/>
      <c r="Q227" s="249"/>
      <c r="R227" s="249"/>
      <c r="S227" s="249"/>
      <c r="T227" s="267"/>
      <c r="U227" s="267"/>
      <c r="V227" s="267"/>
      <c r="W227" s="249"/>
      <c r="X227" s="249"/>
      <c r="Y227" s="249"/>
      <c r="Z227" s="249"/>
      <c r="AA227" s="264"/>
      <c r="AB227" s="249"/>
      <c r="AC227" s="249"/>
      <c r="AD227" s="249"/>
      <c r="AE227" s="249"/>
      <c r="AF227" s="249"/>
      <c r="AG227" s="249"/>
      <c r="AH227" s="249"/>
      <c r="AI227" s="249"/>
      <c r="AJ227" s="249"/>
      <c r="AK227" s="249"/>
      <c r="AL227" s="249"/>
      <c r="AM227" s="249"/>
      <c r="AN227" s="249"/>
      <c r="AO227" s="249"/>
      <c r="AP227" s="249"/>
      <c r="AQ227" s="66"/>
      <c r="AR227" s="66"/>
    </row>
    <row r="228" spans="1:44" x14ac:dyDescent="0.25">
      <c r="A228" s="264"/>
      <c r="B228" s="264"/>
      <c r="C228" s="264"/>
      <c r="D228" s="264"/>
      <c r="E228" s="264"/>
      <c r="F228" s="264"/>
      <c r="G228" s="264"/>
      <c r="H228" s="264"/>
      <c r="I228" s="249"/>
      <c r="J228" s="249"/>
      <c r="K228" s="249"/>
      <c r="L228" s="249"/>
      <c r="M228" s="249"/>
      <c r="N228" s="264"/>
      <c r="O228" s="249"/>
      <c r="P228" s="249"/>
      <c r="Q228" s="249"/>
      <c r="R228" s="249"/>
      <c r="S228" s="249"/>
      <c r="T228" s="267"/>
      <c r="U228" s="267"/>
      <c r="V228" s="267"/>
      <c r="W228" s="249"/>
      <c r="X228" s="249"/>
      <c r="Y228" s="249"/>
      <c r="Z228" s="249"/>
      <c r="AA228" s="264"/>
      <c r="AB228" s="249"/>
      <c r="AC228" s="249"/>
      <c r="AD228" s="249"/>
      <c r="AE228" s="249"/>
      <c r="AF228" s="249"/>
      <c r="AG228" s="249"/>
      <c r="AH228" s="249"/>
      <c r="AI228" s="249"/>
      <c r="AJ228" s="249"/>
      <c r="AK228" s="249"/>
      <c r="AL228" s="249"/>
      <c r="AM228" s="249"/>
      <c r="AN228" s="249"/>
      <c r="AO228" s="249"/>
      <c r="AP228" s="249"/>
      <c r="AQ228" s="66"/>
      <c r="AR228" s="66"/>
    </row>
    <row r="229" spans="1:44" x14ac:dyDescent="0.25">
      <c r="A229" s="264"/>
      <c r="B229" s="264"/>
      <c r="C229" s="264"/>
      <c r="D229" s="264"/>
      <c r="E229" s="264"/>
      <c r="F229" s="264"/>
      <c r="G229" s="264"/>
      <c r="H229" s="264"/>
      <c r="I229" s="249"/>
      <c r="J229" s="249"/>
      <c r="K229" s="249"/>
      <c r="L229" s="249"/>
      <c r="M229" s="249"/>
      <c r="N229" s="264"/>
      <c r="O229" s="249"/>
      <c r="P229" s="249"/>
      <c r="Q229" s="249"/>
      <c r="R229" s="249"/>
      <c r="S229" s="249"/>
      <c r="T229" s="267"/>
      <c r="U229" s="267"/>
      <c r="V229" s="267"/>
      <c r="W229" s="249"/>
      <c r="X229" s="249"/>
      <c r="Y229" s="249"/>
      <c r="Z229" s="249"/>
      <c r="AA229" s="264"/>
      <c r="AB229" s="249"/>
      <c r="AC229" s="249"/>
      <c r="AD229" s="249"/>
      <c r="AE229" s="249"/>
      <c r="AF229" s="249"/>
      <c r="AG229" s="249"/>
      <c r="AH229" s="249"/>
      <c r="AI229" s="249"/>
      <c r="AJ229" s="249"/>
      <c r="AK229" s="249"/>
      <c r="AL229" s="249"/>
      <c r="AM229" s="249"/>
      <c r="AN229" s="249"/>
      <c r="AO229" s="249"/>
      <c r="AP229" s="249"/>
      <c r="AQ229" s="66"/>
      <c r="AR229" s="66"/>
    </row>
    <row r="230" spans="1:44" x14ac:dyDescent="0.25">
      <c r="A230" s="264"/>
      <c r="B230" s="264"/>
      <c r="C230" s="264"/>
      <c r="D230" s="264"/>
      <c r="E230" s="264"/>
      <c r="F230" s="264"/>
      <c r="G230" s="264"/>
      <c r="H230" s="264"/>
      <c r="I230" s="249"/>
      <c r="J230" s="249"/>
      <c r="K230" s="249"/>
      <c r="L230" s="249"/>
      <c r="M230" s="249"/>
      <c r="N230" s="264"/>
      <c r="O230" s="249"/>
      <c r="P230" s="249"/>
      <c r="Q230" s="249"/>
      <c r="R230" s="249"/>
      <c r="S230" s="249"/>
      <c r="T230" s="267"/>
      <c r="U230" s="267"/>
      <c r="V230" s="267"/>
      <c r="W230" s="249"/>
      <c r="X230" s="249"/>
      <c r="Y230" s="249"/>
      <c r="Z230" s="249"/>
      <c r="AA230" s="264"/>
      <c r="AB230" s="249"/>
      <c r="AC230" s="249"/>
      <c r="AD230" s="249"/>
      <c r="AE230" s="249"/>
      <c r="AF230" s="249"/>
      <c r="AG230" s="249"/>
      <c r="AH230" s="249"/>
      <c r="AI230" s="249"/>
      <c r="AJ230" s="249"/>
      <c r="AK230" s="249"/>
      <c r="AL230" s="249"/>
      <c r="AM230" s="249"/>
      <c r="AN230" s="249"/>
      <c r="AO230" s="249"/>
      <c r="AP230" s="249"/>
      <c r="AQ230" s="66"/>
      <c r="AR230" s="66"/>
    </row>
    <row r="231" spans="1:44" x14ac:dyDescent="0.25">
      <c r="A231" s="264"/>
      <c r="B231" s="264"/>
      <c r="C231" s="264"/>
      <c r="D231" s="264"/>
      <c r="E231" s="264"/>
      <c r="F231" s="264"/>
      <c r="G231" s="264"/>
      <c r="H231" s="264"/>
      <c r="I231" s="249"/>
      <c r="J231" s="249"/>
      <c r="K231" s="249"/>
      <c r="L231" s="249"/>
      <c r="M231" s="249"/>
      <c r="N231" s="264"/>
      <c r="O231" s="249"/>
      <c r="P231" s="249"/>
      <c r="Q231" s="249"/>
      <c r="R231" s="249"/>
      <c r="S231" s="249"/>
      <c r="T231" s="267"/>
      <c r="U231" s="267"/>
      <c r="V231" s="267"/>
      <c r="W231" s="249"/>
      <c r="X231" s="249"/>
      <c r="Y231" s="249"/>
      <c r="Z231" s="249"/>
      <c r="AA231" s="264"/>
      <c r="AB231" s="249"/>
      <c r="AC231" s="249"/>
      <c r="AD231" s="249"/>
      <c r="AE231" s="249"/>
      <c r="AF231" s="249"/>
      <c r="AG231" s="249"/>
      <c r="AH231" s="249"/>
      <c r="AI231" s="249"/>
      <c r="AJ231" s="249"/>
      <c r="AK231" s="249"/>
      <c r="AL231" s="249"/>
      <c r="AM231" s="249"/>
      <c r="AN231" s="249"/>
      <c r="AO231" s="249"/>
      <c r="AP231" s="249"/>
      <c r="AQ231" s="66"/>
      <c r="AR231" s="66"/>
    </row>
    <row r="232" spans="1:44" x14ac:dyDescent="0.25">
      <c r="A232" s="264"/>
      <c r="B232" s="264"/>
      <c r="C232" s="264"/>
      <c r="D232" s="264"/>
      <c r="E232" s="264"/>
      <c r="F232" s="264"/>
      <c r="G232" s="264"/>
      <c r="H232" s="264"/>
      <c r="I232" s="249"/>
      <c r="J232" s="249"/>
      <c r="K232" s="249"/>
      <c r="L232" s="249"/>
      <c r="M232" s="249"/>
      <c r="N232" s="264"/>
      <c r="O232" s="249"/>
      <c r="P232" s="249"/>
      <c r="Q232" s="249"/>
      <c r="R232" s="249"/>
      <c r="S232" s="249"/>
      <c r="T232" s="267"/>
      <c r="U232" s="267"/>
      <c r="V232" s="267"/>
      <c r="W232" s="249"/>
      <c r="X232" s="249"/>
      <c r="Y232" s="249"/>
      <c r="Z232" s="249"/>
      <c r="AA232" s="264"/>
      <c r="AB232" s="249"/>
      <c r="AC232" s="249"/>
      <c r="AD232" s="249"/>
      <c r="AE232" s="249"/>
      <c r="AF232" s="249"/>
      <c r="AG232" s="249"/>
      <c r="AH232" s="249"/>
      <c r="AI232" s="249"/>
      <c r="AJ232" s="249"/>
      <c r="AK232" s="249"/>
      <c r="AL232" s="249"/>
      <c r="AM232" s="249"/>
      <c r="AN232" s="249"/>
      <c r="AO232" s="249"/>
      <c r="AP232" s="249"/>
      <c r="AQ232" s="66"/>
      <c r="AR232" s="66"/>
    </row>
    <row r="233" spans="1:44" x14ac:dyDescent="0.25">
      <c r="A233" s="264"/>
      <c r="B233" s="264"/>
      <c r="C233" s="264"/>
      <c r="D233" s="264"/>
      <c r="E233" s="264"/>
      <c r="F233" s="264"/>
      <c r="G233" s="264"/>
      <c r="H233" s="264"/>
      <c r="I233" s="249"/>
      <c r="J233" s="249"/>
      <c r="K233" s="249"/>
      <c r="L233" s="249"/>
      <c r="M233" s="249"/>
      <c r="N233" s="264"/>
      <c r="O233" s="249"/>
      <c r="P233" s="249"/>
      <c r="Q233" s="249"/>
      <c r="R233" s="249"/>
      <c r="S233" s="249"/>
      <c r="T233" s="267"/>
      <c r="U233" s="267"/>
      <c r="V233" s="267"/>
      <c r="W233" s="249"/>
      <c r="X233" s="249"/>
      <c r="Y233" s="249"/>
      <c r="Z233" s="249"/>
      <c r="AA233" s="264"/>
      <c r="AB233" s="249"/>
      <c r="AC233" s="249"/>
      <c r="AD233" s="249"/>
      <c r="AE233" s="249"/>
      <c r="AF233" s="249"/>
      <c r="AG233" s="249"/>
      <c r="AH233" s="249"/>
      <c r="AI233" s="249"/>
      <c r="AJ233" s="249"/>
      <c r="AK233" s="249"/>
      <c r="AL233" s="249"/>
      <c r="AM233" s="249"/>
      <c r="AN233" s="249"/>
      <c r="AO233" s="249"/>
      <c r="AP233" s="249"/>
      <c r="AQ233" s="66"/>
      <c r="AR233" s="66"/>
    </row>
    <row r="234" spans="1:44" x14ac:dyDescent="0.25">
      <c r="A234" s="264"/>
      <c r="B234" s="264"/>
      <c r="C234" s="264"/>
      <c r="D234" s="264"/>
      <c r="E234" s="264"/>
      <c r="F234" s="264"/>
      <c r="G234" s="264"/>
      <c r="H234" s="264"/>
      <c r="I234" s="249"/>
      <c r="J234" s="249"/>
      <c r="K234" s="249"/>
      <c r="L234" s="249"/>
      <c r="M234" s="249"/>
      <c r="N234" s="264"/>
      <c r="O234" s="249"/>
      <c r="P234" s="249"/>
      <c r="Q234" s="249"/>
      <c r="R234" s="249"/>
      <c r="S234" s="249"/>
      <c r="T234" s="267"/>
      <c r="U234" s="267"/>
      <c r="V234" s="267"/>
      <c r="W234" s="249"/>
      <c r="X234" s="249"/>
      <c r="Y234" s="249"/>
      <c r="Z234" s="249"/>
      <c r="AA234" s="264"/>
      <c r="AB234" s="249"/>
      <c r="AC234" s="249"/>
      <c r="AD234" s="249"/>
      <c r="AE234" s="249"/>
      <c r="AF234" s="249"/>
      <c r="AG234" s="249"/>
      <c r="AH234" s="249"/>
      <c r="AI234" s="249"/>
      <c r="AJ234" s="249"/>
      <c r="AK234" s="249"/>
      <c r="AL234" s="249"/>
      <c r="AM234" s="249"/>
      <c r="AN234" s="249"/>
      <c r="AO234" s="249"/>
      <c r="AP234" s="249"/>
      <c r="AQ234" s="66"/>
      <c r="AR234" s="66"/>
    </row>
    <row r="235" spans="1:44" x14ac:dyDescent="0.25">
      <c r="A235" s="264"/>
      <c r="B235" s="264"/>
      <c r="C235" s="264"/>
      <c r="D235" s="264"/>
      <c r="E235" s="264"/>
      <c r="F235" s="264"/>
      <c r="G235" s="264"/>
      <c r="H235" s="264"/>
      <c r="I235" s="249"/>
      <c r="J235" s="249"/>
      <c r="K235" s="249"/>
      <c r="L235" s="249"/>
      <c r="M235" s="249"/>
      <c r="N235" s="264"/>
      <c r="O235" s="249"/>
      <c r="P235" s="249"/>
      <c r="Q235" s="249"/>
      <c r="R235" s="249"/>
      <c r="S235" s="249"/>
      <c r="T235" s="267"/>
      <c r="U235" s="267"/>
      <c r="V235" s="267"/>
      <c r="W235" s="249"/>
      <c r="X235" s="249"/>
      <c r="Y235" s="249"/>
      <c r="Z235" s="249"/>
      <c r="AA235" s="264"/>
      <c r="AB235" s="249"/>
      <c r="AC235" s="249"/>
      <c r="AD235" s="249"/>
      <c r="AE235" s="249"/>
      <c r="AF235" s="249"/>
      <c r="AG235" s="249"/>
      <c r="AH235" s="249"/>
      <c r="AI235" s="249"/>
      <c r="AJ235" s="249"/>
      <c r="AK235" s="249"/>
      <c r="AL235" s="249"/>
      <c r="AM235" s="249"/>
      <c r="AN235" s="249"/>
      <c r="AO235" s="249"/>
      <c r="AP235" s="249"/>
      <c r="AQ235" s="66"/>
      <c r="AR235" s="66"/>
    </row>
    <row r="236" spans="1:44" x14ac:dyDescent="0.25">
      <c r="A236" s="264"/>
      <c r="B236" s="264"/>
      <c r="C236" s="264"/>
      <c r="D236" s="264"/>
      <c r="E236" s="264"/>
      <c r="F236" s="264"/>
      <c r="G236" s="264"/>
      <c r="H236" s="264"/>
      <c r="I236" s="249"/>
      <c r="J236" s="249"/>
      <c r="K236" s="249"/>
      <c r="L236" s="249"/>
      <c r="M236" s="249"/>
      <c r="N236" s="264"/>
      <c r="O236" s="249"/>
      <c r="P236" s="249"/>
      <c r="Q236" s="249"/>
      <c r="R236" s="249"/>
      <c r="S236" s="249"/>
      <c r="T236" s="267"/>
      <c r="U236" s="267"/>
      <c r="V236" s="267"/>
      <c r="W236" s="249"/>
      <c r="X236" s="249"/>
      <c r="Y236" s="249"/>
      <c r="Z236" s="249"/>
      <c r="AA236" s="264"/>
      <c r="AB236" s="249"/>
      <c r="AC236" s="249"/>
      <c r="AD236" s="249"/>
      <c r="AE236" s="249"/>
      <c r="AF236" s="249"/>
      <c r="AG236" s="249"/>
      <c r="AH236" s="249"/>
      <c r="AI236" s="249"/>
      <c r="AJ236" s="249"/>
      <c r="AK236" s="249"/>
      <c r="AL236" s="249"/>
      <c r="AM236" s="249"/>
      <c r="AN236" s="249"/>
      <c r="AO236" s="249"/>
      <c r="AP236" s="249"/>
      <c r="AQ236" s="66"/>
      <c r="AR236" s="66"/>
    </row>
    <row r="237" spans="1:44" x14ac:dyDescent="0.25">
      <c r="A237" s="264"/>
      <c r="B237" s="264"/>
      <c r="C237" s="264"/>
      <c r="D237" s="264"/>
      <c r="E237" s="264"/>
      <c r="F237" s="264"/>
      <c r="G237" s="264"/>
      <c r="H237" s="264"/>
      <c r="I237" s="249"/>
      <c r="J237" s="249"/>
      <c r="K237" s="249"/>
      <c r="L237" s="249"/>
      <c r="M237" s="249"/>
      <c r="N237" s="264"/>
      <c r="O237" s="249"/>
      <c r="P237" s="249"/>
      <c r="Q237" s="249"/>
      <c r="R237" s="249"/>
      <c r="S237" s="249"/>
      <c r="T237" s="267"/>
      <c r="U237" s="267"/>
      <c r="V237" s="267"/>
      <c r="W237" s="249"/>
      <c r="X237" s="249"/>
      <c r="Y237" s="249"/>
      <c r="Z237" s="249"/>
      <c r="AA237" s="264"/>
      <c r="AB237" s="249"/>
      <c r="AC237" s="249"/>
      <c r="AD237" s="249"/>
      <c r="AE237" s="249"/>
      <c r="AF237" s="249"/>
      <c r="AG237" s="249"/>
      <c r="AH237" s="249"/>
      <c r="AI237" s="249"/>
      <c r="AJ237" s="249"/>
      <c r="AK237" s="249"/>
      <c r="AL237" s="249"/>
      <c r="AM237" s="249"/>
      <c r="AN237" s="249"/>
      <c r="AO237" s="249"/>
      <c r="AP237" s="249"/>
      <c r="AQ237" s="66"/>
      <c r="AR237" s="66"/>
    </row>
    <row r="238" spans="1:44" x14ac:dyDescent="0.25">
      <c r="A238" s="264"/>
      <c r="B238" s="264"/>
      <c r="C238" s="264"/>
      <c r="D238" s="264"/>
      <c r="E238" s="264"/>
      <c r="F238" s="264"/>
      <c r="G238" s="264"/>
      <c r="H238" s="264"/>
      <c r="I238" s="249"/>
      <c r="J238" s="249"/>
      <c r="K238" s="249"/>
      <c r="L238" s="249"/>
      <c r="M238" s="249"/>
      <c r="N238" s="264"/>
      <c r="O238" s="249"/>
      <c r="P238" s="249"/>
      <c r="Q238" s="249"/>
      <c r="R238" s="249"/>
      <c r="S238" s="249"/>
      <c r="T238" s="267"/>
      <c r="U238" s="267"/>
      <c r="V238" s="267"/>
      <c r="W238" s="249"/>
      <c r="X238" s="249"/>
      <c r="Y238" s="249"/>
      <c r="Z238" s="249"/>
      <c r="AA238" s="264"/>
      <c r="AB238" s="249"/>
      <c r="AC238" s="249"/>
      <c r="AD238" s="249"/>
      <c r="AE238" s="249"/>
      <c r="AF238" s="249"/>
      <c r="AG238" s="249"/>
      <c r="AH238" s="249"/>
      <c r="AI238" s="249"/>
      <c r="AJ238" s="249"/>
      <c r="AK238" s="249"/>
      <c r="AL238" s="249"/>
      <c r="AM238" s="249"/>
      <c r="AN238" s="249"/>
      <c r="AO238" s="249"/>
      <c r="AP238" s="249"/>
      <c r="AQ238" s="66"/>
      <c r="AR238" s="66"/>
    </row>
    <row r="239" spans="1:44" x14ac:dyDescent="0.25">
      <c r="A239" s="264"/>
      <c r="B239" s="264"/>
      <c r="C239" s="264"/>
      <c r="D239" s="264"/>
      <c r="E239" s="264"/>
      <c r="F239" s="264"/>
      <c r="G239" s="264"/>
      <c r="H239" s="264"/>
      <c r="I239" s="249"/>
      <c r="J239" s="249"/>
      <c r="K239" s="249"/>
      <c r="L239" s="249"/>
      <c r="M239" s="249"/>
      <c r="N239" s="264"/>
      <c r="O239" s="249"/>
      <c r="P239" s="249"/>
      <c r="Q239" s="249"/>
      <c r="R239" s="249"/>
      <c r="S239" s="249"/>
      <c r="T239" s="267"/>
      <c r="U239" s="267"/>
      <c r="V239" s="267"/>
      <c r="W239" s="249"/>
      <c r="X239" s="249"/>
      <c r="Y239" s="249"/>
      <c r="Z239" s="249"/>
      <c r="AA239" s="264"/>
      <c r="AB239" s="249"/>
      <c r="AC239" s="249"/>
      <c r="AD239" s="249"/>
      <c r="AE239" s="249"/>
      <c r="AF239" s="249"/>
      <c r="AG239" s="249"/>
      <c r="AH239" s="249"/>
      <c r="AI239" s="249"/>
      <c r="AJ239" s="249"/>
      <c r="AK239" s="249"/>
      <c r="AL239" s="249"/>
      <c r="AM239" s="249"/>
      <c r="AN239" s="249"/>
      <c r="AO239" s="249"/>
      <c r="AP239" s="249"/>
      <c r="AQ239" s="66"/>
      <c r="AR239" s="66"/>
    </row>
    <row r="240" spans="1:44" x14ac:dyDescent="0.25">
      <c r="A240" s="264"/>
      <c r="B240" s="264"/>
      <c r="C240" s="264"/>
      <c r="D240" s="264"/>
      <c r="E240" s="264"/>
      <c r="F240" s="264"/>
      <c r="G240" s="264"/>
      <c r="H240" s="264"/>
      <c r="I240" s="249"/>
      <c r="J240" s="249"/>
      <c r="K240" s="249"/>
      <c r="L240" s="249"/>
      <c r="M240" s="249"/>
      <c r="N240" s="264"/>
      <c r="O240" s="249"/>
      <c r="P240" s="249"/>
      <c r="Q240" s="249"/>
      <c r="R240" s="249"/>
      <c r="S240" s="249"/>
      <c r="T240" s="267"/>
      <c r="U240" s="267"/>
      <c r="V240" s="267"/>
      <c r="W240" s="249"/>
      <c r="X240" s="249"/>
      <c r="Y240" s="249"/>
      <c r="Z240" s="249"/>
      <c r="AA240" s="264"/>
      <c r="AB240" s="249"/>
      <c r="AC240" s="249"/>
      <c r="AD240" s="249"/>
      <c r="AE240" s="249"/>
      <c r="AF240" s="249"/>
      <c r="AG240" s="249"/>
      <c r="AH240" s="249"/>
      <c r="AI240" s="249"/>
      <c r="AJ240" s="249"/>
      <c r="AK240" s="249"/>
      <c r="AL240" s="249"/>
      <c r="AM240" s="249"/>
      <c r="AN240" s="249"/>
      <c r="AO240" s="249"/>
      <c r="AP240" s="249"/>
      <c r="AQ240" s="66"/>
      <c r="AR240" s="66"/>
    </row>
    <row r="241" spans="1:44" x14ac:dyDescent="0.25">
      <c r="A241" s="264"/>
      <c r="B241" s="264"/>
      <c r="C241" s="264"/>
      <c r="D241" s="264"/>
      <c r="E241" s="264"/>
      <c r="F241" s="264"/>
      <c r="G241" s="264"/>
      <c r="H241" s="264"/>
      <c r="I241" s="249"/>
      <c r="J241" s="249"/>
      <c r="K241" s="249"/>
      <c r="L241" s="249"/>
      <c r="M241" s="249"/>
      <c r="N241" s="264"/>
      <c r="O241" s="249"/>
      <c r="P241" s="249"/>
      <c r="Q241" s="249"/>
      <c r="R241" s="249"/>
      <c r="S241" s="249"/>
      <c r="T241" s="267"/>
      <c r="U241" s="267"/>
      <c r="V241" s="267"/>
      <c r="W241" s="249"/>
      <c r="X241" s="249"/>
      <c r="Y241" s="249"/>
      <c r="Z241" s="249"/>
      <c r="AA241" s="264"/>
      <c r="AB241" s="249"/>
      <c r="AC241" s="249"/>
      <c r="AD241" s="249"/>
      <c r="AE241" s="249"/>
      <c r="AF241" s="249"/>
      <c r="AG241" s="249"/>
      <c r="AH241" s="249"/>
      <c r="AI241" s="249"/>
      <c r="AJ241" s="249"/>
      <c r="AK241" s="249"/>
      <c r="AL241" s="249"/>
      <c r="AM241" s="249"/>
      <c r="AN241" s="249"/>
      <c r="AO241" s="249"/>
      <c r="AP241" s="249"/>
      <c r="AQ241" s="66"/>
      <c r="AR241" s="66"/>
    </row>
    <row r="242" spans="1:44" x14ac:dyDescent="0.25">
      <c r="A242" s="264"/>
      <c r="B242" s="264"/>
      <c r="C242" s="264"/>
      <c r="D242" s="264"/>
      <c r="E242" s="264"/>
      <c r="F242" s="264"/>
      <c r="G242" s="264"/>
      <c r="H242" s="264"/>
      <c r="I242" s="249"/>
      <c r="J242" s="249"/>
      <c r="K242" s="249"/>
      <c r="L242" s="249"/>
      <c r="M242" s="249"/>
      <c r="N242" s="264"/>
      <c r="O242" s="249"/>
      <c r="P242" s="249"/>
      <c r="Q242" s="249"/>
      <c r="R242" s="249"/>
      <c r="S242" s="249"/>
      <c r="T242" s="267"/>
      <c r="U242" s="267"/>
      <c r="V242" s="267"/>
      <c r="W242" s="249"/>
      <c r="X242" s="249"/>
      <c r="Y242" s="249"/>
      <c r="Z242" s="249"/>
      <c r="AA242" s="264"/>
      <c r="AB242" s="249"/>
      <c r="AC242" s="249"/>
      <c r="AD242" s="249"/>
      <c r="AE242" s="249"/>
      <c r="AF242" s="249"/>
      <c r="AG242" s="249"/>
      <c r="AH242" s="249"/>
      <c r="AI242" s="249"/>
      <c r="AJ242" s="249"/>
      <c r="AK242" s="249"/>
      <c r="AL242" s="249"/>
      <c r="AM242" s="249"/>
      <c r="AN242" s="249"/>
      <c r="AO242" s="249"/>
      <c r="AP242" s="249"/>
      <c r="AQ242" s="66"/>
      <c r="AR242" s="66"/>
    </row>
    <row r="243" spans="1:44" x14ac:dyDescent="0.25">
      <c r="A243" s="264"/>
      <c r="B243" s="264"/>
      <c r="C243" s="264"/>
      <c r="D243" s="264"/>
      <c r="E243" s="264"/>
      <c r="F243" s="264"/>
      <c r="G243" s="264"/>
      <c r="H243" s="264"/>
      <c r="I243" s="249"/>
      <c r="J243" s="249"/>
      <c r="K243" s="249"/>
      <c r="L243" s="249"/>
      <c r="M243" s="249"/>
      <c r="N243" s="264"/>
      <c r="O243" s="249"/>
      <c r="P243" s="249"/>
      <c r="Q243" s="249"/>
      <c r="R243" s="249"/>
      <c r="S243" s="249"/>
      <c r="T243" s="267"/>
      <c r="U243" s="267"/>
      <c r="V243" s="267"/>
      <c r="W243" s="249"/>
      <c r="X243" s="249"/>
      <c r="Y243" s="249"/>
      <c r="Z243" s="249"/>
      <c r="AA243" s="264"/>
      <c r="AB243" s="249"/>
      <c r="AC243" s="249"/>
      <c r="AD243" s="249"/>
      <c r="AE243" s="249"/>
      <c r="AF243" s="249"/>
      <c r="AG243" s="249"/>
      <c r="AH243" s="249"/>
      <c r="AI243" s="249"/>
      <c r="AJ243" s="249"/>
      <c r="AK243" s="249"/>
      <c r="AL243" s="249"/>
      <c r="AM243" s="249"/>
      <c r="AN243" s="249"/>
      <c r="AO243" s="249"/>
      <c r="AP243" s="249"/>
      <c r="AQ243" s="66"/>
      <c r="AR243" s="66"/>
    </row>
    <row r="244" spans="1:44" x14ac:dyDescent="0.25">
      <c r="A244" s="264"/>
      <c r="B244" s="264"/>
      <c r="C244" s="264"/>
      <c r="D244" s="264"/>
      <c r="E244" s="264"/>
      <c r="F244" s="264"/>
      <c r="G244" s="264"/>
      <c r="H244" s="264"/>
      <c r="I244" s="249"/>
      <c r="J244" s="249"/>
      <c r="K244" s="249"/>
      <c r="L244" s="249"/>
      <c r="M244" s="249"/>
      <c r="N244" s="264"/>
      <c r="O244" s="249"/>
      <c r="P244" s="249"/>
      <c r="Q244" s="249"/>
      <c r="R244" s="249"/>
      <c r="S244" s="249"/>
      <c r="T244" s="267"/>
      <c r="U244" s="267"/>
      <c r="V244" s="267"/>
      <c r="W244" s="249"/>
      <c r="X244" s="249"/>
      <c r="Y244" s="249"/>
      <c r="Z244" s="249"/>
      <c r="AA244" s="264"/>
      <c r="AB244" s="249"/>
      <c r="AC244" s="249"/>
      <c r="AD244" s="249"/>
      <c r="AE244" s="249"/>
      <c r="AF244" s="249"/>
      <c r="AG244" s="249"/>
      <c r="AH244" s="249"/>
      <c r="AI244" s="249"/>
      <c r="AJ244" s="249"/>
      <c r="AK244" s="249"/>
      <c r="AL244" s="249"/>
      <c r="AM244" s="249"/>
      <c r="AN244" s="249"/>
      <c r="AO244" s="249"/>
      <c r="AP244" s="249"/>
      <c r="AQ244" s="66"/>
      <c r="AR244" s="66"/>
    </row>
    <row r="245" spans="1:44" x14ac:dyDescent="0.25">
      <c r="A245" s="268" t="e">
        <f>#REF!</f>
        <v>#REF!</v>
      </c>
      <c r="B245" s="268" t="e">
        <f>#REF!</f>
        <v>#REF!</v>
      </c>
      <c r="C245" s="268" t="e">
        <f>#REF!</f>
        <v>#REF!</v>
      </c>
      <c r="D245" s="268" t="e">
        <f>#REF!</f>
        <v>#REF!</v>
      </c>
      <c r="E245" s="268" t="e">
        <f>#REF!</f>
        <v>#REF!</v>
      </c>
      <c r="F245" s="268" t="e">
        <f>#REF!</f>
        <v>#REF!</v>
      </c>
      <c r="G245" s="268" t="e">
        <f>#REF!</f>
        <v>#REF!</v>
      </c>
      <c r="H245" s="268" t="e">
        <f>#REF!</f>
        <v>#REF!</v>
      </c>
      <c r="I245" s="269"/>
      <c r="J245" s="269"/>
      <c r="K245" s="269"/>
      <c r="L245" s="269"/>
      <c r="M245" s="269"/>
      <c r="N245" s="268" t="e">
        <f t="shared" ref="N245:P249" si="3">H245+K245</f>
        <v>#REF!</v>
      </c>
      <c r="O245" s="269">
        <f t="shared" si="3"/>
        <v>0</v>
      </c>
      <c r="P245" s="269">
        <f t="shared" si="3"/>
        <v>0</v>
      </c>
      <c r="Q245" s="269"/>
      <c r="R245" s="269"/>
      <c r="S245" s="269">
        <f t="shared" ref="S245:S249" si="4">Q245+R245</f>
        <v>0</v>
      </c>
      <c r="T245" s="270" t="e">
        <f>#REF!</f>
        <v>#REF!</v>
      </c>
      <c r="U245" s="270" t="e">
        <f>#REF!</f>
        <v>#REF!</v>
      </c>
      <c r="V245" s="270" t="e">
        <f>#REF!</f>
        <v>#REF!</v>
      </c>
      <c r="W245" s="269"/>
      <c r="X245" s="269"/>
      <c r="Y245" s="269"/>
      <c r="Z245" s="269"/>
      <c r="AA245" s="268" t="e">
        <f>#REF!</f>
        <v>#REF!</v>
      </c>
      <c r="AB245" s="269"/>
      <c r="AC245" s="269"/>
      <c r="AD245" s="269"/>
      <c r="AE245" s="269" t="e">
        <f>#REF!</f>
        <v>#REF!</v>
      </c>
      <c r="AF245" s="269" t="e">
        <f>#REF!</f>
        <v>#REF!</v>
      </c>
      <c r="AG245" s="269" t="e">
        <f>#REF!</f>
        <v>#REF!</v>
      </c>
      <c r="AH245" s="269" t="e">
        <f>#REF!</f>
        <v>#REF!</v>
      </c>
      <c r="AI245" s="269" t="e">
        <f>#REF!</f>
        <v>#REF!</v>
      </c>
      <c r="AJ245" s="269" t="e">
        <f>#REF!</f>
        <v>#REF!</v>
      </c>
      <c r="AK245" s="269" t="e">
        <f>#REF!</f>
        <v>#REF!</v>
      </c>
      <c r="AL245" s="269" t="e">
        <f>#REF!</f>
        <v>#REF!</v>
      </c>
      <c r="AM245" s="269" t="e">
        <f>#REF!</f>
        <v>#REF!</v>
      </c>
      <c r="AN245" s="269" t="e">
        <f>#REF!</f>
        <v>#REF!</v>
      </c>
      <c r="AO245" s="269" t="e">
        <f>#REF!</f>
        <v>#REF!</v>
      </c>
      <c r="AP245" s="269" t="e">
        <f>#REF!</f>
        <v>#REF!</v>
      </c>
    </row>
    <row r="246" spans="1:44" x14ac:dyDescent="0.25">
      <c r="A246" s="245" t="e">
        <f>#REF!</f>
        <v>#REF!</v>
      </c>
      <c r="B246" s="245" t="e">
        <f>#REF!</f>
        <v>#REF!</v>
      </c>
      <c r="C246" s="245" t="e">
        <f>#REF!</f>
        <v>#REF!</v>
      </c>
      <c r="D246" s="245" t="e">
        <f>#REF!</f>
        <v>#REF!</v>
      </c>
      <c r="E246" s="245" t="e">
        <f>#REF!</f>
        <v>#REF!</v>
      </c>
      <c r="F246" s="245" t="e">
        <f>#REF!</f>
        <v>#REF!</v>
      </c>
      <c r="G246" s="245" t="e">
        <f>#REF!</f>
        <v>#REF!</v>
      </c>
      <c r="H246" s="245" t="e">
        <f>#REF!</f>
        <v>#REF!</v>
      </c>
      <c r="I246" s="124"/>
      <c r="J246" s="124"/>
      <c r="K246" s="124"/>
      <c r="L246" s="124"/>
      <c r="M246" s="124"/>
      <c r="N246" s="245" t="e">
        <f t="shared" si="3"/>
        <v>#REF!</v>
      </c>
      <c r="O246" s="124">
        <f t="shared" si="3"/>
        <v>0</v>
      </c>
      <c r="P246" s="124">
        <f t="shared" si="3"/>
        <v>0</v>
      </c>
      <c r="Q246" s="124"/>
      <c r="R246" s="124"/>
      <c r="S246" s="124">
        <f t="shared" si="4"/>
        <v>0</v>
      </c>
      <c r="T246" s="37" t="e">
        <f>#REF!</f>
        <v>#REF!</v>
      </c>
      <c r="U246" s="37" t="e">
        <f>#REF!</f>
        <v>#REF!</v>
      </c>
      <c r="V246" s="37" t="e">
        <f>#REF!</f>
        <v>#REF!</v>
      </c>
      <c r="W246" s="124"/>
      <c r="X246" s="124"/>
      <c r="Y246" s="124"/>
      <c r="Z246" s="124"/>
      <c r="AA246" s="245" t="e">
        <f>#REF!</f>
        <v>#REF!</v>
      </c>
      <c r="AB246" s="124"/>
      <c r="AC246" s="124"/>
      <c r="AD246" s="124"/>
      <c r="AE246" s="124" t="e">
        <f>#REF!</f>
        <v>#REF!</v>
      </c>
      <c r="AF246" s="124" t="e">
        <f>#REF!</f>
        <v>#REF!</v>
      </c>
      <c r="AG246" s="124" t="e">
        <f>#REF!</f>
        <v>#REF!</v>
      </c>
      <c r="AH246" s="124" t="e">
        <f>#REF!</f>
        <v>#REF!</v>
      </c>
      <c r="AI246" s="124" t="e">
        <f>#REF!</f>
        <v>#REF!</v>
      </c>
      <c r="AJ246" s="124" t="e">
        <f>#REF!</f>
        <v>#REF!</v>
      </c>
      <c r="AK246" s="124" t="e">
        <f>#REF!</f>
        <v>#REF!</v>
      </c>
      <c r="AL246" s="124" t="e">
        <f>#REF!</f>
        <v>#REF!</v>
      </c>
      <c r="AM246" s="124" t="e">
        <f>#REF!</f>
        <v>#REF!</v>
      </c>
      <c r="AN246" s="124" t="e">
        <f>#REF!</f>
        <v>#REF!</v>
      </c>
      <c r="AO246" s="124" t="e">
        <f>#REF!</f>
        <v>#REF!</v>
      </c>
      <c r="AP246" s="124" t="e">
        <f>#REF!</f>
        <v>#REF!</v>
      </c>
    </row>
    <row r="247" spans="1:44" x14ac:dyDescent="0.25">
      <c r="A247" s="245" t="e">
        <f>#REF!</f>
        <v>#REF!</v>
      </c>
      <c r="B247" s="245" t="e">
        <f>#REF!</f>
        <v>#REF!</v>
      </c>
      <c r="C247" s="245" t="e">
        <f>#REF!</f>
        <v>#REF!</v>
      </c>
      <c r="D247" s="245" t="e">
        <f>#REF!</f>
        <v>#REF!</v>
      </c>
      <c r="E247" s="245" t="e">
        <f>#REF!</f>
        <v>#REF!</v>
      </c>
      <c r="F247" s="245" t="e">
        <f>#REF!</f>
        <v>#REF!</v>
      </c>
      <c r="G247" s="245" t="e">
        <f>#REF!</f>
        <v>#REF!</v>
      </c>
      <c r="H247" s="245" t="e">
        <f>#REF!</f>
        <v>#REF!</v>
      </c>
      <c r="I247" s="124"/>
      <c r="J247" s="124"/>
      <c r="K247" s="124"/>
      <c r="L247" s="124"/>
      <c r="M247" s="124"/>
      <c r="N247" s="245" t="e">
        <f t="shared" si="3"/>
        <v>#REF!</v>
      </c>
      <c r="O247" s="124">
        <f t="shared" si="3"/>
        <v>0</v>
      </c>
      <c r="P247" s="124">
        <f t="shared" si="3"/>
        <v>0</v>
      </c>
      <c r="Q247" s="124"/>
      <c r="R247" s="124"/>
      <c r="S247" s="124">
        <f t="shared" si="4"/>
        <v>0</v>
      </c>
      <c r="T247" s="37" t="e">
        <f>#REF!</f>
        <v>#REF!</v>
      </c>
      <c r="U247" s="37" t="e">
        <f>#REF!</f>
        <v>#REF!</v>
      </c>
      <c r="V247" s="37" t="e">
        <f>#REF!</f>
        <v>#REF!</v>
      </c>
      <c r="W247" s="124"/>
      <c r="X247" s="124"/>
      <c r="Y247" s="124"/>
      <c r="Z247" s="124"/>
      <c r="AA247" s="245" t="e">
        <f>#REF!</f>
        <v>#REF!</v>
      </c>
      <c r="AB247" s="124"/>
      <c r="AC247" s="124"/>
      <c r="AD247" s="124"/>
      <c r="AE247" s="124" t="e">
        <f>#REF!</f>
        <v>#REF!</v>
      </c>
      <c r="AF247" s="124" t="e">
        <f>#REF!</f>
        <v>#REF!</v>
      </c>
      <c r="AG247" s="124" t="e">
        <f>#REF!</f>
        <v>#REF!</v>
      </c>
      <c r="AH247" s="124" t="e">
        <f>#REF!</f>
        <v>#REF!</v>
      </c>
      <c r="AI247" s="124" t="e">
        <f>#REF!</f>
        <v>#REF!</v>
      </c>
      <c r="AJ247" s="124" t="e">
        <f>#REF!</f>
        <v>#REF!</v>
      </c>
      <c r="AK247" s="124" t="e">
        <f>#REF!</f>
        <v>#REF!</v>
      </c>
      <c r="AL247" s="124" t="e">
        <f>#REF!</f>
        <v>#REF!</v>
      </c>
      <c r="AM247" s="124" t="e">
        <f>#REF!</f>
        <v>#REF!</v>
      </c>
      <c r="AN247" s="124" t="e">
        <f>#REF!</f>
        <v>#REF!</v>
      </c>
      <c r="AO247" s="124" t="e">
        <f>#REF!</f>
        <v>#REF!</v>
      </c>
      <c r="AP247" s="124" t="e">
        <f>#REF!</f>
        <v>#REF!</v>
      </c>
    </row>
    <row r="248" spans="1:44" x14ac:dyDescent="0.25">
      <c r="A248" s="245" t="e">
        <f>#REF!</f>
        <v>#REF!</v>
      </c>
      <c r="B248" s="245" t="e">
        <f>#REF!</f>
        <v>#REF!</v>
      </c>
      <c r="C248" s="245" t="e">
        <f>#REF!</f>
        <v>#REF!</v>
      </c>
      <c r="D248" s="245" t="e">
        <f>#REF!</f>
        <v>#REF!</v>
      </c>
      <c r="E248" s="245" t="e">
        <f>#REF!</f>
        <v>#REF!</v>
      </c>
      <c r="F248" s="245" t="e">
        <f>#REF!</f>
        <v>#REF!</v>
      </c>
      <c r="G248" s="245" t="e">
        <f>#REF!</f>
        <v>#REF!</v>
      </c>
      <c r="H248" s="245" t="e">
        <f>#REF!</f>
        <v>#REF!</v>
      </c>
      <c r="I248" s="124"/>
      <c r="J248" s="124"/>
      <c r="K248" s="124"/>
      <c r="L248" s="124"/>
      <c r="M248" s="124"/>
      <c r="N248" s="245" t="e">
        <f t="shared" si="3"/>
        <v>#REF!</v>
      </c>
      <c r="O248" s="124">
        <f t="shared" si="3"/>
        <v>0</v>
      </c>
      <c r="P248" s="124">
        <f t="shared" si="3"/>
        <v>0</v>
      </c>
      <c r="Q248" s="124"/>
      <c r="R248" s="124"/>
      <c r="S248" s="124">
        <f t="shared" si="4"/>
        <v>0</v>
      </c>
      <c r="T248" s="37" t="e">
        <f>#REF!</f>
        <v>#REF!</v>
      </c>
      <c r="U248" s="37" t="e">
        <f>#REF!</f>
        <v>#REF!</v>
      </c>
      <c r="V248" s="37" t="e">
        <f>#REF!</f>
        <v>#REF!</v>
      </c>
      <c r="W248" s="124"/>
      <c r="X248" s="124"/>
      <c r="Y248" s="124"/>
      <c r="Z248" s="124"/>
      <c r="AA248" s="245" t="e">
        <f>#REF!</f>
        <v>#REF!</v>
      </c>
      <c r="AB248" s="124"/>
      <c r="AC248" s="124"/>
      <c r="AD248" s="124"/>
      <c r="AE248" s="124" t="e">
        <f>#REF!</f>
        <v>#REF!</v>
      </c>
      <c r="AF248" s="124" t="e">
        <f>#REF!</f>
        <v>#REF!</v>
      </c>
      <c r="AG248" s="124" t="e">
        <f>#REF!</f>
        <v>#REF!</v>
      </c>
      <c r="AH248" s="124" t="e">
        <f>#REF!</f>
        <v>#REF!</v>
      </c>
      <c r="AI248" s="124" t="e">
        <f>#REF!</f>
        <v>#REF!</v>
      </c>
      <c r="AJ248" s="124" t="e">
        <f>#REF!</f>
        <v>#REF!</v>
      </c>
      <c r="AK248" s="124" t="e">
        <f>#REF!</f>
        <v>#REF!</v>
      </c>
      <c r="AL248" s="124" t="e">
        <f>#REF!</f>
        <v>#REF!</v>
      </c>
      <c r="AM248" s="124" t="e">
        <f>#REF!</f>
        <v>#REF!</v>
      </c>
      <c r="AN248" s="124" t="e">
        <f>#REF!</f>
        <v>#REF!</v>
      </c>
      <c r="AO248" s="124" t="e">
        <f>#REF!</f>
        <v>#REF!</v>
      </c>
      <c r="AP248" s="124" t="e">
        <f>#REF!</f>
        <v>#REF!</v>
      </c>
    </row>
    <row r="249" spans="1:44" x14ac:dyDescent="0.25">
      <c r="A249" s="245" t="e">
        <f>#REF!</f>
        <v>#REF!</v>
      </c>
      <c r="B249" s="245" t="e">
        <f>#REF!</f>
        <v>#REF!</v>
      </c>
      <c r="C249" s="245" t="e">
        <f>#REF!</f>
        <v>#REF!</v>
      </c>
      <c r="D249" s="245" t="e">
        <f>#REF!</f>
        <v>#REF!</v>
      </c>
      <c r="E249" s="245" t="e">
        <f>#REF!</f>
        <v>#REF!</v>
      </c>
      <c r="F249" s="245" t="e">
        <f>#REF!</f>
        <v>#REF!</v>
      </c>
      <c r="G249" s="245" t="e">
        <f>#REF!</f>
        <v>#REF!</v>
      </c>
      <c r="H249" s="245" t="e">
        <f>#REF!</f>
        <v>#REF!</v>
      </c>
      <c r="I249" s="124"/>
      <c r="J249" s="124"/>
      <c r="K249" s="124"/>
      <c r="L249" s="124"/>
      <c r="M249" s="124"/>
      <c r="N249" s="245" t="e">
        <f t="shared" si="3"/>
        <v>#REF!</v>
      </c>
      <c r="O249" s="124">
        <f t="shared" si="3"/>
        <v>0</v>
      </c>
      <c r="P249" s="124">
        <f t="shared" si="3"/>
        <v>0</v>
      </c>
      <c r="Q249" s="124"/>
      <c r="R249" s="124"/>
      <c r="S249" s="124">
        <f t="shared" si="4"/>
        <v>0</v>
      </c>
      <c r="T249" s="37" t="e">
        <f>#REF!</f>
        <v>#REF!</v>
      </c>
      <c r="U249" s="37" t="e">
        <f>#REF!</f>
        <v>#REF!</v>
      </c>
      <c r="V249" s="37" t="e">
        <f>#REF!</f>
        <v>#REF!</v>
      </c>
      <c r="W249" s="124"/>
      <c r="X249" s="124"/>
      <c r="Y249" s="124"/>
      <c r="Z249" s="124"/>
      <c r="AA249" s="245" t="e">
        <f>#REF!</f>
        <v>#REF!</v>
      </c>
      <c r="AB249" s="124"/>
      <c r="AC249" s="124"/>
      <c r="AD249" s="124"/>
      <c r="AE249" s="124" t="e">
        <f>#REF!</f>
        <v>#REF!</v>
      </c>
      <c r="AF249" s="124" t="e">
        <f>#REF!</f>
        <v>#REF!</v>
      </c>
      <c r="AG249" s="124" t="e">
        <f>#REF!</f>
        <v>#REF!</v>
      </c>
      <c r="AH249" s="124" t="e">
        <f>#REF!</f>
        <v>#REF!</v>
      </c>
      <c r="AI249" s="124" t="e">
        <f>#REF!</f>
        <v>#REF!</v>
      </c>
      <c r="AJ249" s="124" t="e">
        <f>#REF!</f>
        <v>#REF!</v>
      </c>
      <c r="AK249" s="124" t="e">
        <f>#REF!</f>
        <v>#REF!</v>
      </c>
      <c r="AL249" s="124" t="e">
        <f>#REF!</f>
        <v>#REF!</v>
      </c>
      <c r="AM249" s="124" t="e">
        <f>#REF!</f>
        <v>#REF!</v>
      </c>
      <c r="AN249" s="124" t="e">
        <f>#REF!</f>
        <v>#REF!</v>
      </c>
      <c r="AO249" s="124" t="e">
        <f>#REF!</f>
        <v>#REF!</v>
      </c>
      <c r="AP249" s="124" t="e">
        <f>#REF!</f>
        <v>#REF!</v>
      </c>
    </row>
    <row r="250" spans="1:44" x14ac:dyDescent="0.25">
      <c r="A250" s="128" t="e">
        <f>#REF!</f>
        <v>#REF!</v>
      </c>
      <c r="B250" s="128" t="e">
        <f>#REF!</f>
        <v>#REF!</v>
      </c>
      <c r="C250" s="128" t="e">
        <f>#REF!</f>
        <v>#REF!</v>
      </c>
      <c r="D250" s="128" t="e">
        <f>#REF!</f>
        <v>#REF!</v>
      </c>
      <c r="E250" s="128" t="e">
        <f>#REF!</f>
        <v>#REF!</v>
      </c>
      <c r="F250" s="128" t="e">
        <f>#REF!</f>
        <v>#REF!</v>
      </c>
      <c r="G250" s="128" t="e">
        <f>#REF!</f>
        <v>#REF!</v>
      </c>
      <c r="H250" s="128" t="e">
        <f>#REF!</f>
        <v>#REF!</v>
      </c>
    </row>
  </sheetData>
  <sheetProtection algorithmName="SHA-512" hashValue="UlFbpWs2Vr48N159JR3/Cc/580z/xmqJtU19mzPk/eJFZFtSxVG+U0651INij57Yc1Z4Lvq6ia6oqXGpR0aAhw==" saltValue="JklViX3cUp3k7/wG+olJIw=="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30"/>
  <sheetViews>
    <sheetView topLeftCell="E4" zoomScale="90" zoomScaleNormal="90" workbookViewId="0">
      <pane ySplit="5" topLeftCell="A10" activePane="bottomLeft" state="frozen"/>
      <selection activeCell="A4" sqref="A4"/>
      <selection pane="bottomLeft" activeCell="M10" sqref="M10"/>
    </sheetView>
  </sheetViews>
  <sheetFormatPr baseColWidth="10" defaultRowHeight="15" x14ac:dyDescent="0.25"/>
  <cols>
    <col min="1" max="1" width="19.140625" style="1" customWidth="1"/>
    <col min="2" max="2" width="16.140625" style="1" customWidth="1"/>
    <col min="3" max="3" width="23.42578125" style="1" customWidth="1"/>
    <col min="4" max="4" width="16.140625" style="1" customWidth="1"/>
    <col min="5" max="5" width="20.42578125" style="1" customWidth="1"/>
    <col min="6" max="6" width="17" style="1" customWidth="1"/>
    <col min="7" max="7" width="16" style="1" customWidth="1"/>
    <col min="8" max="8" width="35" style="1" customWidth="1"/>
    <col min="9" max="9" width="19" style="1" customWidth="1"/>
    <col min="10" max="10" width="16.28515625" style="1" customWidth="1"/>
    <col min="11" max="11" width="28.140625" style="1" customWidth="1"/>
    <col min="12" max="12" width="12.7109375" style="1" bestFit="1" customWidth="1"/>
    <col min="13" max="13" width="13.42578125" style="1" customWidth="1"/>
    <col min="14" max="14" width="12.85546875" style="1" customWidth="1"/>
    <col min="15" max="15" width="13.85546875" style="1" customWidth="1"/>
    <col min="16" max="16" width="15.28515625" style="1" customWidth="1"/>
    <col min="17" max="17" width="130.42578125" style="1" customWidth="1"/>
    <col min="18" max="18" width="23.5703125" style="1" customWidth="1"/>
    <col min="19" max="16384" width="11.42578125" style="1"/>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row>
    <row r="5" spans="1:97" x14ac:dyDescent="0.25">
      <c r="A5" s="2"/>
      <c r="B5" s="2"/>
      <c r="C5" s="2"/>
      <c r="D5" s="2"/>
      <c r="E5" s="2"/>
      <c r="F5" s="2"/>
      <c r="G5" s="2"/>
      <c r="H5" s="2"/>
      <c r="I5" s="2"/>
      <c r="J5" s="2"/>
      <c r="K5" s="2"/>
      <c r="L5" s="246">
        <f>'[22]FORMATO FINANCIERO'!J9-'[22]FORMATO FINANCIERO'!H9</f>
        <v>-191000000</v>
      </c>
      <c r="M5" s="5"/>
      <c r="N5" s="5"/>
      <c r="O5" s="5"/>
    </row>
    <row r="6" spans="1:97" x14ac:dyDescent="0.25">
      <c r="A6" s="7" t="s">
        <v>4</v>
      </c>
      <c r="B6" s="606" t="s">
        <v>1565</v>
      </c>
      <c r="C6" s="606"/>
      <c r="D6" s="606"/>
      <c r="E6" s="606"/>
      <c r="F6" s="606"/>
      <c r="G6" s="606"/>
      <c r="H6" s="606"/>
      <c r="I6" s="606"/>
      <c r="J6" s="606"/>
      <c r="K6" s="606"/>
      <c r="L6" s="606"/>
      <c r="M6" s="606"/>
      <c r="N6" s="606"/>
      <c r="O6" s="606"/>
    </row>
    <row r="7" spans="1:97" x14ac:dyDescent="0.25">
      <c r="A7" s="617" t="s">
        <v>6</v>
      </c>
      <c r="B7" s="617" t="s">
        <v>7</v>
      </c>
      <c r="C7" s="617" t="s">
        <v>8</v>
      </c>
      <c r="D7" s="617" t="s">
        <v>9</v>
      </c>
      <c r="E7" s="617" t="s">
        <v>10</v>
      </c>
      <c r="F7" s="617" t="s">
        <v>11</v>
      </c>
      <c r="G7" s="617" t="s">
        <v>12</v>
      </c>
      <c r="H7" s="617" t="s">
        <v>13</v>
      </c>
      <c r="I7" s="621" t="s">
        <v>14</v>
      </c>
      <c r="J7" s="621" t="s">
        <v>1566</v>
      </c>
      <c r="K7" s="617" t="s">
        <v>16</v>
      </c>
      <c r="L7" s="617" t="s">
        <v>17</v>
      </c>
      <c r="M7" s="617" t="s">
        <v>18</v>
      </c>
      <c r="N7" s="623" t="s">
        <v>19</v>
      </c>
      <c r="O7" s="623" t="s">
        <v>20</v>
      </c>
      <c r="P7" s="623" t="s">
        <v>21</v>
      </c>
      <c r="Q7" s="619" t="s">
        <v>22</v>
      </c>
    </row>
    <row r="8" spans="1:97" ht="64.5" customHeight="1" x14ac:dyDescent="0.25">
      <c r="A8" s="618"/>
      <c r="B8" s="618"/>
      <c r="C8" s="618"/>
      <c r="D8" s="618"/>
      <c r="E8" s="618"/>
      <c r="F8" s="618"/>
      <c r="G8" s="618"/>
      <c r="H8" s="618"/>
      <c r="I8" s="622"/>
      <c r="J8" s="622"/>
      <c r="K8" s="618"/>
      <c r="L8" s="618"/>
      <c r="M8" s="618"/>
      <c r="N8" s="624"/>
      <c r="O8" s="624"/>
      <c r="P8" s="624"/>
      <c r="Q8" s="620"/>
      <c r="S8" s="8"/>
      <c r="T8" s="8"/>
      <c r="U8" s="8"/>
      <c r="V8" s="8"/>
      <c r="W8" s="8"/>
      <c r="X8" s="8"/>
      <c r="Y8" s="8"/>
      <c r="Z8" s="8"/>
      <c r="AA8" s="8"/>
      <c r="AB8" s="8"/>
      <c r="AC8" s="8"/>
      <c r="AD8" s="8"/>
      <c r="AE8" s="8"/>
      <c r="AF8" s="8"/>
      <c r="AG8" s="8"/>
      <c r="AH8" s="8"/>
      <c r="AK8" s="9"/>
      <c r="AO8" s="9"/>
      <c r="AS8" s="9"/>
      <c r="AW8" s="9"/>
      <c r="BA8" s="9"/>
      <c r="BE8" s="9"/>
      <c r="BI8" s="9"/>
      <c r="BM8" s="9"/>
      <c r="BQ8" s="9"/>
      <c r="BU8" s="9"/>
      <c r="BY8" s="9"/>
      <c r="CC8" s="9"/>
      <c r="CG8" s="9"/>
      <c r="CK8" s="9"/>
      <c r="CO8" s="9"/>
      <c r="CS8" s="9"/>
    </row>
    <row r="9" spans="1:97" ht="92.25" customHeight="1" x14ac:dyDescent="0.25">
      <c r="A9" s="18" t="s">
        <v>23</v>
      </c>
      <c r="B9" s="18" t="s">
        <v>136</v>
      </c>
      <c r="C9" s="18" t="s">
        <v>137</v>
      </c>
      <c r="D9" s="18">
        <v>211110000</v>
      </c>
      <c r="E9" s="18" t="s">
        <v>1567</v>
      </c>
      <c r="F9" s="134" t="s">
        <v>1568</v>
      </c>
      <c r="G9" s="18" t="s">
        <v>1569</v>
      </c>
      <c r="H9" s="18" t="s">
        <v>1570</v>
      </c>
      <c r="I9" s="14">
        <v>-191000000</v>
      </c>
      <c r="J9" s="247">
        <f>'[22]FORMATO FINANCIERO'!J9-'[22]FORMATO FINANCIERO'!H9</f>
        <v>-191000000</v>
      </c>
      <c r="K9" s="10" t="s">
        <v>1571</v>
      </c>
      <c r="L9" s="10">
        <v>60</v>
      </c>
      <c r="M9" s="10"/>
      <c r="N9" s="10"/>
      <c r="O9" s="10">
        <v>0</v>
      </c>
      <c r="P9" s="82">
        <v>40</v>
      </c>
      <c r="Q9" s="34" t="s">
        <v>1572</v>
      </c>
      <c r="R9" s="16"/>
      <c r="U9" s="248"/>
      <c r="V9" s="8"/>
      <c r="W9" s="8"/>
      <c r="X9" s="8"/>
      <c r="Y9" s="8"/>
      <c r="Z9" s="8"/>
      <c r="AA9" s="8"/>
      <c r="AB9" s="8"/>
      <c r="AC9" s="8"/>
      <c r="AD9" s="8"/>
      <c r="AE9" s="8"/>
      <c r="AF9" s="8"/>
      <c r="AG9" s="8"/>
      <c r="AH9" s="8"/>
      <c r="AK9" s="9"/>
      <c r="AO9" s="9"/>
      <c r="AS9" s="9"/>
      <c r="AW9" s="9"/>
      <c r="BA9" s="9"/>
      <c r="BE9" s="9"/>
      <c r="BI9" s="9"/>
      <c r="BM9" s="9"/>
      <c r="BQ9" s="9"/>
      <c r="BU9" s="9"/>
      <c r="BY9" s="9"/>
      <c r="CC9" s="9"/>
      <c r="CG9" s="9"/>
      <c r="CK9" s="9"/>
      <c r="CO9" s="9"/>
      <c r="CS9" s="9"/>
    </row>
    <row r="10" spans="1:97" ht="409.5" customHeight="1" x14ac:dyDescent="0.25">
      <c r="A10" s="18" t="s">
        <v>23</v>
      </c>
      <c r="B10" s="18" t="s">
        <v>1573</v>
      </c>
      <c r="C10" s="18" t="s">
        <v>1574</v>
      </c>
      <c r="D10" s="18">
        <v>214210000</v>
      </c>
      <c r="E10" s="18" t="s">
        <v>1575</v>
      </c>
      <c r="F10" s="134" t="s">
        <v>1576</v>
      </c>
      <c r="G10" s="18" t="s">
        <v>1577</v>
      </c>
      <c r="H10" s="18" t="s">
        <v>1578</v>
      </c>
      <c r="I10" s="14">
        <v>133863879</v>
      </c>
      <c r="J10" s="247">
        <f>'[22]FORMATO FINANCIERO'!J10-'[22]FORMATO FINANCIERO'!H10</f>
        <v>-4066136121</v>
      </c>
      <c r="K10" s="10" t="s">
        <v>1579</v>
      </c>
      <c r="L10" s="10">
        <v>2817</v>
      </c>
      <c r="M10" s="10"/>
      <c r="N10" s="10"/>
      <c r="O10" s="10">
        <v>1163</v>
      </c>
      <c r="P10" s="10">
        <v>2623</v>
      </c>
      <c r="Q10" s="34" t="s">
        <v>1580</v>
      </c>
      <c r="R10" s="16"/>
      <c r="U10" s="248"/>
      <c r="V10" s="8"/>
      <c r="W10" s="8"/>
      <c r="X10" s="8"/>
      <c r="Y10" s="8"/>
      <c r="Z10" s="8"/>
      <c r="AA10" s="8"/>
      <c r="AB10" s="8"/>
      <c r="AC10" s="8"/>
      <c r="AD10" s="8"/>
      <c r="AE10" s="8"/>
      <c r="AF10" s="8"/>
      <c r="AG10" s="8"/>
      <c r="AH10" s="8"/>
      <c r="AK10" s="9"/>
      <c r="AO10" s="9"/>
      <c r="AS10" s="9"/>
      <c r="AW10" s="9"/>
      <c r="BA10" s="9"/>
      <c r="BE10" s="9"/>
      <c r="BI10" s="9"/>
      <c r="BM10" s="9"/>
      <c r="BQ10" s="9"/>
      <c r="BU10" s="9"/>
      <c r="BY10" s="9"/>
      <c r="CC10" s="9"/>
      <c r="CG10" s="9"/>
      <c r="CK10" s="9"/>
      <c r="CO10" s="9"/>
      <c r="CS10" s="9"/>
    </row>
    <row r="11" spans="1:97" ht="285" customHeight="1" x14ac:dyDescent="0.25">
      <c r="A11" s="18" t="s">
        <v>23</v>
      </c>
      <c r="B11" s="18" t="s">
        <v>1573</v>
      </c>
      <c r="C11" s="18" t="s">
        <v>1574</v>
      </c>
      <c r="D11" s="18">
        <v>214220000</v>
      </c>
      <c r="E11" s="18" t="s">
        <v>1581</v>
      </c>
      <c r="F11" s="134" t="s">
        <v>1582</v>
      </c>
      <c r="G11" s="18" t="s">
        <v>1583</v>
      </c>
      <c r="H11" s="18" t="s">
        <v>1584</v>
      </c>
      <c r="I11" s="14">
        <v>1929675812</v>
      </c>
      <c r="J11" s="247">
        <f>'[22]FORMATO FINANCIERO'!J11-'[22]FORMATO FINANCIERO'!H11</f>
        <v>1929675812</v>
      </c>
      <c r="K11" s="10" t="s">
        <v>1585</v>
      </c>
      <c r="L11" s="10">
        <v>310</v>
      </c>
      <c r="M11" s="10"/>
      <c r="N11" s="10"/>
      <c r="O11" s="10">
        <v>91</v>
      </c>
      <c r="P11" s="10">
        <v>244</v>
      </c>
      <c r="Q11" s="38" t="s">
        <v>1586</v>
      </c>
      <c r="R11" s="16"/>
      <c r="U11" s="248"/>
      <c r="V11" s="8"/>
      <c r="W11" s="8"/>
      <c r="X11" s="8"/>
      <c r="Y11" s="8"/>
      <c r="Z11" s="8"/>
      <c r="AA11" s="8"/>
      <c r="AB11" s="8"/>
      <c r="AC11" s="8"/>
      <c r="AD11" s="8"/>
      <c r="AE11" s="8"/>
      <c r="AF11" s="8"/>
      <c r="AG11" s="8"/>
      <c r="AH11" s="8"/>
      <c r="AK11" s="9"/>
      <c r="AO11" s="9"/>
      <c r="AS11" s="9"/>
      <c r="AW11" s="9"/>
      <c r="BA11" s="9"/>
      <c r="BE11" s="9"/>
      <c r="BI11" s="9"/>
      <c r="BM11" s="9"/>
      <c r="BQ11" s="9"/>
      <c r="BU11" s="9"/>
      <c r="BY11" s="9"/>
      <c r="CC11" s="9"/>
      <c r="CG11" s="9"/>
      <c r="CK11" s="9"/>
      <c r="CO11" s="9"/>
      <c r="CS11" s="9"/>
    </row>
    <row r="12" spans="1:97" ht="101.25" customHeight="1" x14ac:dyDescent="0.25">
      <c r="A12" s="18" t="s">
        <v>23</v>
      </c>
      <c r="B12" s="18" t="s">
        <v>1573</v>
      </c>
      <c r="C12" s="18" t="s">
        <v>1574</v>
      </c>
      <c r="D12" s="18">
        <v>214230000</v>
      </c>
      <c r="E12" s="18" t="s">
        <v>1587</v>
      </c>
      <c r="F12" s="134" t="s">
        <v>1588</v>
      </c>
      <c r="G12" s="18" t="s">
        <v>1589</v>
      </c>
      <c r="H12" s="18" t="s">
        <v>1590</v>
      </c>
      <c r="I12" s="14">
        <v>-630000000</v>
      </c>
      <c r="J12" s="247">
        <f>'[22]FORMATO FINANCIERO'!J12-'[22]FORMATO FINANCIERO'!H12</f>
        <v>-630000000</v>
      </c>
      <c r="K12" s="10" t="s">
        <v>1591</v>
      </c>
      <c r="L12" s="10">
        <v>1800</v>
      </c>
      <c r="M12" s="10"/>
      <c r="N12" s="10"/>
      <c r="O12" s="10">
        <v>349</v>
      </c>
      <c r="P12" s="10">
        <v>1585</v>
      </c>
      <c r="Q12" s="34" t="s">
        <v>1592</v>
      </c>
      <c r="R12" s="16"/>
      <c r="U12" s="248"/>
      <c r="V12" s="8"/>
      <c r="W12" s="8"/>
      <c r="X12" s="8"/>
      <c r="Y12" s="8"/>
      <c r="Z12" s="8"/>
      <c r="AA12" s="8"/>
      <c r="AB12" s="8"/>
      <c r="AC12" s="8"/>
      <c r="AD12" s="8"/>
      <c r="AE12" s="8"/>
      <c r="AF12" s="8"/>
      <c r="AG12" s="8"/>
      <c r="AH12" s="8"/>
      <c r="AK12" s="9"/>
      <c r="AO12" s="9"/>
      <c r="AS12" s="9"/>
      <c r="AW12" s="9"/>
      <c r="BA12" s="9"/>
      <c r="BE12" s="9"/>
      <c r="BI12" s="9"/>
      <c r="BM12" s="9"/>
      <c r="BQ12" s="9"/>
      <c r="BU12" s="9"/>
      <c r="BY12" s="9"/>
      <c r="CC12" s="9"/>
      <c r="CG12" s="9"/>
      <c r="CK12" s="9"/>
      <c r="CO12" s="9"/>
      <c r="CS12" s="9"/>
    </row>
    <row r="13" spans="1:97" ht="148.5" customHeight="1" x14ac:dyDescent="0.25">
      <c r="A13" s="18" t="s">
        <v>156</v>
      </c>
      <c r="B13" s="18" t="s">
        <v>982</v>
      </c>
      <c r="C13" s="18" t="s">
        <v>983</v>
      </c>
      <c r="D13" s="18">
        <v>222350000</v>
      </c>
      <c r="E13" s="18" t="s">
        <v>1593</v>
      </c>
      <c r="F13" s="134" t="s">
        <v>1594</v>
      </c>
      <c r="G13" s="18" t="s">
        <v>1595</v>
      </c>
      <c r="H13" s="18" t="s">
        <v>1596</v>
      </c>
      <c r="I13" s="14">
        <v>14800838201</v>
      </c>
      <c r="J13" s="247">
        <f>'[22]FORMATO FINANCIERO'!J13-'[22]FORMATO FINANCIERO'!H13</f>
        <v>8434134188</v>
      </c>
      <c r="K13" s="10" t="s">
        <v>1597</v>
      </c>
      <c r="L13" s="10">
        <v>20</v>
      </c>
      <c r="M13" s="10"/>
      <c r="N13" s="10"/>
      <c r="O13" s="10">
        <v>0</v>
      </c>
      <c r="P13" s="10">
        <v>84</v>
      </c>
      <c r="Q13" s="34" t="s">
        <v>1598</v>
      </c>
      <c r="R13" s="16"/>
      <c r="U13" s="248"/>
      <c r="V13" s="8"/>
      <c r="W13" s="8"/>
      <c r="X13" s="8"/>
      <c r="Y13" s="8"/>
      <c r="Z13" s="8"/>
      <c r="AA13" s="8"/>
      <c r="AB13" s="8"/>
      <c r="AC13" s="8"/>
      <c r="AD13" s="8"/>
      <c r="AE13" s="8"/>
      <c r="AF13" s="8"/>
      <c r="AG13" s="8"/>
      <c r="AH13" s="8"/>
      <c r="AK13" s="9"/>
      <c r="AO13" s="9"/>
      <c r="AS13" s="9"/>
      <c r="AW13" s="9"/>
      <c r="BA13" s="9"/>
      <c r="BE13" s="9"/>
      <c r="BI13" s="9"/>
      <c r="BM13" s="9"/>
      <c r="BQ13" s="9"/>
      <c r="BU13" s="9"/>
      <c r="BY13" s="9"/>
      <c r="CC13" s="9"/>
      <c r="CG13" s="9"/>
      <c r="CK13" s="9"/>
      <c r="CO13" s="9"/>
      <c r="CS13" s="9"/>
    </row>
    <row r="14" spans="1:97" ht="204.75" customHeight="1" x14ac:dyDescent="0.25">
      <c r="A14" s="18"/>
      <c r="B14" s="18"/>
      <c r="C14" s="18"/>
      <c r="D14" s="18"/>
      <c r="E14" s="18"/>
      <c r="F14" s="134"/>
      <c r="G14" s="18"/>
      <c r="H14" s="18"/>
      <c r="I14" s="14"/>
      <c r="J14" s="247"/>
      <c r="K14" s="10" t="s">
        <v>1599</v>
      </c>
      <c r="L14" s="10">
        <v>340</v>
      </c>
      <c r="M14" s="10"/>
      <c r="N14" s="10"/>
      <c r="O14" s="10">
        <v>0</v>
      </c>
      <c r="P14" s="10">
        <v>239</v>
      </c>
      <c r="Q14" s="34" t="s">
        <v>1600</v>
      </c>
      <c r="R14" s="16"/>
      <c r="U14" s="248"/>
      <c r="V14" s="8"/>
      <c r="W14" s="8"/>
      <c r="X14" s="8"/>
      <c r="Y14" s="8"/>
      <c r="Z14" s="8"/>
      <c r="AA14" s="8"/>
      <c r="AB14" s="8"/>
      <c r="AC14" s="8"/>
      <c r="AD14" s="8"/>
      <c r="AE14" s="8"/>
      <c r="AF14" s="8"/>
      <c r="AG14" s="8"/>
      <c r="AH14" s="8"/>
      <c r="AK14" s="9"/>
      <c r="AO14" s="9"/>
      <c r="AS14" s="9"/>
      <c r="AW14" s="9"/>
      <c r="BA14" s="9"/>
      <c r="BE14" s="9"/>
      <c r="BI14" s="9"/>
      <c r="BM14" s="9"/>
      <c r="BQ14" s="9"/>
      <c r="BU14" s="9"/>
      <c r="BY14" s="9"/>
      <c r="CC14" s="9"/>
      <c r="CG14" s="9"/>
      <c r="CK14" s="9"/>
      <c r="CO14" s="9"/>
      <c r="CS14" s="9"/>
    </row>
    <row r="15" spans="1:97" ht="108.75" customHeight="1" x14ac:dyDescent="0.25">
      <c r="A15" s="18" t="s">
        <v>156</v>
      </c>
      <c r="B15" s="18" t="s">
        <v>982</v>
      </c>
      <c r="C15" s="18" t="s">
        <v>983</v>
      </c>
      <c r="D15" s="18">
        <v>222360000</v>
      </c>
      <c r="E15" s="18" t="s">
        <v>1601</v>
      </c>
      <c r="F15" s="134" t="s">
        <v>1602</v>
      </c>
      <c r="G15" s="18" t="s">
        <v>1603</v>
      </c>
      <c r="H15" s="18" t="s">
        <v>1604</v>
      </c>
      <c r="I15" s="14">
        <v>750000000</v>
      </c>
      <c r="J15" s="247">
        <f>'[22]FORMATO FINANCIERO'!J17-'[22]FORMATO FINANCIERO'!H17</f>
        <v>-847340000</v>
      </c>
      <c r="K15" s="10" t="s">
        <v>1605</v>
      </c>
      <c r="L15" s="10">
        <v>1</v>
      </c>
      <c r="M15" s="10"/>
      <c r="N15" s="10"/>
      <c r="O15" s="10">
        <v>0</v>
      </c>
      <c r="P15" s="10">
        <v>0</v>
      </c>
      <c r="Q15" s="34" t="s">
        <v>1606</v>
      </c>
      <c r="R15" s="16"/>
      <c r="U15" s="248"/>
      <c r="V15" s="8"/>
      <c r="W15" s="8"/>
      <c r="X15" s="8"/>
      <c r="Y15" s="8"/>
      <c r="Z15" s="8"/>
      <c r="AA15" s="8"/>
      <c r="AB15" s="8"/>
      <c r="AC15" s="8"/>
      <c r="AD15" s="8"/>
      <c r="AE15" s="8"/>
      <c r="AF15" s="8"/>
      <c r="AG15" s="8"/>
      <c r="AH15" s="8"/>
      <c r="AK15" s="9"/>
      <c r="AO15" s="9"/>
      <c r="AS15" s="9"/>
      <c r="AW15" s="9"/>
      <c r="BA15" s="9"/>
      <c r="BE15" s="9"/>
      <c r="BI15" s="9"/>
      <c r="BM15" s="9"/>
      <c r="BQ15" s="9"/>
      <c r="BU15" s="9"/>
      <c r="BY15" s="9"/>
      <c r="CC15" s="9"/>
      <c r="CG15" s="9"/>
      <c r="CK15" s="9"/>
      <c r="CO15" s="9"/>
      <c r="CS15" s="9"/>
    </row>
    <row r="16" spans="1:97" ht="106.5" customHeight="1" x14ac:dyDescent="0.25">
      <c r="A16" s="18" t="s">
        <v>156</v>
      </c>
      <c r="B16" s="18" t="s">
        <v>982</v>
      </c>
      <c r="C16" s="18" t="s">
        <v>1006</v>
      </c>
      <c r="D16" s="18">
        <v>222730000</v>
      </c>
      <c r="E16" s="18" t="s">
        <v>1607</v>
      </c>
      <c r="F16" s="134" t="s">
        <v>1608</v>
      </c>
      <c r="G16" s="18" t="s">
        <v>1609</v>
      </c>
      <c r="H16" s="18" t="s">
        <v>1610</v>
      </c>
      <c r="I16" s="14">
        <v>221359340</v>
      </c>
      <c r="J16" s="247">
        <f>'[22]FORMATO FINANCIERO'!J18-'[22]FORMATO FINANCIERO'!H18</f>
        <v>221359280</v>
      </c>
      <c r="K16" s="10" t="s">
        <v>1611</v>
      </c>
      <c r="L16" s="10">
        <v>10</v>
      </c>
      <c r="M16" s="10"/>
      <c r="N16" s="10"/>
      <c r="O16" s="10">
        <v>0</v>
      </c>
      <c r="P16" s="10">
        <v>15</v>
      </c>
      <c r="Q16" s="34" t="s">
        <v>1612</v>
      </c>
      <c r="R16" s="16"/>
      <c r="U16" s="248"/>
      <c r="V16" s="8"/>
      <c r="W16" s="8"/>
      <c r="X16" s="8"/>
      <c r="Y16" s="8"/>
      <c r="Z16" s="8"/>
      <c r="AA16" s="8"/>
      <c r="AB16" s="8"/>
      <c r="AC16" s="8"/>
      <c r="AD16" s="8"/>
      <c r="AE16" s="8"/>
      <c r="AF16" s="8"/>
      <c r="AG16" s="8"/>
      <c r="AH16" s="8"/>
      <c r="AK16" s="9"/>
      <c r="AO16" s="9"/>
      <c r="AS16" s="9"/>
      <c r="AW16" s="9"/>
      <c r="BA16" s="9"/>
      <c r="BE16" s="9"/>
      <c r="BI16" s="9"/>
      <c r="BM16" s="9"/>
      <c r="BQ16" s="9"/>
      <c r="BU16" s="9"/>
      <c r="BY16" s="9"/>
      <c r="CC16" s="9"/>
      <c r="CG16" s="9"/>
      <c r="CK16" s="9"/>
      <c r="CO16" s="9"/>
      <c r="CS16" s="9"/>
    </row>
    <row r="17" spans="1:97" ht="106.5" customHeight="1" x14ac:dyDescent="0.25">
      <c r="A17" s="18"/>
      <c r="B17" s="18"/>
      <c r="C17" s="18"/>
      <c r="D17" s="18"/>
      <c r="E17" s="18"/>
      <c r="F17" s="134"/>
      <c r="G17" s="18"/>
      <c r="H17" s="18"/>
      <c r="I17" s="14"/>
      <c r="J17" s="247"/>
      <c r="K17" s="10" t="s">
        <v>1613</v>
      </c>
      <c r="L17" s="10">
        <v>5</v>
      </c>
      <c r="M17" s="10"/>
      <c r="N17" s="10"/>
      <c r="O17" s="10">
        <v>0</v>
      </c>
      <c r="P17" s="10">
        <v>0</v>
      </c>
      <c r="Q17" s="34" t="s">
        <v>1614</v>
      </c>
      <c r="R17" s="16"/>
      <c r="U17" s="248"/>
      <c r="V17" s="8"/>
      <c r="W17" s="8"/>
      <c r="X17" s="8"/>
      <c r="Y17" s="8"/>
      <c r="Z17" s="8"/>
      <c r="AA17" s="8"/>
      <c r="AB17" s="8"/>
      <c r="AC17" s="8"/>
      <c r="AD17" s="8"/>
      <c r="AE17" s="8"/>
      <c r="AF17" s="8"/>
      <c r="AG17" s="8"/>
      <c r="AH17" s="8"/>
      <c r="AK17" s="9"/>
      <c r="AO17" s="9"/>
      <c r="AS17" s="9"/>
      <c r="AW17" s="9"/>
      <c r="BA17" s="9"/>
      <c r="BE17" s="9"/>
      <c r="BI17" s="9"/>
      <c r="BM17" s="9"/>
      <c r="BQ17" s="9"/>
      <c r="BU17" s="9"/>
      <c r="BY17" s="9"/>
      <c r="CC17" s="9"/>
      <c r="CG17" s="9"/>
      <c r="CK17" s="9"/>
      <c r="CO17" s="9"/>
      <c r="CS17" s="9"/>
    </row>
    <row r="18" spans="1:97" ht="147" customHeight="1" x14ac:dyDescent="0.25">
      <c r="A18" s="18" t="s">
        <v>1615</v>
      </c>
      <c r="B18" s="18" t="s">
        <v>1616</v>
      </c>
      <c r="C18" s="18" t="s">
        <v>1617</v>
      </c>
      <c r="D18" s="18">
        <v>234220005</v>
      </c>
      <c r="E18" s="18" t="s">
        <v>1618</v>
      </c>
      <c r="F18" s="134" t="s">
        <v>1619</v>
      </c>
      <c r="G18" s="18" t="s">
        <v>1620</v>
      </c>
      <c r="H18" s="18" t="s">
        <v>1621</v>
      </c>
      <c r="I18" s="14">
        <v>0</v>
      </c>
      <c r="J18" s="247">
        <f>'[22]FORMATO FINANCIERO'!J21-'[22]FORMATO FINANCIERO'!H21</f>
        <v>-200000000</v>
      </c>
      <c r="K18" s="10" t="s">
        <v>1622</v>
      </c>
      <c r="L18" s="10">
        <v>40</v>
      </c>
      <c r="M18" s="10" t="s">
        <v>1623</v>
      </c>
      <c r="N18" s="10"/>
      <c r="O18" s="10">
        <v>0</v>
      </c>
      <c r="P18" s="10">
        <v>86</v>
      </c>
      <c r="Q18" s="34" t="s">
        <v>1624</v>
      </c>
      <c r="R18" s="16"/>
      <c r="U18" s="248"/>
      <c r="V18" s="8"/>
      <c r="W18" s="8"/>
      <c r="X18" s="8"/>
      <c r="Y18" s="8"/>
      <c r="Z18" s="8"/>
      <c r="AA18" s="8"/>
      <c r="AB18" s="8"/>
      <c r="AC18" s="8"/>
      <c r="AD18" s="8"/>
      <c r="AE18" s="8"/>
      <c r="AF18" s="8"/>
      <c r="AG18" s="8"/>
      <c r="AH18" s="8"/>
      <c r="AK18" s="9"/>
      <c r="AO18" s="9"/>
      <c r="AS18" s="9"/>
      <c r="AW18" s="9"/>
      <c r="BA18" s="9"/>
      <c r="BE18" s="9"/>
      <c r="BI18" s="9"/>
      <c r="BM18" s="9"/>
      <c r="BQ18" s="9"/>
      <c r="BU18" s="9"/>
      <c r="BY18" s="9"/>
      <c r="CC18" s="9"/>
      <c r="CG18" s="9"/>
      <c r="CK18" s="9"/>
      <c r="CO18" s="9"/>
      <c r="CS18" s="9"/>
    </row>
    <row r="19" spans="1:97" ht="144" x14ac:dyDescent="0.25">
      <c r="A19" s="18" t="s">
        <v>275</v>
      </c>
      <c r="B19" s="18" t="s">
        <v>1073</v>
      </c>
      <c r="C19" s="18" t="s">
        <v>1625</v>
      </c>
      <c r="D19" s="18">
        <v>252210000</v>
      </c>
      <c r="E19" s="18" t="s">
        <v>1626</v>
      </c>
      <c r="F19" s="134" t="s">
        <v>1627</v>
      </c>
      <c r="G19" s="18" t="s">
        <v>1628</v>
      </c>
      <c r="H19" s="18" t="s">
        <v>1629</v>
      </c>
      <c r="I19" s="14">
        <v>244968628</v>
      </c>
      <c r="J19" s="247">
        <f>'[22]FORMATO FINANCIERO'!J22-'[22]FORMATO FINANCIERO'!H22</f>
        <v>259968628</v>
      </c>
      <c r="K19" s="10" t="s">
        <v>1630</v>
      </c>
      <c r="L19" s="10">
        <v>1500</v>
      </c>
      <c r="M19" s="10"/>
      <c r="N19" s="10"/>
      <c r="O19" s="10">
        <v>738</v>
      </c>
      <c r="P19" s="10">
        <v>1553</v>
      </c>
      <c r="Q19" s="34" t="s">
        <v>1631</v>
      </c>
      <c r="R19" s="16"/>
      <c r="U19" s="248"/>
      <c r="V19" s="8"/>
      <c r="W19" s="8"/>
      <c r="X19" s="8"/>
      <c r="Y19" s="8"/>
      <c r="Z19" s="8"/>
      <c r="AA19" s="8"/>
      <c r="AB19" s="8"/>
      <c r="AC19" s="8"/>
      <c r="AD19" s="8"/>
      <c r="AE19" s="8"/>
      <c r="AF19" s="8"/>
      <c r="AG19" s="8"/>
      <c r="AH19" s="8"/>
      <c r="AK19" s="9"/>
      <c r="AO19" s="9"/>
      <c r="AS19" s="9"/>
      <c r="AW19" s="9"/>
      <c r="BA19" s="9"/>
      <c r="BE19" s="9"/>
      <c r="BI19" s="9"/>
      <c r="BM19" s="9"/>
      <c r="BQ19" s="9"/>
      <c r="BU19" s="9"/>
      <c r="BY19" s="9"/>
      <c r="CC19" s="9"/>
      <c r="CG19" s="9"/>
      <c r="CK19" s="9"/>
      <c r="CO19" s="9"/>
      <c r="CS19" s="9"/>
    </row>
    <row r="20" spans="1:97" ht="78.75" customHeight="1" x14ac:dyDescent="0.25">
      <c r="A20" s="18" t="s">
        <v>275</v>
      </c>
      <c r="B20" s="18" t="s">
        <v>1073</v>
      </c>
      <c r="C20" s="18" t="s">
        <v>1625</v>
      </c>
      <c r="D20" s="18">
        <v>252220000</v>
      </c>
      <c r="E20" s="18" t="s">
        <v>1632</v>
      </c>
      <c r="F20" s="134" t="s">
        <v>1633</v>
      </c>
      <c r="G20" s="18" t="s">
        <v>1634</v>
      </c>
      <c r="H20" s="18" t="s">
        <v>1635</v>
      </c>
      <c r="I20" s="14">
        <v>314980000</v>
      </c>
      <c r="J20" s="247">
        <f>'[22]FORMATO FINANCIERO'!J23-'[22]FORMATO FINANCIERO'!H23</f>
        <v>314980000</v>
      </c>
      <c r="K20" s="10" t="s">
        <v>1636</v>
      </c>
      <c r="L20" s="10">
        <v>1500</v>
      </c>
      <c r="M20" s="10"/>
      <c r="N20" s="10"/>
      <c r="O20" s="10">
        <v>0</v>
      </c>
      <c r="P20" s="10">
        <v>1083</v>
      </c>
      <c r="Q20" s="34" t="s">
        <v>1637</v>
      </c>
      <c r="R20" s="16"/>
      <c r="U20" s="248"/>
      <c r="V20" s="8"/>
      <c r="W20" s="8"/>
      <c r="X20" s="8"/>
      <c r="Y20" s="8"/>
      <c r="Z20" s="8"/>
      <c r="AA20" s="8"/>
      <c r="AB20" s="8"/>
      <c r="AC20" s="8"/>
      <c r="AD20" s="8"/>
      <c r="AE20" s="8"/>
      <c r="AF20" s="8"/>
      <c r="AG20" s="8"/>
      <c r="AH20" s="8"/>
      <c r="AK20" s="9"/>
      <c r="AO20" s="9"/>
      <c r="AS20" s="9"/>
      <c r="AW20" s="9"/>
      <c r="BA20" s="9"/>
      <c r="BE20" s="9"/>
      <c r="BI20" s="9"/>
      <c r="BM20" s="9"/>
      <c r="BQ20" s="9"/>
      <c r="BU20" s="9"/>
      <c r="BY20" s="9"/>
      <c r="CC20" s="9"/>
      <c r="CG20" s="9"/>
      <c r="CK20" s="9"/>
      <c r="CO20" s="9"/>
      <c r="CS20" s="9"/>
    </row>
    <row r="21" spans="1:97" ht="50.25" customHeight="1" x14ac:dyDescent="0.25">
      <c r="A21" s="18">
        <v>0</v>
      </c>
      <c r="B21" s="18">
        <v>0</v>
      </c>
      <c r="C21" s="18">
        <v>0</v>
      </c>
      <c r="D21" s="18">
        <v>0</v>
      </c>
      <c r="E21" s="18" t="s">
        <v>342</v>
      </c>
      <c r="F21" s="134">
        <v>0</v>
      </c>
      <c r="G21" s="18">
        <v>0</v>
      </c>
      <c r="H21" s="18">
        <v>0</v>
      </c>
      <c r="I21" s="10"/>
      <c r="J21" s="247"/>
      <c r="K21" s="10" t="s">
        <v>1638</v>
      </c>
      <c r="L21" s="10">
        <v>15</v>
      </c>
      <c r="M21" s="10"/>
      <c r="N21" s="10"/>
      <c r="O21" s="10">
        <v>0</v>
      </c>
      <c r="P21" s="10">
        <v>12</v>
      </c>
      <c r="Q21" s="34" t="s">
        <v>1639</v>
      </c>
      <c r="R21" s="16"/>
      <c r="U21" s="248"/>
      <c r="V21" s="8"/>
      <c r="W21" s="8"/>
      <c r="X21" s="8"/>
      <c r="Y21" s="8"/>
      <c r="Z21" s="8"/>
      <c r="AA21" s="8"/>
      <c r="AB21" s="8"/>
      <c r="AC21" s="8"/>
      <c r="AD21" s="8"/>
      <c r="AE21" s="8"/>
      <c r="AF21" s="8"/>
      <c r="AG21" s="8"/>
      <c r="AH21" s="8"/>
      <c r="AK21" s="9"/>
      <c r="AO21" s="9"/>
      <c r="AS21" s="9"/>
      <c r="AW21" s="9"/>
      <c r="BA21" s="9"/>
      <c r="BE21" s="9"/>
      <c r="BI21" s="9"/>
      <c r="BM21" s="9"/>
      <c r="BQ21" s="9"/>
      <c r="BU21" s="9"/>
      <c r="BY21" s="9"/>
      <c r="CC21" s="9"/>
      <c r="CG21" s="9"/>
      <c r="CK21" s="9"/>
      <c r="CO21" s="9"/>
      <c r="CS21" s="9"/>
    </row>
    <row r="22" spans="1:97" ht="156" customHeight="1" x14ac:dyDescent="0.25">
      <c r="A22" s="18" t="s">
        <v>275</v>
      </c>
      <c r="B22" s="18" t="s">
        <v>1073</v>
      </c>
      <c r="C22" s="18" t="s">
        <v>1625</v>
      </c>
      <c r="D22" s="18">
        <v>252230000</v>
      </c>
      <c r="E22" s="18" t="s">
        <v>1640</v>
      </c>
      <c r="F22" s="134" t="s">
        <v>1641</v>
      </c>
      <c r="G22" s="18" t="s">
        <v>1642</v>
      </c>
      <c r="H22" s="18" t="s">
        <v>1643</v>
      </c>
      <c r="I22" s="14">
        <v>141232425</v>
      </c>
      <c r="J22" s="247">
        <f>'[22]FORMATO FINANCIERO'!J26-'[22]FORMATO FINANCIERO'!H26</f>
        <v>-275734629</v>
      </c>
      <c r="K22" s="10" t="s">
        <v>1644</v>
      </c>
      <c r="L22" s="10">
        <v>22</v>
      </c>
      <c r="M22" s="10"/>
      <c r="N22" s="10"/>
      <c r="O22" s="10">
        <v>103</v>
      </c>
      <c r="P22" s="10">
        <v>470</v>
      </c>
      <c r="Q22" s="34" t="s">
        <v>1645</v>
      </c>
      <c r="R22" s="16"/>
      <c r="U22" s="248"/>
      <c r="V22" s="8"/>
      <c r="W22" s="8"/>
      <c r="X22" s="8"/>
      <c r="Y22" s="8"/>
      <c r="Z22" s="8"/>
      <c r="AA22" s="8"/>
      <c r="AB22" s="8"/>
      <c r="AC22" s="8"/>
      <c r="AD22" s="8"/>
      <c r="AE22" s="8"/>
      <c r="AF22" s="8"/>
      <c r="AG22" s="8"/>
      <c r="AH22" s="8"/>
      <c r="AK22" s="9"/>
      <c r="AO22" s="9"/>
      <c r="AS22" s="9"/>
      <c r="AW22" s="9"/>
      <c r="BA22" s="9"/>
      <c r="BE22" s="9"/>
      <c r="BI22" s="9"/>
      <c r="BM22" s="9"/>
      <c r="BQ22" s="9"/>
      <c r="BU22" s="9"/>
      <c r="BY22" s="9"/>
      <c r="CC22" s="9"/>
      <c r="CG22" s="9"/>
      <c r="CK22" s="9"/>
      <c r="CO22" s="9"/>
      <c r="CS22" s="9"/>
    </row>
    <row r="23" spans="1:97" s="66" customFormat="1" x14ac:dyDescent="0.25">
      <c r="A23" s="249"/>
      <c r="B23" s="249"/>
      <c r="C23" s="249"/>
      <c r="D23" s="249"/>
      <c r="E23" s="249"/>
      <c r="F23" s="249"/>
      <c r="G23" s="249"/>
      <c r="H23" s="249"/>
      <c r="I23" s="249"/>
      <c r="J23" s="249"/>
      <c r="K23" s="249"/>
      <c r="L23" s="249"/>
      <c r="M23" s="249"/>
      <c r="N23" s="250"/>
      <c r="O23" s="250"/>
      <c r="P23" s="250"/>
      <c r="Q23" s="250"/>
      <c r="S23" s="251"/>
      <c r="T23" s="251"/>
      <c r="U23" s="251"/>
      <c r="V23" s="251"/>
      <c r="W23" s="251"/>
      <c r="X23" s="251"/>
      <c r="Y23" s="251"/>
      <c r="Z23" s="251"/>
      <c r="AA23" s="251"/>
      <c r="AB23" s="251"/>
      <c r="AC23" s="251"/>
      <c r="AD23" s="251"/>
      <c r="AE23" s="251"/>
      <c r="AF23" s="251"/>
      <c r="AG23" s="251"/>
      <c r="AH23" s="251"/>
      <c r="AK23" s="249"/>
      <c r="AO23" s="249"/>
      <c r="AS23" s="249"/>
      <c r="AW23" s="249"/>
      <c r="BA23" s="249"/>
      <c r="BE23" s="249"/>
      <c r="BI23" s="249"/>
      <c r="BM23" s="249"/>
      <c r="BQ23" s="249"/>
      <c r="BU23" s="249"/>
      <c r="BY23" s="249"/>
      <c r="CC23" s="249"/>
      <c r="CG23" s="249"/>
      <c r="CK23" s="249"/>
      <c r="CO23" s="249"/>
      <c r="CS23" s="249"/>
    </row>
    <row r="24" spans="1:97" s="66" customFormat="1" x14ac:dyDescent="0.25">
      <c r="A24" s="249"/>
      <c r="B24" s="249"/>
      <c r="C24" s="249"/>
      <c r="D24" s="249"/>
      <c r="E24" s="249"/>
      <c r="F24" s="249"/>
      <c r="G24" s="249"/>
      <c r="H24" s="249"/>
      <c r="I24" s="249"/>
      <c r="J24" s="249"/>
      <c r="K24" s="249"/>
      <c r="L24" s="249"/>
      <c r="M24" s="249"/>
      <c r="N24" s="250"/>
      <c r="O24" s="250"/>
      <c r="P24" s="250"/>
      <c r="Q24" s="250"/>
      <c r="S24" s="251"/>
      <c r="T24" s="251"/>
      <c r="U24" s="251"/>
      <c r="V24" s="251"/>
      <c r="W24" s="251"/>
      <c r="X24" s="251"/>
      <c r="Y24" s="251"/>
      <c r="Z24" s="251"/>
      <c r="AA24" s="251"/>
      <c r="AB24" s="251"/>
      <c r="AC24" s="251"/>
      <c r="AD24" s="251"/>
      <c r="AE24" s="251"/>
      <c r="AF24" s="251"/>
      <c r="AG24" s="251"/>
      <c r="AH24" s="251"/>
      <c r="AK24" s="249"/>
      <c r="AO24" s="249"/>
      <c r="AS24" s="249"/>
      <c r="AW24" s="249"/>
      <c r="BA24" s="249"/>
      <c r="BE24" s="249"/>
      <c r="BI24" s="249"/>
      <c r="BM24" s="249"/>
      <c r="BQ24" s="249"/>
      <c r="BU24" s="249"/>
      <c r="BY24" s="249"/>
      <c r="CC24" s="249"/>
      <c r="CG24" s="249"/>
      <c r="CK24" s="249"/>
      <c r="CO24" s="249"/>
      <c r="CS24" s="249"/>
    </row>
    <row r="25" spans="1:97" s="66" customFormat="1" x14ac:dyDescent="0.25">
      <c r="A25" s="249"/>
      <c r="B25" s="249"/>
      <c r="C25" s="249"/>
      <c r="D25" s="249"/>
      <c r="E25" s="249"/>
      <c r="F25" s="249"/>
      <c r="G25" s="249"/>
      <c r="H25" s="249"/>
      <c r="I25" s="249"/>
      <c r="J25" s="249"/>
      <c r="K25" s="249"/>
      <c r="L25" s="249"/>
      <c r="M25" s="249"/>
      <c r="N25" s="250"/>
      <c r="O25" s="250"/>
      <c r="P25" s="250"/>
      <c r="Q25" s="250"/>
      <c r="S25" s="251"/>
      <c r="T25" s="251"/>
      <c r="U25" s="251"/>
      <c r="V25" s="251"/>
      <c r="W25" s="251"/>
      <c r="X25" s="251"/>
      <c r="Y25" s="251"/>
      <c r="Z25" s="251"/>
      <c r="AA25" s="251"/>
      <c r="AB25" s="251"/>
      <c r="AC25" s="251"/>
      <c r="AD25" s="251"/>
      <c r="AE25" s="251"/>
      <c r="AF25" s="251"/>
      <c r="AG25" s="251"/>
      <c r="AH25" s="251"/>
      <c r="AK25" s="249"/>
      <c r="AO25" s="249"/>
      <c r="AS25" s="249"/>
      <c r="AW25" s="249"/>
      <c r="BA25" s="249"/>
      <c r="BE25" s="249"/>
      <c r="BI25" s="249"/>
      <c r="BM25" s="249"/>
      <c r="BQ25" s="249"/>
      <c r="BU25" s="249"/>
      <c r="BY25" s="249"/>
      <c r="CC25" s="249"/>
      <c r="CG25" s="249"/>
      <c r="CK25" s="249"/>
      <c r="CO25" s="249"/>
      <c r="CS25" s="249"/>
    </row>
    <row r="26" spans="1:97" s="66" customFormat="1" x14ac:dyDescent="0.25">
      <c r="A26" s="249"/>
      <c r="B26" s="249"/>
      <c r="C26" s="249"/>
      <c r="D26" s="249"/>
      <c r="E26" s="249"/>
      <c r="F26" s="249"/>
      <c r="G26" s="249"/>
      <c r="H26" s="249"/>
      <c r="I26" s="249"/>
      <c r="J26" s="249"/>
      <c r="K26" s="249"/>
      <c r="L26" s="249"/>
      <c r="M26" s="249"/>
      <c r="N26" s="250"/>
      <c r="O26" s="250"/>
      <c r="P26" s="250"/>
      <c r="Q26" s="250"/>
      <c r="S26" s="251"/>
      <c r="T26" s="251"/>
      <c r="U26" s="251"/>
      <c r="V26" s="251"/>
      <c r="W26" s="251"/>
      <c r="X26" s="251"/>
      <c r="Y26" s="251"/>
      <c r="Z26" s="251"/>
      <c r="AA26" s="251"/>
      <c r="AB26" s="251"/>
      <c r="AC26" s="251"/>
      <c r="AD26" s="251"/>
      <c r="AE26" s="251"/>
      <c r="AF26" s="251"/>
      <c r="AG26" s="251"/>
      <c r="AH26" s="251"/>
      <c r="AK26" s="249"/>
      <c r="AO26" s="249"/>
      <c r="AS26" s="249"/>
      <c r="AW26" s="249"/>
      <c r="BA26" s="249"/>
      <c r="BE26" s="249"/>
      <c r="BI26" s="249"/>
      <c r="BM26" s="249"/>
      <c r="BQ26" s="249"/>
      <c r="BU26" s="249"/>
      <c r="BY26" s="249"/>
      <c r="CC26" s="249"/>
      <c r="CG26" s="249"/>
      <c r="CK26" s="249"/>
      <c r="CO26" s="249"/>
      <c r="CS26" s="249"/>
    </row>
    <row r="27" spans="1:97" s="66" customFormat="1" x14ac:dyDescent="0.25">
      <c r="A27" s="249"/>
      <c r="B27" s="249"/>
      <c r="C27" s="249"/>
      <c r="D27" s="249"/>
      <c r="E27" s="249"/>
      <c r="F27" s="249"/>
      <c r="G27" s="249"/>
      <c r="H27" s="249"/>
      <c r="I27" s="249"/>
      <c r="J27" s="249"/>
      <c r="K27" s="249"/>
      <c r="L27" s="249"/>
      <c r="M27" s="249"/>
      <c r="N27" s="250"/>
      <c r="O27" s="250"/>
      <c r="P27" s="250"/>
      <c r="Q27" s="250"/>
      <c r="S27" s="251"/>
      <c r="T27" s="251"/>
      <c r="U27" s="251"/>
      <c r="V27" s="251"/>
      <c r="W27" s="251"/>
      <c r="X27" s="251"/>
      <c r="Y27" s="251"/>
      <c r="Z27" s="251"/>
      <c r="AA27" s="251"/>
      <c r="AB27" s="251"/>
      <c r="AC27" s="251"/>
      <c r="AD27" s="251"/>
      <c r="AE27" s="251"/>
      <c r="AF27" s="251"/>
      <c r="AG27" s="251"/>
      <c r="AH27" s="251"/>
      <c r="AK27" s="249"/>
      <c r="AO27" s="249"/>
      <c r="AS27" s="249"/>
      <c r="AW27" s="249"/>
      <c r="BA27" s="249"/>
      <c r="BE27" s="249"/>
      <c r="BI27" s="249"/>
      <c r="BM27" s="249"/>
      <c r="BQ27" s="249"/>
      <c r="BU27" s="249"/>
      <c r="BY27" s="249"/>
      <c r="CC27" s="249"/>
      <c r="CG27" s="249"/>
      <c r="CK27" s="249"/>
      <c r="CO27" s="249"/>
      <c r="CS27" s="249"/>
    </row>
    <row r="28" spans="1:97" s="66" customFormat="1" x14ac:dyDescent="0.25">
      <c r="A28" s="249"/>
      <c r="B28" s="249"/>
      <c r="C28" s="249"/>
      <c r="D28" s="249"/>
      <c r="E28" s="249"/>
      <c r="F28" s="249"/>
      <c r="G28" s="249"/>
      <c r="H28" s="249"/>
      <c r="I28" s="249"/>
      <c r="J28" s="249"/>
      <c r="K28" s="249"/>
      <c r="L28" s="249"/>
      <c r="M28" s="249"/>
      <c r="N28" s="250"/>
      <c r="O28" s="250"/>
      <c r="P28" s="250"/>
      <c r="Q28" s="250"/>
      <c r="S28" s="251"/>
      <c r="T28" s="251"/>
      <c r="U28" s="251"/>
      <c r="V28" s="251"/>
      <c r="W28" s="251"/>
      <c r="X28" s="251"/>
      <c r="Y28" s="251"/>
      <c r="Z28" s="251"/>
      <c r="AA28" s="251"/>
      <c r="AB28" s="251"/>
      <c r="AC28" s="251"/>
      <c r="AD28" s="251"/>
      <c r="AE28" s="251"/>
      <c r="AF28" s="251"/>
      <c r="AG28" s="251"/>
      <c r="AH28" s="251"/>
      <c r="AK28" s="249"/>
      <c r="AO28" s="249"/>
      <c r="AS28" s="249"/>
      <c r="AW28" s="249"/>
      <c r="BA28" s="249"/>
      <c r="BE28" s="249"/>
      <c r="BI28" s="249"/>
      <c r="BM28" s="249"/>
      <c r="BQ28" s="249"/>
      <c r="BU28" s="249"/>
      <c r="BY28" s="249"/>
      <c r="CC28" s="249"/>
      <c r="CG28" s="249"/>
      <c r="CK28" s="249"/>
      <c r="CO28" s="249"/>
      <c r="CS28" s="249"/>
    </row>
    <row r="29" spans="1:97" s="66" customFormat="1" x14ac:dyDescent="0.25">
      <c r="A29" s="249"/>
      <c r="B29" s="249"/>
      <c r="C29" s="249"/>
      <c r="D29" s="249"/>
      <c r="E29" s="249"/>
      <c r="F29" s="249"/>
      <c r="G29" s="249"/>
      <c r="H29" s="249"/>
      <c r="I29" s="249"/>
      <c r="J29" s="249"/>
      <c r="K29" s="249"/>
      <c r="L29" s="249"/>
      <c r="M29" s="249"/>
      <c r="N29" s="250"/>
      <c r="O29" s="250"/>
      <c r="P29" s="250"/>
      <c r="Q29" s="250"/>
      <c r="S29" s="251"/>
      <c r="T29" s="251"/>
      <c r="U29" s="251"/>
      <c r="V29" s="251"/>
      <c r="W29" s="251"/>
      <c r="X29" s="251"/>
      <c r="Y29" s="251"/>
      <c r="Z29" s="251"/>
      <c r="AA29" s="251"/>
      <c r="AB29" s="251"/>
      <c r="AC29" s="251"/>
      <c r="AD29" s="251"/>
      <c r="AE29" s="251"/>
      <c r="AF29" s="251"/>
      <c r="AG29" s="251"/>
      <c r="AH29" s="251"/>
      <c r="AK29" s="249"/>
      <c r="AO29" s="249"/>
      <c r="AS29" s="249"/>
      <c r="AW29" s="249"/>
      <c r="BA29" s="249"/>
      <c r="BE29" s="249"/>
      <c r="BI29" s="249"/>
      <c r="BM29" s="249"/>
      <c r="BQ29" s="249"/>
      <c r="BU29" s="249"/>
      <c r="BY29" s="249"/>
      <c r="CC29" s="249"/>
      <c r="CG29" s="249"/>
      <c r="CK29" s="249"/>
      <c r="CO29" s="249"/>
      <c r="CS29" s="249"/>
    </row>
    <row r="30" spans="1:97" s="66" customFormat="1" x14ac:dyDescent="0.25">
      <c r="A30" s="249"/>
      <c r="B30" s="249"/>
      <c r="C30" s="249"/>
      <c r="D30" s="249"/>
      <c r="E30" s="249"/>
      <c r="F30" s="249"/>
      <c r="G30" s="249"/>
      <c r="H30" s="249"/>
      <c r="I30" s="249"/>
      <c r="J30" s="249"/>
      <c r="K30" s="249"/>
      <c r="L30" s="249"/>
      <c r="M30" s="249"/>
      <c r="N30" s="250"/>
      <c r="O30" s="250"/>
      <c r="P30" s="250"/>
      <c r="Q30" s="250"/>
      <c r="S30" s="251"/>
      <c r="T30" s="251"/>
      <c r="U30" s="251"/>
      <c r="V30" s="251"/>
      <c r="W30" s="251"/>
      <c r="X30" s="251"/>
      <c r="Y30" s="251"/>
      <c r="Z30" s="251"/>
      <c r="AA30" s="251"/>
      <c r="AB30" s="251"/>
      <c r="AC30" s="251"/>
      <c r="AD30" s="251"/>
      <c r="AE30" s="251"/>
      <c r="AF30" s="251"/>
      <c r="AG30" s="251"/>
      <c r="AH30" s="251"/>
      <c r="AK30" s="249"/>
      <c r="AO30" s="249"/>
      <c r="AS30" s="249"/>
      <c r="AW30" s="249"/>
      <c r="BA30" s="249"/>
      <c r="BE30" s="249"/>
      <c r="BI30" s="249"/>
      <c r="BM30" s="249"/>
      <c r="BQ30" s="249"/>
      <c r="BU30" s="249"/>
      <c r="BY30" s="249"/>
      <c r="CC30" s="249"/>
      <c r="CG30" s="249"/>
      <c r="CK30" s="249"/>
      <c r="CO30" s="249"/>
      <c r="CS30" s="249"/>
    </row>
  </sheetData>
  <sheetProtection algorithmName="SHA-512" hashValue="j1YxrkXQTMiFt8wBmiaiEiNB5rZBFxYm7J0cvdOiRvM1kXC2hV0mmbLDc/BC07pRimgHWbe2qKtSFzgILXTZww==" saltValue="wj2YTn3wUUAfNWvNN+JC+g==" spinCount="100000" sheet="1" objects="1" scenarios="1" insertRows="0"/>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97"/>
  <sheetViews>
    <sheetView showZeros="0" topLeftCell="R4" zoomScale="90" zoomScaleNormal="90" workbookViewId="0">
      <pane ySplit="5" topLeftCell="A9" activePane="bottomLeft" state="frozen"/>
      <selection activeCell="A4" sqref="A4"/>
      <selection pane="bottomLeft" activeCell="Y9" sqref="Y9"/>
    </sheetView>
  </sheetViews>
  <sheetFormatPr baseColWidth="10" defaultRowHeight="15" x14ac:dyDescent="0.25"/>
  <cols>
    <col min="1" max="1" width="11.85546875" style="1" customWidth="1"/>
    <col min="2" max="2" width="14.42578125" style="1" customWidth="1"/>
    <col min="3" max="3" width="11.85546875" style="1" customWidth="1"/>
    <col min="4" max="4" width="13" style="1" customWidth="1"/>
    <col min="5" max="5" width="14.7109375" style="1" customWidth="1"/>
    <col min="6" max="6" width="12.140625" style="1" customWidth="1"/>
    <col min="7" max="8" width="14.140625" style="1" customWidth="1"/>
    <col min="9" max="9" width="16.5703125" style="1" customWidth="1"/>
    <col min="10" max="10" width="16.28515625" style="1" customWidth="1"/>
    <col min="11" max="11" width="14.7109375" style="1" customWidth="1"/>
    <col min="12" max="12" width="14.140625" style="1" customWidth="1"/>
    <col min="13" max="13" width="15.5703125" style="1" customWidth="1"/>
    <col min="14" max="14" width="15.85546875" style="1" customWidth="1"/>
    <col min="15" max="15" width="15.42578125" style="1" customWidth="1"/>
    <col min="16" max="16" width="14.42578125" style="1" customWidth="1"/>
    <col min="17" max="17" width="16.42578125" style="1" customWidth="1"/>
    <col min="18" max="18" width="13.140625" style="1" customWidth="1"/>
    <col min="19" max="19" width="14.7109375" style="1" customWidth="1"/>
    <col min="20" max="20" width="31.42578125" style="1" customWidth="1"/>
    <col min="21" max="21" width="11" style="1" customWidth="1"/>
    <col min="22" max="22" width="13.42578125" style="1" customWidth="1"/>
    <col min="23" max="23" width="15" style="1" customWidth="1"/>
    <col min="24" max="24" width="16" style="1" customWidth="1"/>
    <col min="25" max="25" width="11.7109375" style="1" customWidth="1"/>
    <col min="26" max="26" width="14" style="1" customWidth="1"/>
    <col min="27" max="29" width="11.42578125" style="1"/>
    <col min="30" max="30" width="32.2851562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c r="Q4" s="27"/>
    </row>
    <row r="5" spans="1:42" x14ac:dyDescent="0.25">
      <c r="A5" s="606" t="s">
        <v>4</v>
      </c>
      <c r="B5" s="606"/>
      <c r="C5" s="24" t="s">
        <v>1255</v>
      </c>
      <c r="D5" s="24"/>
      <c r="E5" s="24"/>
      <c r="F5" s="24"/>
      <c r="G5" s="24"/>
      <c r="H5" s="24"/>
      <c r="I5" s="25"/>
      <c r="J5" s="242"/>
      <c r="K5" s="24"/>
      <c r="L5" s="25"/>
      <c r="M5" s="25"/>
      <c r="N5" s="25"/>
      <c r="O5" s="25"/>
      <c r="P5" s="25"/>
      <c r="Q5" s="27"/>
      <c r="R5" s="27"/>
      <c r="S5" s="27"/>
      <c r="T5" s="27"/>
      <c r="U5" s="27"/>
      <c r="V5" s="27"/>
      <c r="W5" s="27"/>
      <c r="X5" s="27"/>
      <c r="Y5" s="27"/>
      <c r="Z5" s="27"/>
      <c r="AA5" s="27"/>
      <c r="AB5" s="27"/>
      <c r="AC5" s="27"/>
      <c r="AD5" s="27"/>
    </row>
    <row r="6" spans="1:42" x14ac:dyDescent="0.25">
      <c r="Q6" s="27"/>
    </row>
    <row r="7" spans="1:42" s="29" customFormat="1" ht="24" customHeight="1"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62.25"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586" t="s">
        <v>79</v>
      </c>
      <c r="X8" s="586" t="s">
        <v>80</v>
      </c>
      <c r="Y8" s="586" t="s">
        <v>81</v>
      </c>
      <c r="Z8" s="586" t="s">
        <v>82</v>
      </c>
      <c r="AA8" s="585" t="s">
        <v>83</v>
      </c>
      <c r="AB8" s="586" t="s">
        <v>84</v>
      </c>
      <c r="AC8" s="586"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260.25" customHeight="1" x14ac:dyDescent="0.25">
      <c r="A9" s="34" t="s">
        <v>23</v>
      </c>
      <c r="B9" s="34" t="s">
        <v>136</v>
      </c>
      <c r="C9" s="34" t="s">
        <v>137</v>
      </c>
      <c r="D9" s="34">
        <v>211150000</v>
      </c>
      <c r="E9" s="34" t="s">
        <v>1257</v>
      </c>
      <c r="F9" s="34" t="s">
        <v>1258</v>
      </c>
      <c r="G9" s="34" t="s">
        <v>1259</v>
      </c>
      <c r="H9" s="36">
        <v>321000000</v>
      </c>
      <c r="I9" s="36">
        <v>321000000</v>
      </c>
      <c r="J9" s="36">
        <v>264465328</v>
      </c>
      <c r="K9" s="36">
        <v>0</v>
      </c>
      <c r="L9" s="36"/>
      <c r="M9" s="36">
        <v>50000000</v>
      </c>
      <c r="N9" s="36">
        <f>H9+K9</f>
        <v>321000000</v>
      </c>
      <c r="O9" s="36">
        <f>I9+L9</f>
        <v>321000000</v>
      </c>
      <c r="P9" s="36">
        <v>264465328</v>
      </c>
      <c r="Q9" s="36">
        <v>264465328</v>
      </c>
      <c r="R9" s="36">
        <v>50000000</v>
      </c>
      <c r="S9" s="36">
        <f>Q9+R9</f>
        <v>314465328</v>
      </c>
      <c r="T9" s="37" t="s">
        <v>1387</v>
      </c>
      <c r="U9" s="37" t="s">
        <v>1241</v>
      </c>
      <c r="V9" s="37">
        <v>1</v>
      </c>
      <c r="W9" s="34">
        <v>1</v>
      </c>
      <c r="X9" s="34">
        <v>1</v>
      </c>
      <c r="Y9" s="34" t="s">
        <v>1388</v>
      </c>
      <c r="Z9" s="34">
        <v>1</v>
      </c>
      <c r="AA9" s="34">
        <v>300</v>
      </c>
      <c r="AB9" s="34">
        <v>30</v>
      </c>
      <c r="AC9" s="34">
        <v>240</v>
      </c>
      <c r="AD9" s="143" t="s">
        <v>1389</v>
      </c>
      <c r="AE9" s="10">
        <v>0</v>
      </c>
      <c r="AF9" s="10">
        <v>0</v>
      </c>
      <c r="AG9" s="10" t="s">
        <v>102</v>
      </c>
      <c r="AH9" s="10" t="s">
        <v>102</v>
      </c>
      <c r="AI9" s="10" t="s">
        <v>102</v>
      </c>
      <c r="AJ9" s="10" t="s">
        <v>102</v>
      </c>
      <c r="AK9" s="10" t="s">
        <v>102</v>
      </c>
      <c r="AL9" s="10" t="s">
        <v>102</v>
      </c>
      <c r="AM9" s="10" t="s">
        <v>102</v>
      </c>
      <c r="AN9" s="10" t="s">
        <v>102</v>
      </c>
      <c r="AO9" s="10" t="s">
        <v>102</v>
      </c>
      <c r="AP9" s="10" t="s">
        <v>102</v>
      </c>
    </row>
    <row r="10" spans="1:42" ht="93" customHeight="1" x14ac:dyDescent="0.25">
      <c r="A10" s="34">
        <v>0</v>
      </c>
      <c r="B10" s="34">
        <v>0</v>
      </c>
      <c r="C10" s="34">
        <v>0</v>
      </c>
      <c r="D10" s="34">
        <v>0</v>
      </c>
      <c r="E10" s="243">
        <v>0</v>
      </c>
      <c r="F10" s="34">
        <v>0</v>
      </c>
      <c r="G10" s="34">
        <v>0</v>
      </c>
      <c r="H10" s="36">
        <v>0</v>
      </c>
      <c r="I10" s="39"/>
      <c r="J10" s="39"/>
      <c r="K10" s="36">
        <v>0</v>
      </c>
      <c r="L10" s="39"/>
      <c r="M10" s="39"/>
      <c r="N10" s="36">
        <f t="shared" ref="N10:P73" si="0">H10+K10</f>
        <v>0</v>
      </c>
      <c r="O10" s="36">
        <f t="shared" si="0"/>
        <v>0</v>
      </c>
      <c r="P10" s="36">
        <f t="shared" si="0"/>
        <v>0</v>
      </c>
      <c r="Q10" s="39"/>
      <c r="R10" s="39">
        <v>5</v>
      </c>
      <c r="S10" s="36">
        <f t="shared" ref="S10:S73" si="1">Q10+R10</f>
        <v>5</v>
      </c>
      <c r="T10" s="37" t="s">
        <v>1390</v>
      </c>
      <c r="U10" s="37" t="s">
        <v>215</v>
      </c>
      <c r="V10" s="37">
        <v>1</v>
      </c>
      <c r="W10" s="10">
        <v>1</v>
      </c>
      <c r="X10" s="10">
        <v>1</v>
      </c>
      <c r="Y10" s="10" t="s">
        <v>1391</v>
      </c>
      <c r="Z10" s="10">
        <v>1</v>
      </c>
      <c r="AA10" s="34">
        <v>270</v>
      </c>
      <c r="AB10" s="10">
        <v>90</v>
      </c>
      <c r="AC10" s="10">
        <v>300</v>
      </c>
      <c r="AD10" s="10" t="s">
        <v>1392</v>
      </c>
      <c r="AE10" s="10">
        <v>0</v>
      </c>
      <c r="AF10" s="10">
        <v>0</v>
      </c>
      <c r="AG10" s="10">
        <v>0</v>
      </c>
      <c r="AH10" s="10" t="s">
        <v>102</v>
      </c>
      <c r="AI10" s="10" t="s">
        <v>102</v>
      </c>
      <c r="AJ10" s="10" t="s">
        <v>102</v>
      </c>
      <c r="AK10" s="10" t="s">
        <v>102</v>
      </c>
      <c r="AL10" s="10" t="s">
        <v>102</v>
      </c>
      <c r="AM10" s="10" t="s">
        <v>102</v>
      </c>
      <c r="AN10" s="10" t="s">
        <v>102</v>
      </c>
      <c r="AO10" s="10" t="s">
        <v>102</v>
      </c>
      <c r="AP10" s="10" t="s">
        <v>102</v>
      </c>
    </row>
    <row r="11" spans="1:42" ht="131.25" customHeight="1" x14ac:dyDescent="0.25">
      <c r="A11" s="34">
        <v>0</v>
      </c>
      <c r="B11" s="34">
        <v>0</v>
      </c>
      <c r="C11" s="34">
        <v>0</v>
      </c>
      <c r="D11" s="34">
        <v>0</v>
      </c>
      <c r="E11" s="243">
        <v>0</v>
      </c>
      <c r="F11" s="34">
        <v>0</v>
      </c>
      <c r="G11" s="34">
        <v>0</v>
      </c>
      <c r="H11" s="36">
        <v>0</v>
      </c>
      <c r="I11" s="39"/>
      <c r="J11" s="39"/>
      <c r="K11" s="36">
        <v>0</v>
      </c>
      <c r="L11" s="39"/>
      <c r="M11" s="39"/>
      <c r="N11" s="36">
        <f t="shared" si="0"/>
        <v>0</v>
      </c>
      <c r="O11" s="36">
        <f t="shared" si="0"/>
        <v>0</v>
      </c>
      <c r="P11" s="36">
        <f t="shared" si="0"/>
        <v>0</v>
      </c>
      <c r="Q11" s="39"/>
      <c r="R11" s="39"/>
      <c r="S11" s="36">
        <f t="shared" si="1"/>
        <v>0</v>
      </c>
      <c r="T11" s="37" t="s">
        <v>1393</v>
      </c>
      <c r="U11" s="37" t="s">
        <v>1241</v>
      </c>
      <c r="V11" s="37">
        <v>1</v>
      </c>
      <c r="W11" s="10">
        <v>1</v>
      </c>
      <c r="X11" s="10">
        <v>1</v>
      </c>
      <c r="Y11" s="10" t="s">
        <v>1394</v>
      </c>
      <c r="Z11" s="10">
        <v>1</v>
      </c>
      <c r="AA11" s="34">
        <v>270</v>
      </c>
      <c r="AB11" s="10" t="s">
        <v>1394</v>
      </c>
      <c r="AC11" s="10">
        <v>180</v>
      </c>
      <c r="AD11" s="10" t="s">
        <v>1395</v>
      </c>
      <c r="AE11" s="10">
        <v>0</v>
      </c>
      <c r="AF11" s="10">
        <v>0</v>
      </c>
      <c r="AG11" s="10">
        <v>0</v>
      </c>
      <c r="AH11" s="10" t="s">
        <v>102</v>
      </c>
      <c r="AI11" s="10" t="s">
        <v>102</v>
      </c>
      <c r="AJ11" s="10" t="s">
        <v>102</v>
      </c>
      <c r="AK11" s="10" t="s">
        <v>102</v>
      </c>
      <c r="AL11" s="10" t="s">
        <v>102</v>
      </c>
      <c r="AM11" s="10" t="s">
        <v>102</v>
      </c>
      <c r="AN11" s="10" t="s">
        <v>102</v>
      </c>
      <c r="AO11" s="10" t="s">
        <v>102</v>
      </c>
      <c r="AP11" s="10" t="s">
        <v>102</v>
      </c>
    </row>
    <row r="12" spans="1:42" ht="114.75" customHeight="1" x14ac:dyDescent="0.25">
      <c r="A12" s="34" t="s">
        <v>23</v>
      </c>
      <c r="B12" s="34" t="s">
        <v>136</v>
      </c>
      <c r="C12" s="34" t="s">
        <v>137</v>
      </c>
      <c r="D12" s="34">
        <v>211170000</v>
      </c>
      <c r="E12" s="34" t="s">
        <v>1263</v>
      </c>
      <c r="F12" s="34" t="s">
        <v>1264</v>
      </c>
      <c r="G12" s="34" t="s">
        <v>1265</v>
      </c>
      <c r="H12" s="36">
        <v>200000000</v>
      </c>
      <c r="I12" s="39">
        <v>60000000</v>
      </c>
      <c r="J12" s="39">
        <v>0</v>
      </c>
      <c r="K12" s="36">
        <v>0</v>
      </c>
      <c r="L12" s="39" t="s">
        <v>858</v>
      </c>
      <c r="M12" s="39"/>
      <c r="N12" s="36">
        <f t="shared" si="0"/>
        <v>200000000</v>
      </c>
      <c r="O12" s="36">
        <v>60000000</v>
      </c>
      <c r="P12" s="36">
        <v>0</v>
      </c>
      <c r="Q12" s="39">
        <v>0</v>
      </c>
      <c r="R12" s="39">
        <v>200000000</v>
      </c>
      <c r="S12" s="36">
        <f t="shared" si="1"/>
        <v>200000000</v>
      </c>
      <c r="T12" s="37" t="s">
        <v>1396</v>
      </c>
      <c r="U12" s="37" t="s">
        <v>1241</v>
      </c>
      <c r="V12" s="37">
        <v>1</v>
      </c>
      <c r="W12" s="10" t="s">
        <v>1397</v>
      </c>
      <c r="X12" s="10" t="s">
        <v>1397</v>
      </c>
      <c r="Y12" s="126" t="s">
        <v>1398</v>
      </c>
      <c r="Z12" s="10">
        <v>0.5</v>
      </c>
      <c r="AA12" s="34">
        <v>330</v>
      </c>
      <c r="AB12" s="10">
        <v>150</v>
      </c>
      <c r="AC12" s="10">
        <v>330</v>
      </c>
      <c r="AD12" s="10" t="s">
        <v>1399</v>
      </c>
      <c r="AE12" s="10">
        <v>0</v>
      </c>
      <c r="AF12" s="10" t="s">
        <v>218</v>
      </c>
      <c r="AG12" s="10" t="s">
        <v>218</v>
      </c>
      <c r="AH12" s="10" t="s">
        <v>218</v>
      </c>
      <c r="AI12" s="10" t="s">
        <v>218</v>
      </c>
      <c r="AJ12" s="10" t="s">
        <v>218</v>
      </c>
      <c r="AK12" s="10" t="s">
        <v>218</v>
      </c>
      <c r="AL12" s="10" t="s">
        <v>218</v>
      </c>
      <c r="AM12" s="10" t="s">
        <v>218</v>
      </c>
      <c r="AN12" s="10" t="s">
        <v>218</v>
      </c>
      <c r="AO12" s="10" t="s">
        <v>218</v>
      </c>
      <c r="AP12" s="10" t="s">
        <v>218</v>
      </c>
    </row>
    <row r="13" spans="1:42" ht="84" x14ac:dyDescent="0.25">
      <c r="A13" s="34" t="s">
        <v>23</v>
      </c>
      <c r="B13" s="34" t="s">
        <v>136</v>
      </c>
      <c r="C13" s="34" t="s">
        <v>137</v>
      </c>
      <c r="D13" s="34">
        <v>211190000</v>
      </c>
      <c r="E13" s="34" t="s">
        <v>1269</v>
      </c>
      <c r="F13" s="34" t="s">
        <v>1270</v>
      </c>
      <c r="G13" s="34" t="s">
        <v>1271</v>
      </c>
      <c r="H13" s="36">
        <v>320000000</v>
      </c>
      <c r="I13" s="39">
        <v>693627315</v>
      </c>
      <c r="J13" s="39">
        <v>909206463</v>
      </c>
      <c r="K13" s="36">
        <v>0</v>
      </c>
      <c r="L13" s="39"/>
      <c r="M13" s="39">
        <v>364800000</v>
      </c>
      <c r="N13" s="36">
        <f t="shared" si="0"/>
        <v>320000000</v>
      </c>
      <c r="O13" s="36">
        <f t="shared" si="0"/>
        <v>693627315</v>
      </c>
      <c r="P13" s="36">
        <f t="shared" si="0"/>
        <v>1274006463</v>
      </c>
      <c r="Q13" s="39">
        <v>907606363</v>
      </c>
      <c r="R13" s="36">
        <v>378000000</v>
      </c>
      <c r="S13" s="36">
        <f t="shared" si="1"/>
        <v>1285606363</v>
      </c>
      <c r="T13" s="37">
        <v>0</v>
      </c>
      <c r="U13" s="37">
        <v>0</v>
      </c>
      <c r="V13" s="37">
        <v>0</v>
      </c>
      <c r="W13" s="10"/>
      <c r="X13" s="10" t="s">
        <v>858</v>
      </c>
      <c r="Y13" s="10"/>
      <c r="Z13" s="10"/>
      <c r="AA13" s="34">
        <v>0</v>
      </c>
      <c r="AB13" s="10"/>
      <c r="AC13" s="10"/>
      <c r="AD13" s="10"/>
      <c r="AE13" s="10">
        <v>0</v>
      </c>
      <c r="AF13" s="10">
        <v>0</v>
      </c>
      <c r="AG13" s="10">
        <v>0</v>
      </c>
      <c r="AH13" s="10">
        <v>0</v>
      </c>
      <c r="AI13" s="10">
        <v>0</v>
      </c>
      <c r="AJ13" s="10">
        <v>0</v>
      </c>
      <c r="AK13" s="10">
        <v>0</v>
      </c>
      <c r="AL13" s="10">
        <v>0</v>
      </c>
      <c r="AM13" s="10">
        <v>0</v>
      </c>
      <c r="AN13" s="10">
        <v>0</v>
      </c>
      <c r="AO13" s="10">
        <v>0</v>
      </c>
      <c r="AP13" s="10">
        <v>0</v>
      </c>
    </row>
    <row r="14" spans="1:42" ht="81" customHeight="1" x14ac:dyDescent="0.25">
      <c r="A14" s="34">
        <v>0</v>
      </c>
      <c r="B14" s="34">
        <v>0</v>
      </c>
      <c r="C14" s="34">
        <v>0</v>
      </c>
      <c r="D14" s="34">
        <v>0</v>
      </c>
      <c r="E14" s="243">
        <v>0</v>
      </c>
      <c r="F14" s="34">
        <v>0</v>
      </c>
      <c r="G14" s="34">
        <v>0</v>
      </c>
      <c r="H14" s="36">
        <v>0</v>
      </c>
      <c r="I14" s="39">
        <v>0</v>
      </c>
      <c r="J14" s="39"/>
      <c r="K14" s="36">
        <v>0</v>
      </c>
      <c r="L14" s="39"/>
      <c r="M14" s="39"/>
      <c r="N14" s="36">
        <f t="shared" si="0"/>
        <v>0</v>
      </c>
      <c r="O14" s="36">
        <f t="shared" si="0"/>
        <v>0</v>
      </c>
      <c r="P14" s="36">
        <f t="shared" si="0"/>
        <v>0</v>
      </c>
      <c r="Q14" s="39">
        <v>0</v>
      </c>
      <c r="R14" s="39"/>
      <c r="S14" s="36">
        <f t="shared" si="1"/>
        <v>0</v>
      </c>
      <c r="T14" s="37" t="s">
        <v>1400</v>
      </c>
      <c r="U14" s="37" t="s">
        <v>1241</v>
      </c>
      <c r="V14" s="37">
        <v>12</v>
      </c>
      <c r="W14" s="10">
        <v>12</v>
      </c>
      <c r="X14" s="10">
        <v>12</v>
      </c>
      <c r="Y14" s="10">
        <v>6</v>
      </c>
      <c r="Z14" s="10">
        <v>12</v>
      </c>
      <c r="AA14" s="34">
        <v>360</v>
      </c>
      <c r="AB14" s="10">
        <v>180</v>
      </c>
      <c r="AC14" s="10">
        <v>360</v>
      </c>
      <c r="AD14" s="10" t="s">
        <v>1401</v>
      </c>
      <c r="AE14" s="10" t="s">
        <v>102</v>
      </c>
      <c r="AF14" s="10" t="s">
        <v>102</v>
      </c>
      <c r="AG14" s="10" t="s">
        <v>102</v>
      </c>
      <c r="AH14" s="10" t="s">
        <v>102</v>
      </c>
      <c r="AI14" s="10" t="s">
        <v>102</v>
      </c>
      <c r="AJ14" s="10" t="s">
        <v>102</v>
      </c>
      <c r="AK14" s="10" t="s">
        <v>102</v>
      </c>
      <c r="AL14" s="10" t="s">
        <v>102</v>
      </c>
      <c r="AM14" s="10" t="s">
        <v>102</v>
      </c>
      <c r="AN14" s="10" t="s">
        <v>102</v>
      </c>
      <c r="AO14" s="10" t="s">
        <v>102</v>
      </c>
      <c r="AP14" s="10" t="s">
        <v>102</v>
      </c>
    </row>
    <row r="15" spans="1:42" ht="67.5" customHeight="1" x14ac:dyDescent="0.25">
      <c r="A15" s="34">
        <v>0</v>
      </c>
      <c r="B15" s="34">
        <v>0</v>
      </c>
      <c r="C15" s="34">
        <v>0</v>
      </c>
      <c r="D15" s="34">
        <v>0</v>
      </c>
      <c r="E15" s="243">
        <v>0</v>
      </c>
      <c r="F15" s="34">
        <v>0</v>
      </c>
      <c r="G15" s="34">
        <v>0</v>
      </c>
      <c r="H15" s="36">
        <v>0</v>
      </c>
      <c r="I15" s="39"/>
      <c r="J15" s="39"/>
      <c r="K15" s="36">
        <v>0</v>
      </c>
      <c r="L15" s="39"/>
      <c r="M15" s="39"/>
      <c r="N15" s="36">
        <f t="shared" si="0"/>
        <v>0</v>
      </c>
      <c r="O15" s="36">
        <f t="shared" si="0"/>
        <v>0</v>
      </c>
      <c r="P15" s="36">
        <f t="shared" si="0"/>
        <v>0</v>
      </c>
      <c r="Q15" s="39"/>
      <c r="R15" s="39"/>
      <c r="S15" s="36">
        <f t="shared" si="1"/>
        <v>0</v>
      </c>
      <c r="T15" s="37" t="s">
        <v>1402</v>
      </c>
      <c r="U15" s="37" t="s">
        <v>215</v>
      </c>
      <c r="V15" s="37">
        <v>12</v>
      </c>
      <c r="W15" s="10">
        <v>12</v>
      </c>
      <c r="X15" s="10">
        <v>12</v>
      </c>
      <c r="Y15" s="10">
        <v>6</v>
      </c>
      <c r="Z15" s="10">
        <v>8</v>
      </c>
      <c r="AA15" s="34">
        <v>360</v>
      </c>
      <c r="AB15" s="10">
        <v>180</v>
      </c>
      <c r="AC15" s="10">
        <v>360</v>
      </c>
      <c r="AD15" s="10" t="s">
        <v>1403</v>
      </c>
      <c r="AE15" s="10" t="s">
        <v>102</v>
      </c>
      <c r="AF15" s="10" t="s">
        <v>102</v>
      </c>
      <c r="AG15" s="10" t="s">
        <v>102</v>
      </c>
      <c r="AH15" s="10" t="s">
        <v>102</v>
      </c>
      <c r="AI15" s="10" t="s">
        <v>102</v>
      </c>
      <c r="AJ15" s="10" t="s">
        <v>102</v>
      </c>
      <c r="AK15" s="10" t="s">
        <v>102</v>
      </c>
      <c r="AL15" s="10" t="s">
        <v>102</v>
      </c>
      <c r="AM15" s="10" t="s">
        <v>102</v>
      </c>
      <c r="AN15" s="10" t="s">
        <v>102</v>
      </c>
      <c r="AO15" s="10" t="s">
        <v>102</v>
      </c>
      <c r="AP15" s="10" t="s">
        <v>102</v>
      </c>
    </row>
    <row r="16" spans="1:42" ht="53.25" customHeight="1" x14ac:dyDescent="0.25">
      <c r="A16" s="34">
        <v>0</v>
      </c>
      <c r="B16" s="34">
        <v>0</v>
      </c>
      <c r="C16" s="34">
        <v>0</v>
      </c>
      <c r="D16" s="34">
        <v>0</v>
      </c>
      <c r="E16" s="243">
        <v>0</v>
      </c>
      <c r="F16" s="34">
        <v>0</v>
      </c>
      <c r="G16" s="34">
        <v>0</v>
      </c>
      <c r="H16" s="36">
        <v>0</v>
      </c>
      <c r="I16" s="39"/>
      <c r="J16" s="39"/>
      <c r="K16" s="36">
        <v>0</v>
      </c>
      <c r="L16" s="39"/>
      <c r="M16" s="39"/>
      <c r="N16" s="36">
        <f t="shared" si="0"/>
        <v>0</v>
      </c>
      <c r="O16" s="36">
        <f t="shared" si="0"/>
        <v>0</v>
      </c>
      <c r="P16" s="36">
        <f t="shared" si="0"/>
        <v>0</v>
      </c>
      <c r="Q16" s="39"/>
      <c r="R16" s="39"/>
      <c r="S16" s="36">
        <f t="shared" si="1"/>
        <v>0</v>
      </c>
      <c r="T16" s="37" t="s">
        <v>1404</v>
      </c>
      <c r="U16" s="37" t="s">
        <v>1241</v>
      </c>
      <c r="V16" s="37">
        <v>1</v>
      </c>
      <c r="W16" s="10">
        <v>1</v>
      </c>
      <c r="X16" s="27">
        <v>1</v>
      </c>
      <c r="Y16" s="10" t="s">
        <v>1397</v>
      </c>
      <c r="Z16" s="10">
        <v>1</v>
      </c>
      <c r="AA16" s="34">
        <v>120</v>
      </c>
      <c r="AB16" s="10">
        <v>150</v>
      </c>
      <c r="AC16" s="10">
        <v>270</v>
      </c>
      <c r="AD16" s="10" t="s">
        <v>1405</v>
      </c>
      <c r="AE16" s="10">
        <v>0</v>
      </c>
      <c r="AF16" s="10" t="s">
        <v>102</v>
      </c>
      <c r="AG16" s="10" t="s">
        <v>102</v>
      </c>
      <c r="AH16" s="10" t="s">
        <v>102</v>
      </c>
      <c r="AI16" s="10" t="s">
        <v>102</v>
      </c>
      <c r="AJ16" s="10">
        <v>0</v>
      </c>
      <c r="AK16" s="10">
        <v>0</v>
      </c>
      <c r="AL16" s="10" t="s">
        <v>102</v>
      </c>
      <c r="AM16" s="10" t="s">
        <v>102</v>
      </c>
      <c r="AN16" s="10" t="s">
        <v>102</v>
      </c>
      <c r="AO16" s="10" t="s">
        <v>102</v>
      </c>
      <c r="AP16" s="10" t="s">
        <v>102</v>
      </c>
    </row>
    <row r="17" spans="1:46" ht="75.75" customHeight="1" x14ac:dyDescent="0.25">
      <c r="A17" s="34">
        <v>0</v>
      </c>
      <c r="B17" s="34">
        <v>0</v>
      </c>
      <c r="C17" s="34">
        <v>0</v>
      </c>
      <c r="D17" s="34">
        <v>0</v>
      </c>
      <c r="E17" s="243">
        <v>0</v>
      </c>
      <c r="F17" s="34">
        <v>0</v>
      </c>
      <c r="G17" s="34">
        <v>0</v>
      </c>
      <c r="H17" s="36">
        <v>0</v>
      </c>
      <c r="I17" s="39"/>
      <c r="J17" s="39"/>
      <c r="K17" s="36">
        <v>0</v>
      </c>
      <c r="L17" s="39"/>
      <c r="M17" s="39"/>
      <c r="N17" s="36">
        <f t="shared" si="0"/>
        <v>0</v>
      </c>
      <c r="O17" s="36">
        <f t="shared" si="0"/>
        <v>0</v>
      </c>
      <c r="P17" s="36">
        <f t="shared" si="0"/>
        <v>0</v>
      </c>
      <c r="Q17" s="39"/>
      <c r="R17" s="39"/>
      <c r="S17" s="36">
        <f t="shared" si="1"/>
        <v>0</v>
      </c>
      <c r="T17" s="37" t="s">
        <v>1406</v>
      </c>
      <c r="U17" s="37" t="s">
        <v>1241</v>
      </c>
      <c r="V17" s="37">
        <v>2</v>
      </c>
      <c r="W17" s="10">
        <v>2</v>
      </c>
      <c r="X17" s="27"/>
      <c r="Y17" s="10" t="s">
        <v>1407</v>
      </c>
      <c r="Z17" s="10" t="s">
        <v>1407</v>
      </c>
      <c r="AA17" s="34">
        <v>360</v>
      </c>
      <c r="AB17" s="10" t="s">
        <v>1407</v>
      </c>
      <c r="AC17" s="10" t="s">
        <v>1407</v>
      </c>
      <c r="AD17" s="10" t="s">
        <v>1408</v>
      </c>
      <c r="AE17" s="10" t="s">
        <v>102</v>
      </c>
      <c r="AF17" s="10" t="s">
        <v>102</v>
      </c>
      <c r="AG17" s="10" t="s">
        <v>102</v>
      </c>
      <c r="AH17" s="10" t="s">
        <v>102</v>
      </c>
      <c r="AI17" s="10" t="s">
        <v>102</v>
      </c>
      <c r="AJ17" s="10" t="s">
        <v>102</v>
      </c>
      <c r="AK17" s="10" t="s">
        <v>102</v>
      </c>
      <c r="AL17" s="10" t="s">
        <v>102</v>
      </c>
      <c r="AM17" s="10" t="s">
        <v>102</v>
      </c>
      <c r="AN17" s="10" t="s">
        <v>102</v>
      </c>
      <c r="AO17" s="10" t="s">
        <v>102</v>
      </c>
      <c r="AP17" s="10" t="s">
        <v>102</v>
      </c>
      <c r="AT17" s="1" t="s">
        <v>1409</v>
      </c>
    </row>
    <row r="18" spans="1:46" ht="129" customHeight="1" x14ac:dyDescent="0.25">
      <c r="A18" s="34">
        <v>0</v>
      </c>
      <c r="B18" s="34">
        <v>0</v>
      </c>
      <c r="C18" s="34">
        <v>0</v>
      </c>
      <c r="D18" s="34">
        <v>0</v>
      </c>
      <c r="E18" s="243">
        <v>0</v>
      </c>
      <c r="F18" s="34">
        <v>0</v>
      </c>
      <c r="G18" s="34">
        <v>0</v>
      </c>
      <c r="H18" s="36">
        <v>0</v>
      </c>
      <c r="I18" s="39"/>
      <c r="J18" s="39"/>
      <c r="K18" s="36">
        <v>0</v>
      </c>
      <c r="L18" s="39"/>
      <c r="M18" s="39"/>
      <c r="N18" s="36">
        <f t="shared" si="0"/>
        <v>0</v>
      </c>
      <c r="O18" s="36">
        <f t="shared" si="0"/>
        <v>0</v>
      </c>
      <c r="P18" s="36">
        <f t="shared" si="0"/>
        <v>0</v>
      </c>
      <c r="Q18" s="39"/>
      <c r="R18" s="39"/>
      <c r="S18" s="36">
        <f t="shared" si="1"/>
        <v>0</v>
      </c>
      <c r="T18" s="37" t="s">
        <v>1410</v>
      </c>
      <c r="U18" s="37" t="s">
        <v>1241</v>
      </c>
      <c r="V18" s="37">
        <v>3</v>
      </c>
      <c r="W18" s="10">
        <v>3</v>
      </c>
      <c r="X18" s="10">
        <v>4</v>
      </c>
      <c r="Y18" s="10">
        <v>1</v>
      </c>
      <c r="Z18" s="10">
        <v>4</v>
      </c>
      <c r="AA18" s="34">
        <v>360</v>
      </c>
      <c r="AB18" s="10">
        <v>180</v>
      </c>
      <c r="AC18" s="10">
        <v>360</v>
      </c>
      <c r="AD18" s="10" t="s">
        <v>1411</v>
      </c>
      <c r="AE18" s="10" t="s">
        <v>102</v>
      </c>
      <c r="AF18" s="10" t="s">
        <v>102</v>
      </c>
      <c r="AG18" s="10" t="s">
        <v>102</v>
      </c>
      <c r="AH18" s="10" t="s">
        <v>102</v>
      </c>
      <c r="AI18" s="10" t="s">
        <v>102</v>
      </c>
      <c r="AJ18" s="10" t="s">
        <v>102</v>
      </c>
      <c r="AK18" s="10" t="s">
        <v>102</v>
      </c>
      <c r="AL18" s="10" t="s">
        <v>102</v>
      </c>
      <c r="AM18" s="10" t="s">
        <v>102</v>
      </c>
      <c r="AN18" s="10" t="s">
        <v>102</v>
      </c>
      <c r="AO18" s="10" t="s">
        <v>102</v>
      </c>
      <c r="AP18" s="10" t="s">
        <v>102</v>
      </c>
    </row>
    <row r="19" spans="1:46" ht="150" x14ac:dyDescent="0.25">
      <c r="A19" s="34">
        <v>0</v>
      </c>
      <c r="B19" s="34">
        <v>0</v>
      </c>
      <c r="C19" s="34">
        <v>0</v>
      </c>
      <c r="D19" s="34">
        <v>0</v>
      </c>
      <c r="E19" s="243">
        <v>0</v>
      </c>
      <c r="F19" s="34">
        <v>0</v>
      </c>
      <c r="G19" s="34">
        <v>0</v>
      </c>
      <c r="H19" s="36">
        <v>0</v>
      </c>
      <c r="I19" s="39"/>
      <c r="J19" s="39"/>
      <c r="K19" s="36">
        <v>0</v>
      </c>
      <c r="L19" s="39"/>
      <c r="M19" s="39"/>
      <c r="N19" s="36">
        <f t="shared" si="0"/>
        <v>0</v>
      </c>
      <c r="O19" s="36">
        <f t="shared" si="0"/>
        <v>0</v>
      </c>
      <c r="P19" s="36">
        <f t="shared" si="0"/>
        <v>0</v>
      </c>
      <c r="Q19" s="39"/>
      <c r="R19" s="39"/>
      <c r="S19" s="36">
        <f t="shared" si="1"/>
        <v>0</v>
      </c>
      <c r="T19" s="37" t="s">
        <v>1412</v>
      </c>
      <c r="U19" s="37" t="s">
        <v>1241</v>
      </c>
      <c r="V19" s="37">
        <v>10</v>
      </c>
      <c r="W19" s="10">
        <v>17</v>
      </c>
      <c r="X19" s="244">
        <v>13</v>
      </c>
      <c r="Y19" s="10">
        <v>12</v>
      </c>
      <c r="Z19" s="10">
        <v>13</v>
      </c>
      <c r="AA19" s="34">
        <v>360</v>
      </c>
      <c r="AB19" s="10">
        <v>180</v>
      </c>
      <c r="AC19" s="10">
        <v>360</v>
      </c>
      <c r="AD19" s="10" t="s">
        <v>1413</v>
      </c>
      <c r="AE19" s="10" t="s">
        <v>102</v>
      </c>
      <c r="AF19" s="10" t="s">
        <v>102</v>
      </c>
      <c r="AG19" s="10" t="s">
        <v>102</v>
      </c>
      <c r="AH19" s="10" t="s">
        <v>102</v>
      </c>
      <c r="AI19" s="10" t="s">
        <v>102</v>
      </c>
      <c r="AJ19" s="10" t="s">
        <v>102</v>
      </c>
      <c r="AK19" s="10" t="s">
        <v>102</v>
      </c>
      <c r="AL19" s="10" t="s">
        <v>102</v>
      </c>
      <c r="AM19" s="10" t="s">
        <v>102</v>
      </c>
      <c r="AN19" s="10" t="s">
        <v>102</v>
      </c>
      <c r="AO19" s="10" t="s">
        <v>102</v>
      </c>
      <c r="AP19" s="10" t="s">
        <v>102</v>
      </c>
    </row>
    <row r="20" spans="1:46" ht="90" customHeight="1" x14ac:dyDescent="0.25">
      <c r="A20" s="34" t="s">
        <v>23</v>
      </c>
      <c r="B20" s="34" t="s">
        <v>142</v>
      </c>
      <c r="C20" s="34" t="s">
        <v>1274</v>
      </c>
      <c r="D20" s="34">
        <v>212110000</v>
      </c>
      <c r="E20" s="34" t="s">
        <v>1276</v>
      </c>
      <c r="F20" s="34" t="s">
        <v>1277</v>
      </c>
      <c r="G20" s="34" t="s">
        <v>1278</v>
      </c>
      <c r="H20" s="36">
        <v>300000000</v>
      </c>
      <c r="I20" s="39">
        <v>180000000</v>
      </c>
      <c r="J20" s="39">
        <v>180000000</v>
      </c>
      <c r="K20" s="36">
        <v>0</v>
      </c>
      <c r="L20" s="39"/>
      <c r="M20" s="39">
        <v>9500000</v>
      </c>
      <c r="N20" s="36">
        <f t="shared" si="0"/>
        <v>300000000</v>
      </c>
      <c r="O20" s="36">
        <f t="shared" si="0"/>
        <v>180000000</v>
      </c>
      <c r="P20" s="36">
        <f t="shared" si="0"/>
        <v>189500000</v>
      </c>
      <c r="Q20" s="39">
        <v>177049245</v>
      </c>
      <c r="R20" s="39"/>
      <c r="S20" s="36">
        <f t="shared" si="1"/>
        <v>177049245</v>
      </c>
      <c r="T20" s="37" t="s">
        <v>1414</v>
      </c>
      <c r="U20" s="37" t="s">
        <v>215</v>
      </c>
      <c r="V20" s="37">
        <v>3</v>
      </c>
      <c r="W20" s="10">
        <v>3</v>
      </c>
      <c r="X20" s="27"/>
      <c r="Y20" s="10" t="s">
        <v>1394</v>
      </c>
      <c r="Z20" s="10"/>
      <c r="AA20" s="34">
        <v>270</v>
      </c>
      <c r="AB20" s="10" t="s">
        <v>858</v>
      </c>
      <c r="AC20" s="27"/>
      <c r="AD20" s="10" t="s">
        <v>1415</v>
      </c>
      <c r="AE20" s="10">
        <v>0</v>
      </c>
      <c r="AF20" s="10">
        <v>0</v>
      </c>
      <c r="AG20" s="10" t="s">
        <v>102</v>
      </c>
      <c r="AH20" s="10" t="s">
        <v>102</v>
      </c>
      <c r="AI20" s="10" t="s">
        <v>102</v>
      </c>
      <c r="AJ20" s="10" t="s">
        <v>102</v>
      </c>
      <c r="AK20" s="10" t="s">
        <v>102</v>
      </c>
      <c r="AL20" s="10" t="s">
        <v>102</v>
      </c>
      <c r="AM20" s="10" t="s">
        <v>102</v>
      </c>
      <c r="AN20" s="10" t="s">
        <v>102</v>
      </c>
      <c r="AO20" s="10" t="s">
        <v>102</v>
      </c>
      <c r="AP20" s="10">
        <v>0</v>
      </c>
    </row>
    <row r="21" spans="1:46" ht="48" customHeight="1" x14ac:dyDescent="0.25">
      <c r="A21" s="34">
        <v>0</v>
      </c>
      <c r="B21" s="34">
        <v>0</v>
      </c>
      <c r="C21" s="34">
        <v>0</v>
      </c>
      <c r="D21" s="34">
        <v>0</v>
      </c>
      <c r="E21" s="243">
        <v>0</v>
      </c>
      <c r="F21" s="34">
        <v>0</v>
      </c>
      <c r="G21" s="34">
        <v>0</v>
      </c>
      <c r="H21" s="36">
        <v>0</v>
      </c>
      <c r="I21" s="39"/>
      <c r="J21" s="39"/>
      <c r="K21" s="36">
        <v>0</v>
      </c>
      <c r="L21" s="39"/>
      <c r="M21" s="39"/>
      <c r="N21" s="36">
        <f t="shared" si="0"/>
        <v>0</v>
      </c>
      <c r="O21" s="36">
        <f t="shared" si="0"/>
        <v>0</v>
      </c>
      <c r="P21" s="36">
        <f t="shared" si="0"/>
        <v>0</v>
      </c>
      <c r="Q21" s="39"/>
      <c r="R21" s="39"/>
      <c r="S21" s="36">
        <f t="shared" si="1"/>
        <v>0</v>
      </c>
      <c r="T21" s="37" t="s">
        <v>1416</v>
      </c>
      <c r="U21" s="37" t="s">
        <v>222</v>
      </c>
      <c r="V21" s="37">
        <v>100</v>
      </c>
      <c r="W21" s="10">
        <v>100</v>
      </c>
      <c r="X21" s="10">
        <v>100</v>
      </c>
      <c r="Y21" s="10">
        <v>50</v>
      </c>
      <c r="Z21" s="10">
        <v>100</v>
      </c>
      <c r="AA21" s="34">
        <v>360</v>
      </c>
      <c r="AB21" s="10">
        <v>180</v>
      </c>
      <c r="AC21" s="10">
        <v>360</v>
      </c>
      <c r="AD21" s="10" t="s">
        <v>1417</v>
      </c>
      <c r="AE21" s="10" t="s">
        <v>102</v>
      </c>
      <c r="AF21" s="10" t="s">
        <v>102</v>
      </c>
      <c r="AG21" s="10" t="s">
        <v>102</v>
      </c>
      <c r="AH21" s="10" t="s">
        <v>102</v>
      </c>
      <c r="AI21" s="10" t="s">
        <v>102</v>
      </c>
      <c r="AJ21" s="10" t="s">
        <v>102</v>
      </c>
      <c r="AK21" s="10" t="s">
        <v>102</v>
      </c>
      <c r="AL21" s="10" t="s">
        <v>102</v>
      </c>
      <c r="AM21" s="10" t="s">
        <v>102</v>
      </c>
      <c r="AN21" s="10" t="s">
        <v>102</v>
      </c>
      <c r="AO21" s="10" t="s">
        <v>102</v>
      </c>
      <c r="AP21" s="10" t="s">
        <v>102</v>
      </c>
    </row>
    <row r="22" spans="1:46" ht="123.75" customHeight="1" x14ac:dyDescent="0.25">
      <c r="A22" s="34">
        <v>0</v>
      </c>
      <c r="B22" s="34">
        <v>0</v>
      </c>
      <c r="C22" s="34">
        <v>0</v>
      </c>
      <c r="D22" s="34">
        <v>0</v>
      </c>
      <c r="E22" s="243">
        <v>0</v>
      </c>
      <c r="F22" s="34">
        <v>0</v>
      </c>
      <c r="G22" s="34">
        <v>0</v>
      </c>
      <c r="H22" s="36">
        <v>0</v>
      </c>
      <c r="I22" s="39"/>
      <c r="J22" s="39"/>
      <c r="K22" s="36">
        <v>0</v>
      </c>
      <c r="L22" s="39"/>
      <c r="M22" s="39"/>
      <c r="N22" s="36">
        <f t="shared" si="0"/>
        <v>0</v>
      </c>
      <c r="O22" s="36">
        <f t="shared" si="0"/>
        <v>0</v>
      </c>
      <c r="P22" s="36">
        <f t="shared" si="0"/>
        <v>0</v>
      </c>
      <c r="Q22" s="39"/>
      <c r="R22" s="39"/>
      <c r="S22" s="36">
        <f t="shared" si="1"/>
        <v>0</v>
      </c>
      <c r="T22" s="37" t="s">
        <v>1418</v>
      </c>
      <c r="U22" s="37" t="s">
        <v>222</v>
      </c>
      <c r="V22" s="37">
        <v>100</v>
      </c>
      <c r="W22" s="10">
        <v>100</v>
      </c>
      <c r="X22" s="10">
        <v>100</v>
      </c>
      <c r="Y22" s="10">
        <v>50</v>
      </c>
      <c r="Z22" s="10">
        <v>100</v>
      </c>
      <c r="AA22" s="34">
        <v>360</v>
      </c>
      <c r="AB22" s="10">
        <v>180</v>
      </c>
      <c r="AC22" s="10">
        <v>360</v>
      </c>
      <c r="AD22" s="10" t="s">
        <v>1419</v>
      </c>
      <c r="AE22" s="10" t="s">
        <v>102</v>
      </c>
      <c r="AF22" s="10" t="s">
        <v>102</v>
      </c>
      <c r="AG22" s="10" t="s">
        <v>102</v>
      </c>
      <c r="AH22" s="10" t="s">
        <v>102</v>
      </c>
      <c r="AI22" s="10" t="s">
        <v>102</v>
      </c>
      <c r="AJ22" s="10" t="s">
        <v>102</v>
      </c>
      <c r="AK22" s="10" t="s">
        <v>102</v>
      </c>
      <c r="AL22" s="10" t="s">
        <v>102</v>
      </c>
      <c r="AM22" s="10" t="s">
        <v>102</v>
      </c>
      <c r="AN22" s="10" t="s">
        <v>102</v>
      </c>
      <c r="AO22" s="10" t="s">
        <v>102</v>
      </c>
      <c r="AP22" s="10" t="s">
        <v>102</v>
      </c>
    </row>
    <row r="23" spans="1:46" ht="71.25" customHeight="1" x14ac:dyDescent="0.25">
      <c r="A23" s="34">
        <v>0</v>
      </c>
      <c r="B23" s="34">
        <v>0</v>
      </c>
      <c r="C23" s="34">
        <v>0</v>
      </c>
      <c r="D23" s="34">
        <v>0</v>
      </c>
      <c r="E23" s="243">
        <v>0</v>
      </c>
      <c r="F23" s="34">
        <v>0</v>
      </c>
      <c r="G23" s="34">
        <v>0</v>
      </c>
      <c r="H23" s="36">
        <v>0</v>
      </c>
      <c r="I23" s="39"/>
      <c r="J23" s="39"/>
      <c r="K23" s="36">
        <v>0</v>
      </c>
      <c r="L23" s="39"/>
      <c r="M23" s="39"/>
      <c r="N23" s="36">
        <f t="shared" si="0"/>
        <v>0</v>
      </c>
      <c r="O23" s="36">
        <f t="shared" si="0"/>
        <v>0</v>
      </c>
      <c r="P23" s="36">
        <f t="shared" si="0"/>
        <v>0</v>
      </c>
      <c r="Q23" s="39"/>
      <c r="R23" s="39"/>
      <c r="S23" s="36">
        <f t="shared" si="1"/>
        <v>0</v>
      </c>
      <c r="T23" s="37" t="s">
        <v>1420</v>
      </c>
      <c r="U23" s="37" t="s">
        <v>1421</v>
      </c>
      <c r="V23" s="37">
        <v>2</v>
      </c>
      <c r="W23" s="10">
        <v>2</v>
      </c>
      <c r="X23" s="10">
        <v>2</v>
      </c>
      <c r="Y23" s="10">
        <v>1</v>
      </c>
      <c r="Z23" s="10">
        <v>2</v>
      </c>
      <c r="AA23" s="34">
        <v>60</v>
      </c>
      <c r="AB23" s="10">
        <v>30</v>
      </c>
      <c r="AC23" s="10">
        <v>90</v>
      </c>
      <c r="AD23" s="10" t="s">
        <v>1422</v>
      </c>
      <c r="AE23" s="10">
        <v>0</v>
      </c>
      <c r="AF23" s="10">
        <v>0</v>
      </c>
      <c r="AG23" s="10">
        <v>0</v>
      </c>
      <c r="AH23" s="10">
        <v>0</v>
      </c>
      <c r="AI23" s="10" t="s">
        <v>102</v>
      </c>
      <c r="AJ23" s="10">
        <v>0</v>
      </c>
      <c r="AK23" s="10">
        <v>0</v>
      </c>
      <c r="AL23" s="10">
        <v>0</v>
      </c>
      <c r="AM23" s="10" t="s">
        <v>102</v>
      </c>
      <c r="AN23" s="10">
        <v>0</v>
      </c>
      <c r="AO23" s="10">
        <v>0</v>
      </c>
      <c r="AP23" s="10">
        <v>0</v>
      </c>
    </row>
    <row r="24" spans="1:46" ht="90" x14ac:dyDescent="0.25">
      <c r="A24" s="34">
        <v>0</v>
      </c>
      <c r="B24" s="34">
        <v>0</v>
      </c>
      <c r="C24" s="34">
        <v>0</v>
      </c>
      <c r="D24" s="34">
        <v>0</v>
      </c>
      <c r="E24" s="243">
        <v>0</v>
      </c>
      <c r="F24" s="34">
        <v>0</v>
      </c>
      <c r="G24" s="34">
        <v>0</v>
      </c>
      <c r="H24" s="36">
        <v>0</v>
      </c>
      <c r="I24" s="39"/>
      <c r="J24" s="39"/>
      <c r="K24" s="36">
        <v>0</v>
      </c>
      <c r="L24" s="39"/>
      <c r="M24" s="39"/>
      <c r="N24" s="36">
        <f t="shared" si="0"/>
        <v>0</v>
      </c>
      <c r="O24" s="36">
        <f t="shared" si="0"/>
        <v>0</v>
      </c>
      <c r="P24" s="36">
        <f t="shared" si="0"/>
        <v>0</v>
      </c>
      <c r="Q24" s="39"/>
      <c r="R24" s="39"/>
      <c r="S24" s="36">
        <f t="shared" si="1"/>
        <v>0</v>
      </c>
      <c r="T24" s="37" t="s">
        <v>1423</v>
      </c>
      <c r="U24" s="37" t="s">
        <v>1241</v>
      </c>
      <c r="V24" s="37">
        <v>12</v>
      </c>
      <c r="W24" s="10">
        <v>12</v>
      </c>
      <c r="X24" s="10">
        <v>12</v>
      </c>
      <c r="Y24" s="10">
        <v>5</v>
      </c>
      <c r="Z24" s="10">
        <v>12</v>
      </c>
      <c r="AA24" s="34">
        <v>330</v>
      </c>
      <c r="AB24" s="10">
        <v>150</v>
      </c>
      <c r="AC24" s="10">
        <v>330</v>
      </c>
      <c r="AD24" s="10" t="s">
        <v>1424</v>
      </c>
      <c r="AE24" s="10">
        <v>0</v>
      </c>
      <c r="AF24" s="10" t="s">
        <v>102</v>
      </c>
      <c r="AG24" s="10" t="s">
        <v>102</v>
      </c>
      <c r="AH24" s="10" t="s">
        <v>102</v>
      </c>
      <c r="AI24" s="10" t="s">
        <v>102</v>
      </c>
      <c r="AJ24" s="10" t="s">
        <v>102</v>
      </c>
      <c r="AK24" s="10" t="s">
        <v>102</v>
      </c>
      <c r="AL24" s="10" t="s">
        <v>102</v>
      </c>
      <c r="AM24" s="10" t="s">
        <v>102</v>
      </c>
      <c r="AN24" s="10" t="s">
        <v>102</v>
      </c>
      <c r="AO24" s="10" t="s">
        <v>102</v>
      </c>
      <c r="AP24" s="10" t="s">
        <v>102</v>
      </c>
    </row>
    <row r="25" spans="1:46" ht="90" x14ac:dyDescent="0.25">
      <c r="A25" s="34">
        <v>0</v>
      </c>
      <c r="B25" s="34">
        <v>0</v>
      </c>
      <c r="C25" s="34">
        <v>0</v>
      </c>
      <c r="D25" s="34">
        <v>0</v>
      </c>
      <c r="E25" s="243">
        <v>0</v>
      </c>
      <c r="F25" s="34">
        <v>0</v>
      </c>
      <c r="G25" s="34">
        <v>0</v>
      </c>
      <c r="H25" s="36">
        <v>0</v>
      </c>
      <c r="I25" s="39"/>
      <c r="J25" s="39"/>
      <c r="K25" s="36">
        <v>0</v>
      </c>
      <c r="L25" s="39"/>
      <c r="M25" s="39"/>
      <c r="N25" s="36">
        <f t="shared" si="0"/>
        <v>0</v>
      </c>
      <c r="O25" s="36">
        <f t="shared" si="0"/>
        <v>0</v>
      </c>
      <c r="P25" s="36">
        <f t="shared" si="0"/>
        <v>0</v>
      </c>
      <c r="Q25" s="39"/>
      <c r="R25" s="39"/>
      <c r="S25" s="36">
        <f t="shared" si="1"/>
        <v>0</v>
      </c>
      <c r="T25" s="37" t="s">
        <v>1425</v>
      </c>
      <c r="U25" s="37" t="s">
        <v>1241</v>
      </c>
      <c r="V25" s="37">
        <v>9</v>
      </c>
      <c r="W25" s="10">
        <v>9</v>
      </c>
      <c r="X25" s="10">
        <v>16</v>
      </c>
      <c r="Y25" s="10">
        <v>5</v>
      </c>
      <c r="Z25" s="10">
        <v>16</v>
      </c>
      <c r="AA25" s="34">
        <v>120</v>
      </c>
      <c r="AB25" s="10">
        <v>150</v>
      </c>
      <c r="AC25" s="10">
        <v>330</v>
      </c>
      <c r="AD25" s="10" t="s">
        <v>1426</v>
      </c>
      <c r="AE25" s="10">
        <v>0</v>
      </c>
      <c r="AF25" s="10" t="s">
        <v>102</v>
      </c>
      <c r="AG25" s="10" t="s">
        <v>102</v>
      </c>
      <c r="AH25" s="10" t="s">
        <v>102</v>
      </c>
      <c r="AI25" s="10">
        <v>0</v>
      </c>
      <c r="AJ25" s="10">
        <v>0</v>
      </c>
      <c r="AK25" s="10">
        <v>0</v>
      </c>
      <c r="AL25" s="10">
        <v>0</v>
      </c>
      <c r="AM25" s="10">
        <v>0</v>
      </c>
      <c r="AN25" s="10">
        <v>0</v>
      </c>
      <c r="AO25" s="10">
        <v>0</v>
      </c>
      <c r="AP25" s="10" t="s">
        <v>102</v>
      </c>
    </row>
    <row r="26" spans="1:46" ht="119.25" customHeight="1" x14ac:dyDescent="0.25">
      <c r="A26" s="34">
        <v>0</v>
      </c>
      <c r="B26" s="34">
        <v>0</v>
      </c>
      <c r="C26" s="34">
        <v>0</v>
      </c>
      <c r="D26" s="34">
        <v>0</v>
      </c>
      <c r="E26" s="243">
        <v>0</v>
      </c>
      <c r="F26" s="34">
        <v>0</v>
      </c>
      <c r="G26" s="34">
        <v>0</v>
      </c>
      <c r="H26" s="36">
        <v>0</v>
      </c>
      <c r="I26" s="39"/>
      <c r="J26" s="39"/>
      <c r="K26" s="36">
        <v>0</v>
      </c>
      <c r="L26" s="39"/>
      <c r="M26" s="39"/>
      <c r="N26" s="36">
        <f t="shared" si="0"/>
        <v>0</v>
      </c>
      <c r="O26" s="36">
        <f t="shared" si="0"/>
        <v>0</v>
      </c>
      <c r="P26" s="36">
        <f t="shared" si="0"/>
        <v>0</v>
      </c>
      <c r="Q26" s="39"/>
      <c r="R26" s="39"/>
      <c r="S26" s="36">
        <f t="shared" si="1"/>
        <v>0</v>
      </c>
      <c r="T26" s="37" t="s">
        <v>1427</v>
      </c>
      <c r="U26" s="37" t="s">
        <v>222</v>
      </c>
      <c r="V26" s="37">
        <v>100</v>
      </c>
      <c r="W26" s="10">
        <v>100</v>
      </c>
      <c r="X26" s="244">
        <v>60</v>
      </c>
      <c r="Y26" s="10" t="s">
        <v>1407</v>
      </c>
      <c r="Z26" s="10">
        <v>60</v>
      </c>
      <c r="AA26" s="34">
        <v>360</v>
      </c>
      <c r="AB26" s="10" t="s">
        <v>1407</v>
      </c>
      <c r="AC26" s="10">
        <v>180</v>
      </c>
      <c r="AD26" s="10" t="s">
        <v>1428</v>
      </c>
      <c r="AE26" s="10" t="s">
        <v>102</v>
      </c>
      <c r="AF26" s="10" t="s">
        <v>102</v>
      </c>
      <c r="AG26" s="10" t="s">
        <v>102</v>
      </c>
      <c r="AH26" s="10" t="s">
        <v>102</v>
      </c>
      <c r="AI26" s="10" t="s">
        <v>102</v>
      </c>
      <c r="AJ26" s="10" t="s">
        <v>102</v>
      </c>
      <c r="AK26" s="10" t="s">
        <v>102</v>
      </c>
      <c r="AL26" s="10" t="s">
        <v>102</v>
      </c>
      <c r="AM26" s="10" t="s">
        <v>102</v>
      </c>
      <c r="AN26" s="10" t="s">
        <v>102</v>
      </c>
      <c r="AO26" s="10" t="s">
        <v>102</v>
      </c>
      <c r="AP26" s="10" t="s">
        <v>102</v>
      </c>
    </row>
    <row r="27" spans="1:46" ht="83.25" customHeight="1" x14ac:dyDescent="0.25">
      <c r="A27" s="34">
        <v>0</v>
      </c>
      <c r="B27" s="34">
        <v>0</v>
      </c>
      <c r="C27" s="34">
        <v>0</v>
      </c>
      <c r="D27" s="34">
        <v>0</v>
      </c>
      <c r="E27" s="243">
        <v>0</v>
      </c>
      <c r="F27" s="34">
        <v>0</v>
      </c>
      <c r="G27" s="34">
        <v>0</v>
      </c>
      <c r="H27" s="36">
        <v>0</v>
      </c>
      <c r="I27" s="39"/>
      <c r="J27" s="39"/>
      <c r="K27" s="36">
        <v>0</v>
      </c>
      <c r="L27" s="39"/>
      <c r="M27" s="39"/>
      <c r="N27" s="36">
        <f t="shared" si="0"/>
        <v>0</v>
      </c>
      <c r="O27" s="36">
        <f t="shared" si="0"/>
        <v>0</v>
      </c>
      <c r="P27" s="36">
        <f t="shared" si="0"/>
        <v>0</v>
      </c>
      <c r="Q27" s="39"/>
      <c r="R27" s="39"/>
      <c r="S27" s="36">
        <f t="shared" si="1"/>
        <v>0</v>
      </c>
      <c r="T27" s="37" t="s">
        <v>1429</v>
      </c>
      <c r="U27" s="37" t="s">
        <v>222</v>
      </c>
      <c r="V27" s="37">
        <v>100</v>
      </c>
      <c r="W27" s="10">
        <v>100</v>
      </c>
      <c r="X27" s="10">
        <v>100</v>
      </c>
      <c r="Y27" s="10">
        <v>50</v>
      </c>
      <c r="Z27" s="10">
        <v>100</v>
      </c>
      <c r="AA27" s="34">
        <v>360</v>
      </c>
      <c r="AB27" s="10">
        <v>180</v>
      </c>
      <c r="AC27" s="10">
        <v>360</v>
      </c>
      <c r="AD27" s="10" t="s">
        <v>1430</v>
      </c>
      <c r="AE27" s="10" t="s">
        <v>102</v>
      </c>
      <c r="AF27" s="10" t="s">
        <v>102</v>
      </c>
      <c r="AG27" s="10" t="s">
        <v>102</v>
      </c>
      <c r="AH27" s="10" t="s">
        <v>102</v>
      </c>
      <c r="AI27" s="10" t="s">
        <v>102</v>
      </c>
      <c r="AJ27" s="10" t="s">
        <v>102</v>
      </c>
      <c r="AK27" s="10" t="s">
        <v>102</v>
      </c>
      <c r="AL27" s="10" t="s">
        <v>102</v>
      </c>
      <c r="AM27" s="10" t="s">
        <v>102</v>
      </c>
      <c r="AN27" s="10" t="s">
        <v>102</v>
      </c>
      <c r="AO27" s="10" t="s">
        <v>102</v>
      </c>
      <c r="AP27" s="10" t="s">
        <v>102</v>
      </c>
    </row>
    <row r="28" spans="1:46" ht="105" x14ac:dyDescent="0.25">
      <c r="A28" s="34">
        <v>0</v>
      </c>
      <c r="B28" s="34">
        <v>0</v>
      </c>
      <c r="C28" s="34">
        <v>0</v>
      </c>
      <c r="D28" s="34">
        <v>0</v>
      </c>
      <c r="E28" s="243">
        <v>0</v>
      </c>
      <c r="F28" s="34">
        <v>0</v>
      </c>
      <c r="G28" s="34">
        <v>0</v>
      </c>
      <c r="H28" s="36">
        <v>0</v>
      </c>
      <c r="I28" s="39"/>
      <c r="J28" s="39"/>
      <c r="K28" s="36">
        <v>0</v>
      </c>
      <c r="L28" s="39"/>
      <c r="M28" s="39"/>
      <c r="N28" s="36">
        <f t="shared" si="0"/>
        <v>0</v>
      </c>
      <c r="O28" s="36">
        <f t="shared" si="0"/>
        <v>0</v>
      </c>
      <c r="P28" s="36">
        <f t="shared" si="0"/>
        <v>0</v>
      </c>
      <c r="Q28" s="39"/>
      <c r="R28" s="39"/>
      <c r="S28" s="36">
        <f t="shared" si="1"/>
        <v>0</v>
      </c>
      <c r="T28" s="37" t="s">
        <v>1431</v>
      </c>
      <c r="U28" s="37" t="s">
        <v>222</v>
      </c>
      <c r="V28" s="37">
        <v>100</v>
      </c>
      <c r="W28" s="10">
        <v>100</v>
      </c>
      <c r="X28" s="10">
        <v>100</v>
      </c>
      <c r="Y28" s="10">
        <v>50</v>
      </c>
      <c r="Z28" s="10">
        <v>100</v>
      </c>
      <c r="AA28" s="34">
        <v>300</v>
      </c>
      <c r="AB28" s="10" t="s">
        <v>1407</v>
      </c>
      <c r="AC28" s="10">
        <v>60</v>
      </c>
      <c r="AD28" s="10" t="s">
        <v>1432</v>
      </c>
      <c r="AE28" s="10">
        <v>0</v>
      </c>
      <c r="AF28" s="10" t="s">
        <v>102</v>
      </c>
      <c r="AG28" s="10" t="s">
        <v>102</v>
      </c>
      <c r="AH28" s="10" t="s">
        <v>102</v>
      </c>
      <c r="AI28" s="10" t="s">
        <v>102</v>
      </c>
      <c r="AJ28" s="10" t="s">
        <v>102</v>
      </c>
      <c r="AK28" s="10" t="s">
        <v>102</v>
      </c>
      <c r="AL28" s="10" t="s">
        <v>102</v>
      </c>
      <c r="AM28" s="10" t="s">
        <v>102</v>
      </c>
      <c r="AN28" s="10" t="s">
        <v>102</v>
      </c>
      <c r="AO28" s="10" t="s">
        <v>102</v>
      </c>
      <c r="AP28" s="10">
        <v>0</v>
      </c>
    </row>
    <row r="29" spans="1:46" ht="80.25" customHeight="1" x14ac:dyDescent="0.25">
      <c r="A29" s="34" t="s">
        <v>23</v>
      </c>
      <c r="B29" s="34" t="s">
        <v>142</v>
      </c>
      <c r="C29" s="34" t="s">
        <v>1274</v>
      </c>
      <c r="D29" s="34">
        <v>212110000</v>
      </c>
      <c r="E29" s="34" t="s">
        <v>1281</v>
      </c>
      <c r="F29" s="34" t="s">
        <v>1282</v>
      </c>
      <c r="G29" s="34" t="s">
        <v>1283</v>
      </c>
      <c r="H29" s="36">
        <v>24732877000</v>
      </c>
      <c r="I29" s="39">
        <f>24732877000+12783439490</f>
        <v>37516316490</v>
      </c>
      <c r="J29" s="39">
        <v>37526316490</v>
      </c>
      <c r="K29" s="36">
        <v>0</v>
      </c>
      <c r="L29" s="39"/>
      <c r="M29" s="39"/>
      <c r="N29" s="36">
        <f t="shared" si="0"/>
        <v>24732877000</v>
      </c>
      <c r="O29" s="36">
        <f t="shared" si="0"/>
        <v>37516316490</v>
      </c>
      <c r="P29" s="36">
        <f t="shared" si="0"/>
        <v>37526316490</v>
      </c>
      <c r="Q29" s="39">
        <v>31065122194</v>
      </c>
      <c r="R29" s="39" t="s">
        <v>858</v>
      </c>
      <c r="S29" s="36" t="e">
        <f t="shared" si="1"/>
        <v>#VALUE!</v>
      </c>
      <c r="T29" s="37" t="s">
        <v>1433</v>
      </c>
      <c r="U29" s="37" t="s">
        <v>1241</v>
      </c>
      <c r="V29" s="37">
        <v>2</v>
      </c>
      <c r="W29" s="10">
        <v>2</v>
      </c>
      <c r="X29" s="10">
        <v>3</v>
      </c>
      <c r="Y29" s="10">
        <v>2</v>
      </c>
      <c r="Z29" s="10">
        <v>3</v>
      </c>
      <c r="AA29" s="34">
        <v>120</v>
      </c>
      <c r="AB29" s="10" t="s">
        <v>1434</v>
      </c>
      <c r="AC29" s="10">
        <v>120</v>
      </c>
      <c r="AD29" s="10" t="s">
        <v>1435</v>
      </c>
      <c r="AE29" s="10">
        <v>0</v>
      </c>
      <c r="AF29" s="10">
        <v>0</v>
      </c>
      <c r="AG29" s="10" t="s">
        <v>102</v>
      </c>
      <c r="AH29" s="10" t="s">
        <v>102</v>
      </c>
      <c r="AI29" s="10">
        <v>0</v>
      </c>
      <c r="AJ29" s="10">
        <v>0</v>
      </c>
      <c r="AK29" s="10">
        <v>0</v>
      </c>
      <c r="AL29" s="10">
        <v>0</v>
      </c>
      <c r="AM29" s="10" t="s">
        <v>102</v>
      </c>
      <c r="AN29" s="10" t="s">
        <v>102</v>
      </c>
      <c r="AO29" s="10">
        <v>0</v>
      </c>
      <c r="AP29" s="10">
        <v>0</v>
      </c>
    </row>
    <row r="30" spans="1:46" ht="24" x14ac:dyDescent="0.25">
      <c r="A30" s="34">
        <v>0</v>
      </c>
      <c r="B30" s="34">
        <v>0</v>
      </c>
      <c r="C30" s="34">
        <v>0</v>
      </c>
      <c r="D30" s="34">
        <v>0</v>
      </c>
      <c r="E30" s="243">
        <v>0</v>
      </c>
      <c r="F30" s="34">
        <v>0</v>
      </c>
      <c r="G30" s="34">
        <v>0</v>
      </c>
      <c r="H30" s="36">
        <v>0</v>
      </c>
      <c r="I30" s="39"/>
      <c r="J30" s="39"/>
      <c r="K30" s="36">
        <v>0</v>
      </c>
      <c r="L30" s="39"/>
      <c r="M30" s="39"/>
      <c r="N30" s="36">
        <f t="shared" si="0"/>
        <v>0</v>
      </c>
      <c r="O30" s="36">
        <f t="shared" si="0"/>
        <v>0</v>
      </c>
      <c r="P30" s="36">
        <f t="shared" si="0"/>
        <v>0</v>
      </c>
      <c r="Q30" s="39">
        <v>4573322489</v>
      </c>
      <c r="R30" s="39"/>
      <c r="S30" s="36">
        <f t="shared" si="1"/>
        <v>4573322489</v>
      </c>
      <c r="T30" s="37" t="s">
        <v>1436</v>
      </c>
      <c r="U30" s="37" t="s">
        <v>222</v>
      </c>
      <c r="V30" s="37">
        <v>100</v>
      </c>
      <c r="W30" s="10">
        <v>100</v>
      </c>
      <c r="X30" s="10">
        <v>100</v>
      </c>
      <c r="Y30" s="10">
        <v>100</v>
      </c>
      <c r="Z30" s="10">
        <v>100</v>
      </c>
      <c r="AA30" s="34">
        <v>360</v>
      </c>
      <c r="AB30" s="10">
        <v>180</v>
      </c>
      <c r="AC30" s="10">
        <v>360</v>
      </c>
      <c r="AD30" s="10" t="s">
        <v>1437</v>
      </c>
      <c r="AE30" s="10" t="s">
        <v>102</v>
      </c>
      <c r="AF30" s="10" t="s">
        <v>102</v>
      </c>
      <c r="AG30" s="10" t="s">
        <v>102</v>
      </c>
      <c r="AH30" s="10" t="s">
        <v>102</v>
      </c>
      <c r="AI30" s="10" t="s">
        <v>102</v>
      </c>
      <c r="AJ30" s="10" t="s">
        <v>102</v>
      </c>
      <c r="AK30" s="10" t="s">
        <v>102</v>
      </c>
      <c r="AL30" s="10" t="s">
        <v>102</v>
      </c>
      <c r="AM30" s="10" t="s">
        <v>102</v>
      </c>
      <c r="AN30" s="10" t="s">
        <v>102</v>
      </c>
      <c r="AO30" s="10" t="s">
        <v>102</v>
      </c>
      <c r="AP30" s="10" t="s">
        <v>102</v>
      </c>
    </row>
    <row r="31" spans="1:46" ht="52.5" customHeight="1" x14ac:dyDescent="0.25">
      <c r="A31" s="34" t="s">
        <v>23</v>
      </c>
      <c r="B31" s="34" t="s">
        <v>142</v>
      </c>
      <c r="C31" s="34" t="s">
        <v>1274</v>
      </c>
      <c r="D31" s="34">
        <v>212110000</v>
      </c>
      <c r="E31" s="34" t="s">
        <v>1286</v>
      </c>
      <c r="F31" s="34" t="s">
        <v>1287</v>
      </c>
      <c r="G31" s="34" t="s">
        <v>1288</v>
      </c>
      <c r="H31" s="36">
        <v>150000000</v>
      </c>
      <c r="I31" s="39">
        <v>100000000</v>
      </c>
      <c r="J31" s="39">
        <v>61441500</v>
      </c>
      <c r="K31" s="36">
        <v>0</v>
      </c>
      <c r="L31" s="39"/>
      <c r="M31" s="39"/>
      <c r="N31" s="36">
        <f t="shared" si="0"/>
        <v>150000000</v>
      </c>
      <c r="O31" s="36">
        <f t="shared" si="0"/>
        <v>100000000</v>
      </c>
      <c r="P31" s="36">
        <v>1</v>
      </c>
      <c r="Q31" s="39">
        <v>61441500</v>
      </c>
      <c r="R31" s="39"/>
      <c r="S31" s="36">
        <f t="shared" si="1"/>
        <v>61441500</v>
      </c>
      <c r="T31" s="37" t="s">
        <v>1438</v>
      </c>
      <c r="U31" s="37" t="s">
        <v>222</v>
      </c>
      <c r="V31" s="37">
        <v>100</v>
      </c>
      <c r="W31" s="10">
        <v>100</v>
      </c>
      <c r="X31" s="10">
        <v>100</v>
      </c>
      <c r="Y31" s="10" t="s">
        <v>1407</v>
      </c>
      <c r="Z31" s="10">
        <v>100</v>
      </c>
      <c r="AA31" s="34">
        <v>180</v>
      </c>
      <c r="AB31" s="10" t="s">
        <v>1407</v>
      </c>
      <c r="AC31" s="10">
        <v>90</v>
      </c>
      <c r="AD31" s="10" t="s">
        <v>1439</v>
      </c>
      <c r="AE31" s="10">
        <v>0</v>
      </c>
      <c r="AF31" s="10">
        <v>0</v>
      </c>
      <c r="AG31" s="10" t="s">
        <v>102</v>
      </c>
      <c r="AH31" s="10" t="s">
        <v>102</v>
      </c>
      <c r="AI31" s="10" t="s">
        <v>102</v>
      </c>
      <c r="AJ31" s="10" t="s">
        <v>102</v>
      </c>
      <c r="AK31" s="10" t="s">
        <v>102</v>
      </c>
      <c r="AL31" s="10" t="s">
        <v>102</v>
      </c>
      <c r="AM31" s="10">
        <v>0</v>
      </c>
      <c r="AN31" s="10">
        <v>0</v>
      </c>
      <c r="AO31" s="10" t="s">
        <v>858</v>
      </c>
      <c r="AP31" s="10">
        <v>0</v>
      </c>
    </row>
    <row r="32" spans="1:46" ht="73.5" customHeight="1" x14ac:dyDescent="0.25">
      <c r="A32" s="34">
        <v>0</v>
      </c>
      <c r="B32" s="34">
        <v>0</v>
      </c>
      <c r="C32" s="34">
        <v>0</v>
      </c>
      <c r="D32" s="34">
        <v>0</v>
      </c>
      <c r="E32" s="243">
        <v>0</v>
      </c>
      <c r="F32" s="34">
        <v>0</v>
      </c>
      <c r="G32" s="34">
        <v>0</v>
      </c>
      <c r="H32" s="36">
        <v>0</v>
      </c>
      <c r="I32" s="39"/>
      <c r="J32" s="39"/>
      <c r="K32" s="36">
        <v>0</v>
      </c>
      <c r="L32" s="39"/>
      <c r="M32" s="39"/>
      <c r="N32" s="36">
        <f t="shared" si="0"/>
        <v>0</v>
      </c>
      <c r="O32" s="36">
        <f t="shared" si="0"/>
        <v>0</v>
      </c>
      <c r="P32" s="36">
        <f t="shared" si="0"/>
        <v>0</v>
      </c>
      <c r="Q32" s="39"/>
      <c r="R32" s="39"/>
      <c r="S32" s="36">
        <f t="shared" si="1"/>
        <v>0</v>
      </c>
      <c r="T32" s="37" t="s">
        <v>1440</v>
      </c>
      <c r="U32" s="37" t="s">
        <v>1241</v>
      </c>
      <c r="V32" s="37">
        <v>1</v>
      </c>
      <c r="W32" s="10">
        <v>1</v>
      </c>
      <c r="X32" s="10">
        <v>1</v>
      </c>
      <c r="Y32" s="10" t="s">
        <v>1407</v>
      </c>
      <c r="Z32" s="10">
        <v>1</v>
      </c>
      <c r="AA32" s="34">
        <v>30</v>
      </c>
      <c r="AB32" s="10" t="s">
        <v>1407</v>
      </c>
      <c r="AC32" s="10">
        <v>30</v>
      </c>
      <c r="AD32" s="10" t="s">
        <v>1441</v>
      </c>
      <c r="AE32" s="10">
        <v>0</v>
      </c>
      <c r="AF32" s="10">
        <v>0</v>
      </c>
      <c r="AG32" s="10">
        <v>0</v>
      </c>
      <c r="AH32" s="10">
        <v>0</v>
      </c>
      <c r="AI32" s="10">
        <v>0</v>
      </c>
      <c r="AJ32" s="10">
        <v>0</v>
      </c>
      <c r="AK32" s="10">
        <v>0</v>
      </c>
      <c r="AL32" s="10" t="s">
        <v>102</v>
      </c>
      <c r="AM32" s="10">
        <v>0</v>
      </c>
      <c r="AN32" s="10">
        <v>0</v>
      </c>
      <c r="AO32" s="10">
        <v>0</v>
      </c>
      <c r="AP32" s="10">
        <v>0</v>
      </c>
    </row>
    <row r="33" spans="1:42" ht="62.25" customHeight="1" x14ac:dyDescent="0.25">
      <c r="A33" s="34">
        <v>0</v>
      </c>
      <c r="B33" s="34">
        <v>0</v>
      </c>
      <c r="C33" s="34">
        <v>0</v>
      </c>
      <c r="D33" s="34">
        <v>0</v>
      </c>
      <c r="E33" s="243">
        <v>0</v>
      </c>
      <c r="F33" s="34">
        <v>0</v>
      </c>
      <c r="G33" s="34">
        <v>0</v>
      </c>
      <c r="H33" s="36">
        <v>0</v>
      </c>
      <c r="I33" s="39"/>
      <c r="J33" s="39"/>
      <c r="K33" s="36">
        <v>0</v>
      </c>
      <c r="L33" s="39"/>
      <c r="M33" s="39"/>
      <c r="N33" s="36">
        <f t="shared" si="0"/>
        <v>0</v>
      </c>
      <c r="O33" s="36">
        <f t="shared" si="0"/>
        <v>0</v>
      </c>
      <c r="P33" s="36">
        <f t="shared" si="0"/>
        <v>0</v>
      </c>
      <c r="Q33" s="39"/>
      <c r="R33" s="39"/>
      <c r="S33" s="36">
        <f t="shared" si="1"/>
        <v>0</v>
      </c>
      <c r="T33" s="37" t="s">
        <v>1442</v>
      </c>
      <c r="U33" s="37" t="s">
        <v>1241</v>
      </c>
      <c r="V33" s="37">
        <v>1</v>
      </c>
      <c r="W33" s="10">
        <v>1</v>
      </c>
      <c r="X33" s="10">
        <v>1</v>
      </c>
      <c r="Y33" s="10" t="s">
        <v>1407</v>
      </c>
      <c r="Z33" s="10">
        <v>1</v>
      </c>
      <c r="AA33" s="34">
        <v>60</v>
      </c>
      <c r="AB33" s="10" t="s">
        <v>1407</v>
      </c>
      <c r="AC33" s="10">
        <v>60</v>
      </c>
      <c r="AD33" s="10" t="s">
        <v>1441</v>
      </c>
      <c r="AE33" s="10">
        <v>0</v>
      </c>
      <c r="AF33" s="10">
        <v>0</v>
      </c>
      <c r="AG33" s="10">
        <v>0</v>
      </c>
      <c r="AH33" s="10">
        <v>0</v>
      </c>
      <c r="AI33" s="10">
        <v>0</v>
      </c>
      <c r="AJ33" s="10">
        <v>0</v>
      </c>
      <c r="AK33" s="10">
        <v>0</v>
      </c>
      <c r="AL33" s="10">
        <v>0</v>
      </c>
      <c r="AM33" s="10" t="s">
        <v>102</v>
      </c>
      <c r="AN33" s="10" t="s">
        <v>102</v>
      </c>
      <c r="AO33" s="10">
        <v>0</v>
      </c>
      <c r="AP33" s="10">
        <v>0</v>
      </c>
    </row>
    <row r="34" spans="1:42" ht="78.75" customHeight="1" x14ac:dyDescent="0.25">
      <c r="A34" s="34" t="s">
        <v>23</v>
      </c>
      <c r="B34" s="34" t="s">
        <v>142</v>
      </c>
      <c r="C34" s="34" t="s">
        <v>1274</v>
      </c>
      <c r="D34" s="34">
        <v>212110000</v>
      </c>
      <c r="E34" s="34" t="s">
        <v>1290</v>
      </c>
      <c r="F34" s="34" t="s">
        <v>1291</v>
      </c>
      <c r="G34" s="34" t="s">
        <v>1292</v>
      </c>
      <c r="H34" s="36">
        <v>300000000</v>
      </c>
      <c r="I34" s="39">
        <v>203960274</v>
      </c>
      <c r="J34" s="39">
        <v>203417774</v>
      </c>
      <c r="K34" s="36">
        <v>0</v>
      </c>
      <c r="L34" s="39"/>
      <c r="M34" s="39"/>
      <c r="N34" s="36">
        <f t="shared" si="0"/>
        <v>300000000</v>
      </c>
      <c r="O34" s="36">
        <f t="shared" si="0"/>
        <v>203960274</v>
      </c>
      <c r="P34" s="36">
        <v>203960274</v>
      </c>
      <c r="Q34" s="39">
        <v>203417774</v>
      </c>
      <c r="R34" s="39"/>
      <c r="S34" s="36">
        <f t="shared" si="1"/>
        <v>203417774</v>
      </c>
      <c r="T34" s="37" t="s">
        <v>1443</v>
      </c>
      <c r="U34" s="37" t="s">
        <v>1241</v>
      </c>
      <c r="V34" s="37">
        <v>4</v>
      </c>
      <c r="W34" s="10">
        <v>4</v>
      </c>
      <c r="X34" s="10">
        <v>4</v>
      </c>
      <c r="Y34" s="10">
        <v>1</v>
      </c>
      <c r="Z34" s="10">
        <v>4</v>
      </c>
      <c r="AA34" s="34">
        <v>330</v>
      </c>
      <c r="AB34" s="10">
        <v>150</v>
      </c>
      <c r="AC34" s="10">
        <v>330</v>
      </c>
      <c r="AD34" s="10" t="s">
        <v>1444</v>
      </c>
      <c r="AE34" s="10">
        <v>0</v>
      </c>
      <c r="AF34" s="10" t="s">
        <v>102</v>
      </c>
      <c r="AG34" s="10" t="s">
        <v>102</v>
      </c>
      <c r="AH34" s="10" t="s">
        <v>102</v>
      </c>
      <c r="AI34" s="10" t="s">
        <v>102</v>
      </c>
      <c r="AJ34" s="10" t="s">
        <v>102</v>
      </c>
      <c r="AK34" s="10" t="s">
        <v>102</v>
      </c>
      <c r="AL34" s="10" t="s">
        <v>102</v>
      </c>
      <c r="AM34" s="10" t="s">
        <v>102</v>
      </c>
      <c r="AN34" s="10" t="s">
        <v>102</v>
      </c>
      <c r="AO34" s="10" t="s">
        <v>102</v>
      </c>
      <c r="AP34" s="10" t="s">
        <v>102</v>
      </c>
    </row>
    <row r="35" spans="1:42" ht="80.25" customHeight="1" x14ac:dyDescent="0.25">
      <c r="A35" s="34">
        <v>0</v>
      </c>
      <c r="B35" s="34">
        <v>0</v>
      </c>
      <c r="C35" s="34">
        <v>0</v>
      </c>
      <c r="D35" s="34">
        <v>0</v>
      </c>
      <c r="E35" s="243">
        <v>0</v>
      </c>
      <c r="F35" s="34">
        <v>0</v>
      </c>
      <c r="G35" s="34">
        <v>0</v>
      </c>
      <c r="H35" s="36">
        <v>0</v>
      </c>
      <c r="I35" s="39"/>
      <c r="J35" s="39"/>
      <c r="K35" s="36">
        <v>0</v>
      </c>
      <c r="L35" s="39"/>
      <c r="M35" s="39"/>
      <c r="N35" s="36">
        <f t="shared" si="0"/>
        <v>0</v>
      </c>
      <c r="O35" s="36">
        <f t="shared" si="0"/>
        <v>0</v>
      </c>
      <c r="P35" s="36">
        <f t="shared" si="0"/>
        <v>0</v>
      </c>
      <c r="Q35" s="39"/>
      <c r="R35" s="39"/>
      <c r="S35" s="36">
        <f t="shared" si="1"/>
        <v>0</v>
      </c>
      <c r="T35" s="37" t="s">
        <v>1445</v>
      </c>
      <c r="U35" s="37" t="s">
        <v>1241</v>
      </c>
      <c r="V35" s="37">
        <v>7</v>
      </c>
      <c r="W35" s="10">
        <v>7</v>
      </c>
      <c r="X35" s="10">
        <v>7</v>
      </c>
      <c r="Y35" s="10">
        <v>3</v>
      </c>
      <c r="Z35" s="10">
        <v>7</v>
      </c>
      <c r="AA35" s="34">
        <v>330</v>
      </c>
      <c r="AB35" s="10">
        <v>150</v>
      </c>
      <c r="AC35" s="10">
        <v>330</v>
      </c>
      <c r="AD35" s="10" t="s">
        <v>1446</v>
      </c>
      <c r="AE35" s="10">
        <v>0</v>
      </c>
      <c r="AF35" s="10" t="s">
        <v>102</v>
      </c>
      <c r="AG35" s="10" t="s">
        <v>102</v>
      </c>
      <c r="AH35" s="10" t="s">
        <v>102</v>
      </c>
      <c r="AI35" s="10" t="s">
        <v>102</v>
      </c>
      <c r="AJ35" s="10" t="s">
        <v>102</v>
      </c>
      <c r="AK35" s="10" t="s">
        <v>102</v>
      </c>
      <c r="AL35" s="10" t="s">
        <v>102</v>
      </c>
      <c r="AM35" s="10" t="s">
        <v>102</v>
      </c>
      <c r="AN35" s="10" t="s">
        <v>102</v>
      </c>
      <c r="AO35" s="10" t="s">
        <v>102</v>
      </c>
      <c r="AP35" s="10" t="s">
        <v>102</v>
      </c>
    </row>
    <row r="36" spans="1:42" ht="93" customHeight="1" x14ac:dyDescent="0.25">
      <c r="A36" s="34">
        <v>0</v>
      </c>
      <c r="B36" s="34">
        <v>0</v>
      </c>
      <c r="C36" s="34">
        <v>0</v>
      </c>
      <c r="D36" s="34">
        <v>0</v>
      </c>
      <c r="E36" s="243">
        <v>0</v>
      </c>
      <c r="F36" s="34">
        <v>0</v>
      </c>
      <c r="G36" s="34">
        <v>0</v>
      </c>
      <c r="H36" s="36">
        <v>0</v>
      </c>
      <c r="I36" s="39"/>
      <c r="J36" s="39"/>
      <c r="K36" s="36">
        <v>0</v>
      </c>
      <c r="L36" s="39"/>
      <c r="M36" s="39"/>
      <c r="N36" s="36">
        <f t="shared" si="0"/>
        <v>0</v>
      </c>
      <c r="O36" s="36">
        <f t="shared" si="0"/>
        <v>0</v>
      </c>
      <c r="P36" s="36">
        <f t="shared" si="0"/>
        <v>0</v>
      </c>
      <c r="Q36" s="39"/>
      <c r="R36" s="39"/>
      <c r="S36" s="36">
        <f t="shared" si="1"/>
        <v>0</v>
      </c>
      <c r="T36" s="37" t="s">
        <v>1447</v>
      </c>
      <c r="U36" s="37" t="s">
        <v>1241</v>
      </c>
      <c r="V36" s="37">
        <v>7</v>
      </c>
      <c r="W36" s="10">
        <v>6</v>
      </c>
      <c r="X36" s="10">
        <v>6</v>
      </c>
      <c r="Y36" s="10">
        <v>2</v>
      </c>
      <c r="Z36" s="10">
        <v>5</v>
      </c>
      <c r="AA36" s="34">
        <v>330</v>
      </c>
      <c r="AB36" s="10">
        <v>150</v>
      </c>
      <c r="AC36" s="10">
        <v>330</v>
      </c>
      <c r="AD36" s="10" t="s">
        <v>1448</v>
      </c>
      <c r="AE36" s="10">
        <v>0</v>
      </c>
      <c r="AF36" s="10" t="s">
        <v>102</v>
      </c>
      <c r="AG36" s="10" t="s">
        <v>102</v>
      </c>
      <c r="AH36" s="10" t="s">
        <v>102</v>
      </c>
      <c r="AI36" s="10" t="s">
        <v>102</v>
      </c>
      <c r="AJ36" s="10" t="s">
        <v>102</v>
      </c>
      <c r="AK36" s="10" t="s">
        <v>102</v>
      </c>
      <c r="AL36" s="10" t="s">
        <v>102</v>
      </c>
      <c r="AM36" s="10" t="s">
        <v>102</v>
      </c>
      <c r="AN36" s="10" t="s">
        <v>102</v>
      </c>
      <c r="AO36" s="10" t="s">
        <v>102</v>
      </c>
      <c r="AP36" s="10" t="s">
        <v>102</v>
      </c>
    </row>
    <row r="37" spans="1:42" ht="72" customHeight="1" x14ac:dyDescent="0.25">
      <c r="A37" s="34">
        <v>0</v>
      </c>
      <c r="B37" s="34">
        <v>0</v>
      </c>
      <c r="C37" s="34">
        <v>0</v>
      </c>
      <c r="D37" s="34">
        <v>0</v>
      </c>
      <c r="E37" s="243">
        <v>0</v>
      </c>
      <c r="F37" s="34">
        <v>0</v>
      </c>
      <c r="G37" s="34">
        <v>0</v>
      </c>
      <c r="H37" s="36">
        <v>0</v>
      </c>
      <c r="I37" s="39"/>
      <c r="J37" s="39"/>
      <c r="K37" s="36">
        <v>0</v>
      </c>
      <c r="L37" s="39"/>
      <c r="M37" s="39"/>
      <c r="N37" s="36">
        <f t="shared" si="0"/>
        <v>0</v>
      </c>
      <c r="O37" s="36">
        <f t="shared" si="0"/>
        <v>0</v>
      </c>
      <c r="P37" s="36">
        <f t="shared" si="0"/>
        <v>0</v>
      </c>
      <c r="Q37" s="39"/>
      <c r="R37" s="39"/>
      <c r="S37" s="36">
        <f t="shared" si="1"/>
        <v>0</v>
      </c>
      <c r="T37" s="37" t="s">
        <v>1449</v>
      </c>
      <c r="U37" s="37" t="s">
        <v>1241</v>
      </c>
      <c r="V37" s="37">
        <v>4</v>
      </c>
      <c r="W37" s="10">
        <v>4</v>
      </c>
      <c r="X37" s="10">
        <v>4</v>
      </c>
      <c r="Y37" s="10">
        <v>3</v>
      </c>
      <c r="Z37" s="10">
        <v>4</v>
      </c>
      <c r="AA37" s="34">
        <v>330</v>
      </c>
      <c r="AB37" s="10">
        <v>150</v>
      </c>
      <c r="AC37" s="10">
        <v>330</v>
      </c>
      <c r="AD37" s="10" t="s">
        <v>1450</v>
      </c>
      <c r="AE37" s="10">
        <v>0</v>
      </c>
      <c r="AF37" s="10" t="s">
        <v>102</v>
      </c>
      <c r="AG37" s="10" t="s">
        <v>102</v>
      </c>
      <c r="AH37" s="10" t="s">
        <v>102</v>
      </c>
      <c r="AI37" s="10" t="s">
        <v>102</v>
      </c>
      <c r="AJ37" s="10" t="s">
        <v>102</v>
      </c>
      <c r="AK37" s="10" t="s">
        <v>102</v>
      </c>
      <c r="AL37" s="10" t="s">
        <v>102</v>
      </c>
      <c r="AM37" s="10" t="s">
        <v>102</v>
      </c>
      <c r="AN37" s="10" t="s">
        <v>102</v>
      </c>
      <c r="AO37" s="10" t="s">
        <v>102</v>
      </c>
      <c r="AP37" s="10" t="s">
        <v>102</v>
      </c>
    </row>
    <row r="38" spans="1:42" ht="87.75" customHeight="1" x14ac:dyDescent="0.25">
      <c r="A38" s="34">
        <v>0</v>
      </c>
      <c r="B38" s="34">
        <v>0</v>
      </c>
      <c r="C38" s="34">
        <v>0</v>
      </c>
      <c r="D38" s="34">
        <v>0</v>
      </c>
      <c r="E38" s="243">
        <v>0</v>
      </c>
      <c r="F38" s="34">
        <v>0</v>
      </c>
      <c r="G38" s="34">
        <v>0</v>
      </c>
      <c r="H38" s="36">
        <v>0</v>
      </c>
      <c r="I38" s="39"/>
      <c r="J38" s="39"/>
      <c r="K38" s="36">
        <v>0</v>
      </c>
      <c r="L38" s="39"/>
      <c r="M38" s="39"/>
      <c r="N38" s="36">
        <f t="shared" si="0"/>
        <v>0</v>
      </c>
      <c r="O38" s="36">
        <f t="shared" si="0"/>
        <v>0</v>
      </c>
      <c r="P38" s="36">
        <f t="shared" si="0"/>
        <v>0</v>
      </c>
      <c r="Q38" s="39"/>
      <c r="R38" s="39"/>
      <c r="S38" s="36">
        <f t="shared" si="1"/>
        <v>0</v>
      </c>
      <c r="T38" s="37" t="s">
        <v>1451</v>
      </c>
      <c r="U38" s="37" t="s">
        <v>215</v>
      </c>
      <c r="V38" s="37">
        <v>9</v>
      </c>
      <c r="W38" s="10">
        <v>13</v>
      </c>
      <c r="X38" s="10">
        <v>13</v>
      </c>
      <c r="Y38" s="10">
        <v>5</v>
      </c>
      <c r="Z38" s="10">
        <v>13</v>
      </c>
      <c r="AA38" s="34">
        <v>270</v>
      </c>
      <c r="AB38" s="10">
        <v>90</v>
      </c>
      <c r="AC38" s="10">
        <v>270</v>
      </c>
      <c r="AD38" s="10" t="s">
        <v>1452</v>
      </c>
      <c r="AE38" s="10">
        <v>0</v>
      </c>
      <c r="AF38" s="10">
        <v>0</v>
      </c>
      <c r="AG38" s="10" t="s">
        <v>102</v>
      </c>
      <c r="AH38" s="10" t="s">
        <v>102</v>
      </c>
      <c r="AI38" s="10" t="s">
        <v>102</v>
      </c>
      <c r="AJ38" s="10" t="s">
        <v>102</v>
      </c>
      <c r="AK38" s="10" t="s">
        <v>102</v>
      </c>
      <c r="AL38" s="10" t="s">
        <v>102</v>
      </c>
      <c r="AM38" s="10" t="s">
        <v>102</v>
      </c>
      <c r="AN38" s="10" t="s">
        <v>102</v>
      </c>
      <c r="AO38" s="10">
        <v>0</v>
      </c>
      <c r="AP38" s="10">
        <v>0</v>
      </c>
    </row>
    <row r="39" spans="1:42" ht="87" customHeight="1" x14ac:dyDescent="0.25">
      <c r="A39" s="34" t="s">
        <v>23</v>
      </c>
      <c r="B39" s="34" t="s">
        <v>142</v>
      </c>
      <c r="C39" s="34" t="s">
        <v>1274</v>
      </c>
      <c r="D39" s="34">
        <v>212110000</v>
      </c>
      <c r="E39" s="34" t="s">
        <v>1293</v>
      </c>
      <c r="F39" s="34" t="s">
        <v>1294</v>
      </c>
      <c r="G39" s="34" t="s">
        <v>1295</v>
      </c>
      <c r="H39" s="36">
        <v>160000000</v>
      </c>
      <c r="I39" s="39">
        <v>220776470</v>
      </c>
      <c r="J39" s="39">
        <v>185200000</v>
      </c>
      <c r="K39" s="36">
        <v>0</v>
      </c>
      <c r="L39" s="39"/>
      <c r="M39" s="39"/>
      <c r="N39" s="36">
        <f t="shared" si="0"/>
        <v>160000000</v>
      </c>
      <c r="O39" s="36">
        <f t="shared" si="0"/>
        <v>220776470</v>
      </c>
      <c r="P39" s="36">
        <f t="shared" si="0"/>
        <v>185200000</v>
      </c>
      <c r="Q39" s="39">
        <v>185200000</v>
      </c>
      <c r="R39" s="39"/>
      <c r="S39" s="36">
        <f t="shared" si="1"/>
        <v>185200000</v>
      </c>
      <c r="T39" s="37" t="s">
        <v>1453</v>
      </c>
      <c r="U39" s="37" t="s">
        <v>1241</v>
      </c>
      <c r="V39" s="37">
        <v>7</v>
      </c>
      <c r="W39" s="10">
        <v>25</v>
      </c>
      <c r="X39" s="10">
        <v>25</v>
      </c>
      <c r="Y39" s="10">
        <v>9</v>
      </c>
      <c r="Z39" s="10">
        <v>25</v>
      </c>
      <c r="AA39" s="34">
        <v>270</v>
      </c>
      <c r="AB39" s="10">
        <v>120</v>
      </c>
      <c r="AC39" s="10">
        <v>270</v>
      </c>
      <c r="AD39" s="10" t="s">
        <v>1454</v>
      </c>
      <c r="AE39" s="10">
        <v>0</v>
      </c>
      <c r="AF39" s="10">
        <v>0</v>
      </c>
      <c r="AG39" s="10" t="s">
        <v>102</v>
      </c>
      <c r="AH39" s="10" t="s">
        <v>102</v>
      </c>
      <c r="AI39" s="10" t="s">
        <v>102</v>
      </c>
      <c r="AJ39" s="10" t="s">
        <v>102</v>
      </c>
      <c r="AK39" s="10" t="s">
        <v>102</v>
      </c>
      <c r="AL39" s="10" t="s">
        <v>102</v>
      </c>
      <c r="AM39" s="10" t="s">
        <v>102</v>
      </c>
      <c r="AN39" s="10" t="s">
        <v>102</v>
      </c>
      <c r="AO39" s="10" t="s">
        <v>102</v>
      </c>
      <c r="AP39" s="10" t="s">
        <v>858</v>
      </c>
    </row>
    <row r="40" spans="1:42" ht="61.5" customHeight="1" x14ac:dyDescent="0.25">
      <c r="A40" s="34" t="s">
        <v>23</v>
      </c>
      <c r="B40" s="34" t="s">
        <v>142</v>
      </c>
      <c r="C40" s="34" t="s">
        <v>1274</v>
      </c>
      <c r="D40" s="34">
        <v>212110000</v>
      </c>
      <c r="E40" s="34" t="s">
        <v>1297</v>
      </c>
      <c r="F40" s="34" t="s">
        <v>1298</v>
      </c>
      <c r="G40" s="34" t="s">
        <v>1299</v>
      </c>
      <c r="H40" s="36">
        <v>70000000</v>
      </c>
      <c r="I40" s="39">
        <v>70000000</v>
      </c>
      <c r="J40" s="39">
        <v>121804715</v>
      </c>
      <c r="K40" s="36">
        <v>0</v>
      </c>
      <c r="L40" s="39"/>
      <c r="M40" s="39"/>
      <c r="N40" s="36">
        <f t="shared" si="0"/>
        <v>70000000</v>
      </c>
      <c r="O40" s="36">
        <f t="shared" si="0"/>
        <v>70000000</v>
      </c>
      <c r="P40" s="36">
        <f t="shared" si="0"/>
        <v>121804715</v>
      </c>
      <c r="Q40" s="39">
        <v>121804715</v>
      </c>
      <c r="R40" s="39"/>
      <c r="S40" s="36">
        <f t="shared" si="1"/>
        <v>121804715</v>
      </c>
      <c r="T40" s="37" t="s">
        <v>1455</v>
      </c>
      <c r="U40" s="37" t="s">
        <v>1456</v>
      </c>
      <c r="V40" s="37">
        <v>10</v>
      </c>
      <c r="W40" s="10">
        <v>9</v>
      </c>
      <c r="X40" s="10" t="s">
        <v>1407</v>
      </c>
      <c r="Y40" s="10">
        <v>9</v>
      </c>
      <c r="Z40" s="10">
        <v>9</v>
      </c>
      <c r="AA40" s="34">
        <v>150</v>
      </c>
      <c r="AB40" s="10">
        <v>150</v>
      </c>
      <c r="AC40" s="10">
        <v>150</v>
      </c>
      <c r="AD40" s="10" t="s">
        <v>1457</v>
      </c>
      <c r="AE40" s="10">
        <v>0</v>
      </c>
      <c r="AF40" s="10" t="s">
        <v>102</v>
      </c>
      <c r="AG40" s="10" t="s">
        <v>102</v>
      </c>
      <c r="AH40" s="10" t="s">
        <v>102</v>
      </c>
      <c r="AI40" s="10" t="s">
        <v>102</v>
      </c>
      <c r="AJ40" s="10" t="s">
        <v>102</v>
      </c>
      <c r="AK40" s="10">
        <v>0</v>
      </c>
      <c r="AL40" s="10">
        <v>0</v>
      </c>
      <c r="AM40" s="10">
        <v>0</v>
      </c>
      <c r="AN40" s="10">
        <v>0</v>
      </c>
      <c r="AO40" s="10">
        <v>0</v>
      </c>
      <c r="AP40" s="10">
        <v>0</v>
      </c>
    </row>
    <row r="41" spans="1:42" ht="63" customHeight="1" x14ac:dyDescent="0.25">
      <c r="A41" s="34" t="s">
        <v>23</v>
      </c>
      <c r="B41" s="34" t="s">
        <v>142</v>
      </c>
      <c r="C41" s="34" t="s">
        <v>1274</v>
      </c>
      <c r="D41" s="34">
        <v>212110000</v>
      </c>
      <c r="E41" s="34" t="s">
        <v>1302</v>
      </c>
      <c r="F41" s="34" t="s">
        <v>1303</v>
      </c>
      <c r="G41" s="34" t="s">
        <v>1304</v>
      </c>
      <c r="H41" s="36">
        <v>682247000</v>
      </c>
      <c r="I41" s="39">
        <f>682247000+501515826</f>
        <v>1183762826</v>
      </c>
      <c r="J41" s="39">
        <v>1186554961</v>
      </c>
      <c r="K41" s="36">
        <v>0</v>
      </c>
      <c r="L41" s="39"/>
      <c r="M41" s="39"/>
      <c r="N41" s="36">
        <f t="shared" si="0"/>
        <v>682247000</v>
      </c>
      <c r="O41" s="36">
        <f t="shared" si="0"/>
        <v>1183762826</v>
      </c>
      <c r="P41" s="36">
        <f t="shared" si="0"/>
        <v>1186554961</v>
      </c>
      <c r="Q41" s="39">
        <v>541515826</v>
      </c>
      <c r="R41" s="39"/>
      <c r="S41" s="36">
        <f t="shared" si="1"/>
        <v>541515826</v>
      </c>
      <c r="T41" s="37" t="s">
        <v>1458</v>
      </c>
      <c r="U41" s="37" t="s">
        <v>222</v>
      </c>
      <c r="V41" s="37">
        <v>100</v>
      </c>
      <c r="W41" s="10">
        <v>100</v>
      </c>
      <c r="X41" s="10">
        <v>100</v>
      </c>
      <c r="Y41" s="10">
        <v>50</v>
      </c>
      <c r="Z41" s="10">
        <v>100</v>
      </c>
      <c r="AA41" s="34">
        <v>360</v>
      </c>
      <c r="AB41" s="10">
        <v>180</v>
      </c>
      <c r="AC41" s="10">
        <v>360</v>
      </c>
      <c r="AD41" s="10" t="s">
        <v>1459</v>
      </c>
      <c r="AE41" s="10" t="s">
        <v>102</v>
      </c>
      <c r="AF41" s="10" t="s">
        <v>102</v>
      </c>
      <c r="AG41" s="10" t="s">
        <v>102</v>
      </c>
      <c r="AH41" s="10" t="s">
        <v>102</v>
      </c>
      <c r="AI41" s="10" t="s">
        <v>102</v>
      </c>
      <c r="AJ41" s="10" t="s">
        <v>102</v>
      </c>
      <c r="AK41" s="10" t="s">
        <v>102</v>
      </c>
      <c r="AL41" s="10" t="s">
        <v>102</v>
      </c>
      <c r="AM41" s="10" t="s">
        <v>102</v>
      </c>
      <c r="AN41" s="10" t="s">
        <v>102</v>
      </c>
      <c r="AO41" s="10" t="s">
        <v>102</v>
      </c>
      <c r="AP41" s="10" t="s">
        <v>102</v>
      </c>
    </row>
    <row r="42" spans="1:42" ht="135.75" customHeight="1" x14ac:dyDescent="0.25">
      <c r="A42" s="34" t="s">
        <v>23</v>
      </c>
      <c r="B42" s="34" t="s">
        <v>142</v>
      </c>
      <c r="C42" s="34" t="s">
        <v>1274</v>
      </c>
      <c r="D42" s="34">
        <v>212120000</v>
      </c>
      <c r="E42" s="34" t="s">
        <v>1307</v>
      </c>
      <c r="F42" s="34" t="s">
        <v>1308</v>
      </c>
      <c r="G42" s="34" t="s">
        <v>1309</v>
      </c>
      <c r="H42" s="36">
        <v>150000000</v>
      </c>
      <c r="I42" s="39">
        <v>150000000</v>
      </c>
      <c r="J42" s="39">
        <v>355452860</v>
      </c>
      <c r="K42" s="36">
        <v>0</v>
      </c>
      <c r="L42" s="39"/>
      <c r="M42" s="39"/>
      <c r="N42" s="36">
        <f t="shared" si="0"/>
        <v>150000000</v>
      </c>
      <c r="O42" s="36">
        <f t="shared" si="0"/>
        <v>150000000</v>
      </c>
      <c r="P42" s="36">
        <f t="shared" si="0"/>
        <v>355452860</v>
      </c>
      <c r="Q42" s="39">
        <v>150000000</v>
      </c>
      <c r="R42" s="39"/>
      <c r="S42" s="36">
        <f t="shared" si="1"/>
        <v>150000000</v>
      </c>
      <c r="T42" s="37" t="s">
        <v>1460</v>
      </c>
      <c r="U42" s="37" t="s">
        <v>222</v>
      </c>
      <c r="V42" s="37">
        <v>100</v>
      </c>
      <c r="W42" s="10">
        <v>100</v>
      </c>
      <c r="X42" s="10">
        <v>100</v>
      </c>
      <c r="Y42" s="10">
        <v>50</v>
      </c>
      <c r="Z42" s="10">
        <v>100</v>
      </c>
      <c r="AA42" s="34">
        <v>360</v>
      </c>
      <c r="AB42" s="10">
        <v>180</v>
      </c>
      <c r="AC42" s="126">
        <v>360</v>
      </c>
      <c r="AD42" s="10" t="s">
        <v>1461</v>
      </c>
      <c r="AE42" s="10" t="s">
        <v>102</v>
      </c>
      <c r="AF42" s="10" t="s">
        <v>102</v>
      </c>
      <c r="AG42" s="10" t="s">
        <v>102</v>
      </c>
      <c r="AH42" s="10" t="s">
        <v>102</v>
      </c>
      <c r="AI42" s="10" t="s">
        <v>102</v>
      </c>
      <c r="AJ42" s="10" t="s">
        <v>102</v>
      </c>
      <c r="AK42" s="10" t="s">
        <v>102</v>
      </c>
      <c r="AL42" s="10" t="s">
        <v>102</v>
      </c>
      <c r="AM42" s="10" t="s">
        <v>102</v>
      </c>
      <c r="AN42" s="10" t="s">
        <v>102</v>
      </c>
      <c r="AO42" s="10" t="s">
        <v>102</v>
      </c>
      <c r="AP42" s="10" t="s">
        <v>102</v>
      </c>
    </row>
    <row r="43" spans="1:42" ht="123" customHeight="1" x14ac:dyDescent="0.25">
      <c r="A43" s="34" t="s">
        <v>23</v>
      </c>
      <c r="B43" s="34" t="s">
        <v>142</v>
      </c>
      <c r="C43" s="34" t="s">
        <v>1274</v>
      </c>
      <c r="D43" s="34">
        <v>212130000</v>
      </c>
      <c r="E43" s="34" t="s">
        <v>1313</v>
      </c>
      <c r="F43" s="34" t="s">
        <v>1314</v>
      </c>
      <c r="G43" s="34" t="s">
        <v>1315</v>
      </c>
      <c r="H43" s="36">
        <v>300000000</v>
      </c>
      <c r="I43" s="39">
        <v>682000000</v>
      </c>
      <c r="J43" s="39">
        <v>519281439</v>
      </c>
      <c r="K43" s="36">
        <v>0</v>
      </c>
      <c r="L43" s="39"/>
      <c r="M43" s="39"/>
      <c r="N43" s="36">
        <f t="shared" si="0"/>
        <v>300000000</v>
      </c>
      <c r="O43" s="36">
        <f t="shared" si="0"/>
        <v>682000000</v>
      </c>
      <c r="P43" s="36">
        <f t="shared" si="0"/>
        <v>519281439</v>
      </c>
      <c r="Q43" s="39">
        <v>519281439</v>
      </c>
      <c r="R43" s="39"/>
      <c r="S43" s="36">
        <f t="shared" si="1"/>
        <v>519281439</v>
      </c>
      <c r="T43" s="37" t="s">
        <v>1462</v>
      </c>
      <c r="U43" s="37" t="s">
        <v>1463</v>
      </c>
      <c r="V43" s="37">
        <v>3</v>
      </c>
      <c r="W43" s="10">
        <v>3</v>
      </c>
      <c r="X43" s="10">
        <v>2</v>
      </c>
      <c r="Y43" s="10">
        <v>1</v>
      </c>
      <c r="Z43" s="10">
        <v>2</v>
      </c>
      <c r="AA43" s="34">
        <v>330</v>
      </c>
      <c r="AB43" s="10">
        <v>180</v>
      </c>
      <c r="AC43" s="10">
        <v>330</v>
      </c>
      <c r="AD43" s="10" t="s">
        <v>1464</v>
      </c>
      <c r="AE43" s="10" t="s">
        <v>102</v>
      </c>
      <c r="AF43" s="10" t="s">
        <v>102</v>
      </c>
      <c r="AG43" s="10" t="s">
        <v>102</v>
      </c>
      <c r="AH43" s="10" t="s">
        <v>102</v>
      </c>
      <c r="AI43" s="10" t="s">
        <v>102</v>
      </c>
      <c r="AJ43" s="10" t="s">
        <v>102</v>
      </c>
      <c r="AK43" s="10" t="s">
        <v>102</v>
      </c>
      <c r="AL43" s="10" t="s">
        <v>102</v>
      </c>
      <c r="AM43" s="10" t="s">
        <v>102</v>
      </c>
      <c r="AN43" s="10" t="s">
        <v>102</v>
      </c>
      <c r="AO43" s="10" t="s">
        <v>102</v>
      </c>
      <c r="AP43" s="10" t="s">
        <v>858</v>
      </c>
    </row>
    <row r="44" spans="1:42" ht="69.75" customHeight="1" x14ac:dyDescent="0.25">
      <c r="A44" s="34">
        <v>0</v>
      </c>
      <c r="B44" s="34">
        <v>0</v>
      </c>
      <c r="C44" s="34">
        <v>0</v>
      </c>
      <c r="D44" s="34">
        <v>0</v>
      </c>
      <c r="E44" s="243">
        <v>0</v>
      </c>
      <c r="F44" s="34">
        <v>0</v>
      </c>
      <c r="G44" s="34">
        <v>0</v>
      </c>
      <c r="H44" s="36">
        <v>0</v>
      </c>
      <c r="I44" s="39"/>
      <c r="J44" s="39"/>
      <c r="K44" s="36">
        <v>0</v>
      </c>
      <c r="L44" s="39"/>
      <c r="M44" s="39"/>
      <c r="N44" s="36">
        <f t="shared" si="0"/>
        <v>0</v>
      </c>
      <c r="O44" s="36">
        <f t="shared" si="0"/>
        <v>0</v>
      </c>
      <c r="P44" s="36">
        <f t="shared" si="0"/>
        <v>0</v>
      </c>
      <c r="Q44" s="39"/>
      <c r="R44" s="39"/>
      <c r="S44" s="36">
        <f t="shared" si="1"/>
        <v>0</v>
      </c>
      <c r="T44" s="37" t="s">
        <v>1465</v>
      </c>
      <c r="U44" s="37" t="s">
        <v>1466</v>
      </c>
      <c r="V44" s="37">
        <v>150</v>
      </c>
      <c r="W44" s="10">
        <v>67</v>
      </c>
      <c r="X44" s="10">
        <v>50</v>
      </c>
      <c r="Y44" s="10">
        <v>50</v>
      </c>
      <c r="Z44" s="10">
        <v>50</v>
      </c>
      <c r="AA44" s="34">
        <v>300</v>
      </c>
      <c r="AB44" s="10">
        <v>180</v>
      </c>
      <c r="AC44" s="10">
        <v>300</v>
      </c>
      <c r="AD44" s="10" t="s">
        <v>1467</v>
      </c>
      <c r="AE44" s="10">
        <v>0</v>
      </c>
      <c r="AF44" s="10" t="s">
        <v>102</v>
      </c>
      <c r="AG44" s="10" t="s">
        <v>102</v>
      </c>
      <c r="AH44" s="10" t="s">
        <v>102</v>
      </c>
      <c r="AI44" s="10" t="s">
        <v>102</v>
      </c>
      <c r="AJ44" s="10" t="s">
        <v>102</v>
      </c>
      <c r="AK44" s="10" t="s">
        <v>102</v>
      </c>
      <c r="AL44" s="10" t="s">
        <v>102</v>
      </c>
      <c r="AM44" s="10" t="s">
        <v>102</v>
      </c>
      <c r="AN44" s="10" t="s">
        <v>102</v>
      </c>
      <c r="AO44" s="10" t="s">
        <v>102</v>
      </c>
      <c r="AP44" s="10">
        <v>0</v>
      </c>
    </row>
    <row r="45" spans="1:42" ht="75" customHeight="1" x14ac:dyDescent="0.25">
      <c r="A45" s="34">
        <v>0</v>
      </c>
      <c r="B45" s="34">
        <v>0</v>
      </c>
      <c r="C45" s="34">
        <v>0</v>
      </c>
      <c r="D45" s="34">
        <v>0</v>
      </c>
      <c r="E45" s="243">
        <v>0</v>
      </c>
      <c r="F45" s="34">
        <v>0</v>
      </c>
      <c r="G45" s="34">
        <v>0</v>
      </c>
      <c r="H45" s="36">
        <v>0</v>
      </c>
      <c r="I45" s="39"/>
      <c r="J45" s="39"/>
      <c r="K45" s="36">
        <v>0</v>
      </c>
      <c r="L45" s="39"/>
      <c r="M45" s="39"/>
      <c r="N45" s="36">
        <f t="shared" si="0"/>
        <v>0</v>
      </c>
      <c r="O45" s="36">
        <f t="shared" si="0"/>
        <v>0</v>
      </c>
      <c r="P45" s="36">
        <f t="shared" si="0"/>
        <v>0</v>
      </c>
      <c r="Q45" s="39"/>
      <c r="R45" s="39"/>
      <c r="S45" s="36">
        <f t="shared" si="1"/>
        <v>0</v>
      </c>
      <c r="T45" s="37" t="s">
        <v>1468</v>
      </c>
      <c r="U45" s="37" t="s">
        <v>1469</v>
      </c>
      <c r="V45" s="37">
        <v>100</v>
      </c>
      <c r="W45" s="10">
        <v>100</v>
      </c>
      <c r="X45" s="10">
        <v>100</v>
      </c>
      <c r="Y45" s="10">
        <v>100</v>
      </c>
      <c r="Z45" s="10">
        <v>100</v>
      </c>
      <c r="AA45" s="34">
        <v>300</v>
      </c>
      <c r="AB45" s="10">
        <v>180</v>
      </c>
      <c r="AC45" s="10">
        <v>360</v>
      </c>
      <c r="AD45" s="10" t="s">
        <v>1470</v>
      </c>
      <c r="AE45" s="10">
        <v>0</v>
      </c>
      <c r="AF45" s="10" t="s">
        <v>102</v>
      </c>
      <c r="AG45" s="10" t="s">
        <v>102</v>
      </c>
      <c r="AH45" s="10" t="s">
        <v>102</v>
      </c>
      <c r="AI45" s="10" t="s">
        <v>102</v>
      </c>
      <c r="AJ45" s="10" t="s">
        <v>102</v>
      </c>
      <c r="AK45" s="10" t="s">
        <v>102</v>
      </c>
      <c r="AL45" s="10" t="s">
        <v>102</v>
      </c>
      <c r="AM45" s="10" t="s">
        <v>102</v>
      </c>
      <c r="AN45" s="10" t="s">
        <v>102</v>
      </c>
      <c r="AO45" s="10" t="s">
        <v>102</v>
      </c>
      <c r="AP45" s="10">
        <v>0</v>
      </c>
    </row>
    <row r="46" spans="1:42" ht="50.25" customHeight="1" x14ac:dyDescent="0.25">
      <c r="A46" s="34">
        <v>0</v>
      </c>
      <c r="B46" s="34">
        <v>0</v>
      </c>
      <c r="C46" s="34">
        <v>0</v>
      </c>
      <c r="D46" s="34">
        <v>0</v>
      </c>
      <c r="E46" s="243">
        <v>0</v>
      </c>
      <c r="F46" s="34">
        <v>0</v>
      </c>
      <c r="G46" s="34">
        <v>0</v>
      </c>
      <c r="H46" s="36">
        <v>0</v>
      </c>
      <c r="I46" s="39"/>
      <c r="J46" s="39"/>
      <c r="K46" s="36">
        <v>0</v>
      </c>
      <c r="L46" s="39"/>
      <c r="M46" s="39"/>
      <c r="N46" s="36">
        <f t="shared" si="0"/>
        <v>0</v>
      </c>
      <c r="O46" s="36">
        <f t="shared" si="0"/>
        <v>0</v>
      </c>
      <c r="P46" s="36">
        <f t="shared" si="0"/>
        <v>0</v>
      </c>
      <c r="Q46" s="39"/>
      <c r="R46" s="39"/>
      <c r="S46" s="36">
        <f t="shared" si="1"/>
        <v>0</v>
      </c>
      <c r="T46" s="37" t="s">
        <v>1471</v>
      </c>
      <c r="U46" s="37" t="s">
        <v>316</v>
      </c>
      <c r="V46" s="37">
        <v>1</v>
      </c>
      <c r="W46" s="10" t="s">
        <v>1394</v>
      </c>
      <c r="X46" s="10" t="s">
        <v>1407</v>
      </c>
      <c r="Y46" s="10" t="s">
        <v>1407</v>
      </c>
      <c r="Z46" s="10" t="s">
        <v>1407</v>
      </c>
      <c r="AA46" s="34">
        <v>210</v>
      </c>
      <c r="AB46" s="10" t="s">
        <v>1407</v>
      </c>
      <c r="AC46" s="10" t="s">
        <v>1407</v>
      </c>
      <c r="AD46" s="10" t="s">
        <v>1472</v>
      </c>
      <c r="AE46" s="10">
        <v>0</v>
      </c>
      <c r="AF46" s="10">
        <v>0</v>
      </c>
      <c r="AG46" s="10">
        <v>0</v>
      </c>
      <c r="AH46" s="10" t="s">
        <v>102</v>
      </c>
      <c r="AI46" s="10" t="s">
        <v>102</v>
      </c>
      <c r="AJ46" s="10" t="s">
        <v>102</v>
      </c>
      <c r="AK46" s="10" t="s">
        <v>102</v>
      </c>
      <c r="AL46" s="10" t="s">
        <v>102</v>
      </c>
      <c r="AM46" s="10" t="s">
        <v>102</v>
      </c>
      <c r="AN46" s="10" t="s">
        <v>102</v>
      </c>
      <c r="AO46" s="10">
        <v>0</v>
      </c>
      <c r="AP46" s="10">
        <v>0</v>
      </c>
    </row>
    <row r="47" spans="1:42" ht="87.75" customHeight="1" x14ac:dyDescent="0.25">
      <c r="A47" s="34">
        <v>0</v>
      </c>
      <c r="B47" s="34">
        <v>0</v>
      </c>
      <c r="C47" s="34">
        <v>0</v>
      </c>
      <c r="D47" s="34">
        <v>0</v>
      </c>
      <c r="E47" s="243">
        <v>0</v>
      </c>
      <c r="F47" s="34">
        <v>0</v>
      </c>
      <c r="G47" s="34">
        <v>0</v>
      </c>
      <c r="H47" s="36">
        <v>0</v>
      </c>
      <c r="I47" s="39"/>
      <c r="J47" s="39"/>
      <c r="K47" s="36">
        <v>0</v>
      </c>
      <c r="L47" s="39"/>
      <c r="M47" s="39"/>
      <c r="N47" s="36">
        <f t="shared" si="0"/>
        <v>0</v>
      </c>
      <c r="O47" s="36">
        <f t="shared" si="0"/>
        <v>0</v>
      </c>
      <c r="P47" s="36">
        <f t="shared" si="0"/>
        <v>0</v>
      </c>
      <c r="Q47" s="39"/>
      <c r="R47" s="39"/>
      <c r="S47" s="36">
        <f t="shared" si="1"/>
        <v>0</v>
      </c>
      <c r="T47" s="37" t="s">
        <v>1473</v>
      </c>
      <c r="U47" s="37" t="s">
        <v>222</v>
      </c>
      <c r="V47" s="37">
        <v>100</v>
      </c>
      <c r="W47" s="10">
        <v>100</v>
      </c>
      <c r="X47" s="10">
        <v>100</v>
      </c>
      <c r="Y47" s="10">
        <v>10</v>
      </c>
      <c r="Z47" s="10">
        <v>100</v>
      </c>
      <c r="AA47" s="34">
        <v>120</v>
      </c>
      <c r="AB47" s="10">
        <f>17*16/8</f>
        <v>34</v>
      </c>
      <c r="AC47" s="10">
        <v>35</v>
      </c>
      <c r="AD47" s="10" t="s">
        <v>1474</v>
      </c>
      <c r="AE47" s="10">
        <v>0</v>
      </c>
      <c r="AF47" s="10">
        <v>0</v>
      </c>
      <c r="AG47" s="10">
        <v>0</v>
      </c>
      <c r="AH47" s="10">
        <v>0</v>
      </c>
      <c r="AI47" s="10">
        <v>0</v>
      </c>
      <c r="AJ47" s="10" t="s">
        <v>102</v>
      </c>
      <c r="AK47" s="10" t="s">
        <v>102</v>
      </c>
      <c r="AL47" s="10" t="s">
        <v>102</v>
      </c>
      <c r="AM47" s="10" t="s">
        <v>102</v>
      </c>
      <c r="AN47" s="10">
        <v>0</v>
      </c>
      <c r="AO47" s="10">
        <v>0</v>
      </c>
      <c r="AP47" s="10">
        <v>0</v>
      </c>
    </row>
    <row r="48" spans="1:42" ht="75" x14ac:dyDescent="0.25">
      <c r="A48" s="34">
        <v>0</v>
      </c>
      <c r="B48" s="34">
        <v>0</v>
      </c>
      <c r="C48" s="34">
        <v>0</v>
      </c>
      <c r="D48" s="34">
        <v>0</v>
      </c>
      <c r="E48" s="243">
        <v>0</v>
      </c>
      <c r="F48" s="34">
        <v>0</v>
      </c>
      <c r="G48" s="34">
        <v>0</v>
      </c>
      <c r="H48" s="36">
        <v>0</v>
      </c>
      <c r="I48" s="39"/>
      <c r="J48" s="39"/>
      <c r="K48" s="36">
        <v>0</v>
      </c>
      <c r="L48" s="39"/>
      <c r="M48" s="39"/>
      <c r="N48" s="36">
        <f t="shared" si="0"/>
        <v>0</v>
      </c>
      <c r="O48" s="36">
        <f t="shared" si="0"/>
        <v>0</v>
      </c>
      <c r="P48" s="36">
        <f t="shared" si="0"/>
        <v>0</v>
      </c>
      <c r="Q48" s="39"/>
      <c r="R48" s="39"/>
      <c r="S48" s="36">
        <f t="shared" si="1"/>
        <v>0</v>
      </c>
      <c r="T48" s="37" t="s">
        <v>1475</v>
      </c>
      <c r="U48" s="37" t="s">
        <v>222</v>
      </c>
      <c r="V48" s="37">
        <v>100</v>
      </c>
      <c r="W48" s="10" t="s">
        <v>1407</v>
      </c>
      <c r="X48" s="10">
        <v>100</v>
      </c>
      <c r="Y48" s="10" t="s">
        <v>1407</v>
      </c>
      <c r="Z48" s="10">
        <v>100</v>
      </c>
      <c r="AA48" s="34">
        <v>330</v>
      </c>
      <c r="AB48" s="10" t="s">
        <v>1407</v>
      </c>
      <c r="AC48" s="10">
        <v>90</v>
      </c>
      <c r="AD48" s="10" t="s">
        <v>1476</v>
      </c>
      <c r="AE48" s="10" t="s">
        <v>102</v>
      </c>
      <c r="AF48" s="10" t="s">
        <v>102</v>
      </c>
      <c r="AG48" s="10" t="s">
        <v>102</v>
      </c>
      <c r="AH48" s="10" t="s">
        <v>102</v>
      </c>
      <c r="AI48" s="10" t="s">
        <v>102</v>
      </c>
      <c r="AJ48" s="10" t="s">
        <v>102</v>
      </c>
      <c r="AK48" s="10" t="s">
        <v>102</v>
      </c>
      <c r="AL48" s="10" t="s">
        <v>102</v>
      </c>
      <c r="AM48" s="10" t="s">
        <v>102</v>
      </c>
      <c r="AN48" s="10" t="s">
        <v>102</v>
      </c>
      <c r="AO48" s="10" t="s">
        <v>102</v>
      </c>
      <c r="AP48" s="10">
        <v>0</v>
      </c>
    </row>
    <row r="49" spans="1:42" ht="67.5" customHeight="1" x14ac:dyDescent="0.25">
      <c r="A49" s="34">
        <v>0</v>
      </c>
      <c r="B49" s="34">
        <v>0</v>
      </c>
      <c r="C49" s="34">
        <v>0</v>
      </c>
      <c r="D49" s="34">
        <v>0</v>
      </c>
      <c r="E49" s="243">
        <v>0</v>
      </c>
      <c r="F49" s="34">
        <v>0</v>
      </c>
      <c r="G49" s="34">
        <v>0</v>
      </c>
      <c r="H49" s="36">
        <v>0</v>
      </c>
      <c r="I49" s="39"/>
      <c r="J49" s="39"/>
      <c r="K49" s="36">
        <v>0</v>
      </c>
      <c r="L49" s="39"/>
      <c r="M49" s="39"/>
      <c r="N49" s="36">
        <f t="shared" si="0"/>
        <v>0</v>
      </c>
      <c r="O49" s="36">
        <f t="shared" si="0"/>
        <v>0</v>
      </c>
      <c r="P49" s="36">
        <f t="shared" si="0"/>
        <v>0</v>
      </c>
      <c r="Q49" s="39"/>
      <c r="R49" s="39"/>
      <c r="S49" s="36">
        <f t="shared" si="1"/>
        <v>0</v>
      </c>
      <c r="T49" s="37" t="s">
        <v>1477</v>
      </c>
      <c r="U49" s="37" t="s">
        <v>222</v>
      </c>
      <c r="V49" s="37">
        <v>100</v>
      </c>
      <c r="W49" s="10" t="s">
        <v>1407</v>
      </c>
      <c r="X49" s="10">
        <v>100</v>
      </c>
      <c r="Y49" s="10" t="s">
        <v>1407</v>
      </c>
      <c r="Z49" s="10">
        <v>100</v>
      </c>
      <c r="AA49" s="34">
        <v>270</v>
      </c>
      <c r="AB49" s="10" t="s">
        <v>1407</v>
      </c>
      <c r="AC49" s="10">
        <v>180</v>
      </c>
      <c r="AD49" s="10" t="s">
        <v>1478</v>
      </c>
      <c r="AE49" s="10">
        <v>0</v>
      </c>
      <c r="AF49" s="10">
        <v>0</v>
      </c>
      <c r="AG49" s="10" t="s">
        <v>102</v>
      </c>
      <c r="AH49" s="10" t="s">
        <v>102</v>
      </c>
      <c r="AI49" s="10" t="s">
        <v>102</v>
      </c>
      <c r="AJ49" s="10" t="s">
        <v>102</v>
      </c>
      <c r="AK49" s="10" t="s">
        <v>102</v>
      </c>
      <c r="AL49" s="10" t="s">
        <v>102</v>
      </c>
      <c r="AM49" s="10" t="s">
        <v>102</v>
      </c>
      <c r="AN49" s="10" t="s">
        <v>102</v>
      </c>
      <c r="AO49" s="10" t="s">
        <v>102</v>
      </c>
      <c r="AP49" s="10">
        <v>0</v>
      </c>
    </row>
    <row r="50" spans="1:42" ht="24" x14ac:dyDescent="0.25">
      <c r="A50" s="34">
        <v>0</v>
      </c>
      <c r="B50" s="34">
        <v>0</v>
      </c>
      <c r="C50" s="34">
        <v>0</v>
      </c>
      <c r="D50" s="34">
        <v>0</v>
      </c>
      <c r="E50" s="243">
        <v>0</v>
      </c>
      <c r="F50" s="34">
        <v>0</v>
      </c>
      <c r="G50" s="34">
        <v>0</v>
      </c>
      <c r="H50" s="36">
        <v>0</v>
      </c>
      <c r="I50" s="39"/>
      <c r="J50" s="39"/>
      <c r="K50" s="36">
        <v>0</v>
      </c>
      <c r="L50" s="39"/>
      <c r="M50" s="39"/>
      <c r="N50" s="36">
        <f t="shared" si="0"/>
        <v>0</v>
      </c>
      <c r="O50" s="36">
        <f t="shared" si="0"/>
        <v>0</v>
      </c>
      <c r="P50" s="36">
        <f t="shared" si="0"/>
        <v>0</v>
      </c>
      <c r="Q50" s="39"/>
      <c r="R50" s="39"/>
      <c r="S50" s="36">
        <f t="shared" si="1"/>
        <v>0</v>
      </c>
      <c r="T50" s="37" t="s">
        <v>1479</v>
      </c>
      <c r="U50" s="37" t="s">
        <v>222</v>
      </c>
      <c r="V50" s="37">
        <v>100</v>
      </c>
      <c r="W50" s="10" t="s">
        <v>1407</v>
      </c>
      <c r="X50" s="10" t="s">
        <v>1407</v>
      </c>
      <c r="Y50" s="10" t="s">
        <v>1407</v>
      </c>
      <c r="Z50" s="10" t="s">
        <v>1407</v>
      </c>
      <c r="AA50" s="34">
        <v>270</v>
      </c>
      <c r="AB50" s="10" t="s">
        <v>1407</v>
      </c>
      <c r="AC50" s="10" t="s">
        <v>1407</v>
      </c>
      <c r="AD50" s="10" t="s">
        <v>1480</v>
      </c>
      <c r="AE50" s="10">
        <v>0</v>
      </c>
      <c r="AF50" s="10">
        <v>0</v>
      </c>
      <c r="AG50" s="10" t="s">
        <v>102</v>
      </c>
      <c r="AH50" s="10" t="s">
        <v>102</v>
      </c>
      <c r="AI50" s="10" t="s">
        <v>102</v>
      </c>
      <c r="AJ50" s="10" t="s">
        <v>102</v>
      </c>
      <c r="AK50" s="10" t="s">
        <v>102</v>
      </c>
      <c r="AL50" s="10" t="s">
        <v>102</v>
      </c>
      <c r="AM50" s="10" t="s">
        <v>102</v>
      </c>
      <c r="AN50" s="10" t="s">
        <v>102</v>
      </c>
      <c r="AO50" s="10" t="s">
        <v>102</v>
      </c>
      <c r="AP50" s="10">
        <v>0</v>
      </c>
    </row>
    <row r="51" spans="1:42" ht="36" x14ac:dyDescent="0.25">
      <c r="A51" s="34">
        <v>0</v>
      </c>
      <c r="B51" s="34">
        <v>0</v>
      </c>
      <c r="C51" s="34">
        <v>0</v>
      </c>
      <c r="D51" s="34">
        <v>0</v>
      </c>
      <c r="E51" s="243">
        <v>0</v>
      </c>
      <c r="F51" s="34">
        <v>0</v>
      </c>
      <c r="G51" s="34">
        <v>0</v>
      </c>
      <c r="H51" s="36">
        <v>0</v>
      </c>
      <c r="I51" s="39"/>
      <c r="J51" s="39"/>
      <c r="K51" s="36">
        <v>0</v>
      </c>
      <c r="L51" s="39"/>
      <c r="M51" s="39"/>
      <c r="N51" s="36">
        <f t="shared" si="0"/>
        <v>0</v>
      </c>
      <c r="O51" s="36">
        <f t="shared" si="0"/>
        <v>0</v>
      </c>
      <c r="P51" s="36">
        <f t="shared" si="0"/>
        <v>0</v>
      </c>
      <c r="Q51" s="39"/>
      <c r="R51" s="39"/>
      <c r="S51" s="36">
        <f t="shared" si="1"/>
        <v>0</v>
      </c>
      <c r="T51" s="37" t="s">
        <v>1481</v>
      </c>
      <c r="U51" s="37" t="s">
        <v>222</v>
      </c>
      <c r="V51" s="37">
        <v>100</v>
      </c>
      <c r="W51" s="10" t="s">
        <v>1407</v>
      </c>
      <c r="X51" s="10" t="s">
        <v>1407</v>
      </c>
      <c r="Y51" s="10" t="s">
        <v>1407</v>
      </c>
      <c r="Z51" s="10" t="s">
        <v>1407</v>
      </c>
      <c r="AA51" s="34">
        <v>300</v>
      </c>
      <c r="AB51" s="10" t="s">
        <v>1407</v>
      </c>
      <c r="AC51" s="10" t="s">
        <v>1407</v>
      </c>
      <c r="AD51" s="10" t="s">
        <v>1480</v>
      </c>
      <c r="AE51" s="10">
        <v>0</v>
      </c>
      <c r="AF51" s="10" t="s">
        <v>102</v>
      </c>
      <c r="AG51" s="10" t="s">
        <v>102</v>
      </c>
      <c r="AH51" s="10" t="s">
        <v>102</v>
      </c>
      <c r="AI51" s="10" t="s">
        <v>102</v>
      </c>
      <c r="AJ51" s="10" t="s">
        <v>102</v>
      </c>
      <c r="AK51" s="10" t="s">
        <v>102</v>
      </c>
      <c r="AL51" s="10" t="s">
        <v>102</v>
      </c>
      <c r="AM51" s="10" t="s">
        <v>102</v>
      </c>
      <c r="AN51" s="10" t="s">
        <v>102</v>
      </c>
      <c r="AO51" s="10" t="s">
        <v>102</v>
      </c>
      <c r="AP51" s="10">
        <v>0</v>
      </c>
    </row>
    <row r="52" spans="1:42" ht="132" x14ac:dyDescent="0.25">
      <c r="A52" s="34" t="s">
        <v>23</v>
      </c>
      <c r="B52" s="34" t="s">
        <v>142</v>
      </c>
      <c r="C52" s="34" t="s">
        <v>1274</v>
      </c>
      <c r="D52" s="34">
        <v>212130000</v>
      </c>
      <c r="E52" s="34" t="s">
        <v>1318</v>
      </c>
      <c r="F52" s="34" t="s">
        <v>1319</v>
      </c>
      <c r="G52" s="34" t="s">
        <v>1482</v>
      </c>
      <c r="H52" s="36">
        <v>150000000</v>
      </c>
      <c r="I52" s="39">
        <v>150000000</v>
      </c>
      <c r="J52" s="39">
        <v>111403473</v>
      </c>
      <c r="K52" s="36">
        <v>0</v>
      </c>
      <c r="L52" s="39"/>
      <c r="M52" s="39">
        <v>60000000</v>
      </c>
      <c r="N52" s="36">
        <f t="shared" si="0"/>
        <v>150000000</v>
      </c>
      <c r="O52" s="36">
        <f t="shared" si="0"/>
        <v>150000000</v>
      </c>
      <c r="P52" s="36">
        <f t="shared" si="0"/>
        <v>171403473</v>
      </c>
      <c r="Q52" s="39">
        <v>111403473</v>
      </c>
      <c r="R52" s="39"/>
      <c r="S52" s="36">
        <f t="shared" si="1"/>
        <v>111403473</v>
      </c>
      <c r="T52" s="37" t="s">
        <v>1483</v>
      </c>
      <c r="U52" s="37" t="s">
        <v>316</v>
      </c>
      <c r="V52" s="37">
        <v>3</v>
      </c>
      <c r="W52" s="10" t="s">
        <v>1407</v>
      </c>
      <c r="X52" s="10">
        <v>3</v>
      </c>
      <c r="Y52" s="10" t="s">
        <v>1407</v>
      </c>
      <c r="Z52" s="10">
        <v>3</v>
      </c>
      <c r="AA52" s="34">
        <v>180</v>
      </c>
      <c r="AB52" s="10" t="s">
        <v>1407</v>
      </c>
      <c r="AC52" s="10">
        <v>180</v>
      </c>
      <c r="AD52" s="10" t="s">
        <v>1484</v>
      </c>
      <c r="AE52" s="10">
        <v>0</v>
      </c>
      <c r="AF52" s="10" t="s">
        <v>102</v>
      </c>
      <c r="AG52" s="10" t="s">
        <v>102</v>
      </c>
      <c r="AH52" s="10" t="s">
        <v>102</v>
      </c>
      <c r="AI52" s="10" t="s">
        <v>102</v>
      </c>
      <c r="AJ52" s="10" t="s">
        <v>102</v>
      </c>
      <c r="AK52" s="10" t="s">
        <v>102</v>
      </c>
      <c r="AL52" s="10">
        <v>0</v>
      </c>
      <c r="AM52" s="10">
        <v>0</v>
      </c>
      <c r="AN52" s="10">
        <v>0</v>
      </c>
      <c r="AO52" s="10">
        <v>0</v>
      </c>
      <c r="AP52" s="10">
        <v>0</v>
      </c>
    </row>
    <row r="53" spans="1:42" ht="41.25" customHeight="1" x14ac:dyDescent="0.25">
      <c r="A53" s="34">
        <v>0</v>
      </c>
      <c r="B53" s="34">
        <v>0</v>
      </c>
      <c r="C53" s="34">
        <v>0</v>
      </c>
      <c r="D53" s="34">
        <v>0</v>
      </c>
      <c r="E53" s="34">
        <v>0</v>
      </c>
      <c r="F53" s="34">
        <v>0</v>
      </c>
      <c r="G53" s="34">
        <v>0</v>
      </c>
      <c r="H53" s="36">
        <v>0</v>
      </c>
      <c r="I53" s="39"/>
      <c r="J53" s="39"/>
      <c r="K53" s="36">
        <v>0</v>
      </c>
      <c r="L53" s="39"/>
      <c r="M53" s="39"/>
      <c r="N53" s="36">
        <f t="shared" si="0"/>
        <v>0</v>
      </c>
      <c r="O53" s="36">
        <f t="shared" si="0"/>
        <v>0</v>
      </c>
      <c r="P53" s="36">
        <f t="shared" si="0"/>
        <v>0</v>
      </c>
      <c r="Q53" s="39"/>
      <c r="R53" s="39"/>
      <c r="S53" s="36">
        <f t="shared" si="1"/>
        <v>0</v>
      </c>
      <c r="T53" s="37" t="s">
        <v>1485</v>
      </c>
      <c r="U53" s="37" t="s">
        <v>316</v>
      </c>
      <c r="V53" s="37">
        <v>1</v>
      </c>
      <c r="W53" s="10">
        <v>1</v>
      </c>
      <c r="X53" s="10" t="s">
        <v>1407</v>
      </c>
      <c r="Y53" s="10" t="s">
        <v>1407</v>
      </c>
      <c r="Z53" s="10">
        <v>1</v>
      </c>
      <c r="AA53" s="34">
        <v>360</v>
      </c>
      <c r="AB53" s="10" t="s">
        <v>1407</v>
      </c>
      <c r="AC53" s="10">
        <v>180</v>
      </c>
      <c r="AD53" s="10"/>
      <c r="AE53" s="10" t="s">
        <v>102</v>
      </c>
      <c r="AF53" s="10" t="s">
        <v>102</v>
      </c>
      <c r="AG53" s="10" t="s">
        <v>102</v>
      </c>
      <c r="AH53" s="10" t="s">
        <v>102</v>
      </c>
      <c r="AI53" s="10" t="s">
        <v>102</v>
      </c>
      <c r="AJ53" s="10" t="s">
        <v>102</v>
      </c>
      <c r="AK53" s="10" t="s">
        <v>102</v>
      </c>
      <c r="AL53" s="10" t="s">
        <v>102</v>
      </c>
      <c r="AM53" s="10" t="s">
        <v>102</v>
      </c>
      <c r="AN53" s="10" t="s">
        <v>102</v>
      </c>
      <c r="AO53" s="10" t="s">
        <v>102</v>
      </c>
      <c r="AP53" s="10" t="s">
        <v>102</v>
      </c>
    </row>
    <row r="54" spans="1:42" ht="409.5" customHeight="1" x14ac:dyDescent="0.25">
      <c r="A54" s="34" t="s">
        <v>23</v>
      </c>
      <c r="B54" s="34" t="s">
        <v>142</v>
      </c>
      <c r="C54" s="34" t="s">
        <v>143</v>
      </c>
      <c r="D54" s="34">
        <v>212210000</v>
      </c>
      <c r="E54" s="34" t="s">
        <v>1323</v>
      </c>
      <c r="F54" s="34" t="s">
        <v>1324</v>
      </c>
      <c r="G54" s="34" t="s">
        <v>1325</v>
      </c>
      <c r="H54" s="36">
        <v>4251963000</v>
      </c>
      <c r="I54" s="39">
        <v>8267894063</v>
      </c>
      <c r="J54" s="39">
        <v>9166428735</v>
      </c>
      <c r="K54" s="36">
        <v>0</v>
      </c>
      <c r="L54" s="39"/>
      <c r="M54" s="39"/>
      <c r="N54" s="36">
        <f t="shared" si="0"/>
        <v>4251963000</v>
      </c>
      <c r="O54" s="36">
        <f t="shared" si="0"/>
        <v>8267894063</v>
      </c>
      <c r="P54" s="36">
        <f t="shared" si="0"/>
        <v>9166428735</v>
      </c>
      <c r="Q54" s="39">
        <v>9123615093</v>
      </c>
      <c r="R54" s="39"/>
      <c r="S54" s="36">
        <f t="shared" si="1"/>
        <v>9123615093</v>
      </c>
      <c r="T54" s="37" t="s">
        <v>1486</v>
      </c>
      <c r="U54" s="37" t="s">
        <v>1241</v>
      </c>
      <c r="V54" s="37">
        <v>6</v>
      </c>
      <c r="W54" s="10">
        <v>6</v>
      </c>
      <c r="X54" s="10">
        <v>3</v>
      </c>
      <c r="Y54" s="10">
        <v>2</v>
      </c>
      <c r="Z54" s="10">
        <v>7</v>
      </c>
      <c r="AA54" s="34">
        <v>120</v>
      </c>
      <c r="AB54" s="10">
        <v>60</v>
      </c>
      <c r="AC54" s="10">
        <v>240</v>
      </c>
      <c r="AD54" s="10" t="s">
        <v>1487</v>
      </c>
      <c r="AE54" s="10" t="s">
        <v>218</v>
      </c>
      <c r="AF54" s="10" t="s">
        <v>218</v>
      </c>
      <c r="AG54" s="10" t="s">
        <v>218</v>
      </c>
      <c r="AH54" s="10" t="s">
        <v>218</v>
      </c>
      <c r="AI54" s="10">
        <v>0</v>
      </c>
      <c r="AJ54" s="10">
        <v>0</v>
      </c>
      <c r="AK54" s="10">
        <v>0</v>
      </c>
      <c r="AL54" s="10">
        <v>0</v>
      </c>
      <c r="AM54" s="10">
        <v>0</v>
      </c>
      <c r="AN54" s="10">
        <v>0</v>
      </c>
      <c r="AO54" s="10">
        <v>0</v>
      </c>
      <c r="AP54" s="10">
        <v>0</v>
      </c>
    </row>
    <row r="55" spans="1:42" ht="108" x14ac:dyDescent="0.25">
      <c r="A55" s="34">
        <v>0</v>
      </c>
      <c r="B55" s="34">
        <v>0</v>
      </c>
      <c r="C55" s="34">
        <v>0</v>
      </c>
      <c r="D55" s="34">
        <v>0</v>
      </c>
      <c r="E55" s="34">
        <v>0</v>
      </c>
      <c r="F55" s="34">
        <v>0</v>
      </c>
      <c r="G55" s="34">
        <v>0</v>
      </c>
      <c r="H55" s="36">
        <v>0</v>
      </c>
      <c r="I55" s="39"/>
      <c r="J55" s="39"/>
      <c r="K55" s="36">
        <v>0</v>
      </c>
      <c r="L55" s="39"/>
      <c r="M55" s="39"/>
      <c r="N55" s="36">
        <f t="shared" si="0"/>
        <v>0</v>
      </c>
      <c r="O55" s="36">
        <f t="shared" si="0"/>
        <v>0</v>
      </c>
      <c r="P55" s="36">
        <f t="shared" si="0"/>
        <v>0</v>
      </c>
      <c r="Q55" s="39"/>
      <c r="R55" s="39"/>
      <c r="S55" s="36">
        <f t="shared" si="1"/>
        <v>0</v>
      </c>
      <c r="T55" s="37" t="s">
        <v>1488</v>
      </c>
      <c r="U55" s="37" t="s">
        <v>316</v>
      </c>
      <c r="V55" s="37">
        <v>1</v>
      </c>
      <c r="W55" s="10">
        <v>1</v>
      </c>
      <c r="X55" s="10">
        <v>1</v>
      </c>
      <c r="Y55" s="10" t="s">
        <v>1397</v>
      </c>
      <c r="Z55" s="10">
        <v>1</v>
      </c>
      <c r="AA55" s="34">
        <v>360</v>
      </c>
      <c r="AB55" s="10">
        <v>180</v>
      </c>
      <c r="AC55" s="10">
        <v>360</v>
      </c>
      <c r="AD55" s="10" t="s">
        <v>1489</v>
      </c>
      <c r="AE55" s="10" t="s">
        <v>218</v>
      </c>
      <c r="AF55" s="10" t="s">
        <v>218</v>
      </c>
      <c r="AG55" s="10" t="s">
        <v>218</v>
      </c>
      <c r="AH55" s="10" t="s">
        <v>218</v>
      </c>
      <c r="AI55" s="10" t="s">
        <v>218</v>
      </c>
      <c r="AJ55" s="10" t="s">
        <v>218</v>
      </c>
      <c r="AK55" s="10" t="s">
        <v>218</v>
      </c>
      <c r="AL55" s="10" t="s">
        <v>218</v>
      </c>
      <c r="AM55" s="10" t="s">
        <v>218</v>
      </c>
      <c r="AN55" s="10" t="s">
        <v>218</v>
      </c>
      <c r="AO55" s="10" t="s">
        <v>218</v>
      </c>
      <c r="AP55" s="10" t="s">
        <v>218</v>
      </c>
    </row>
    <row r="56" spans="1:42" ht="315" x14ac:dyDescent="0.25">
      <c r="A56" s="34">
        <v>0</v>
      </c>
      <c r="B56" s="34">
        <v>0</v>
      </c>
      <c r="C56" s="34">
        <v>0</v>
      </c>
      <c r="D56" s="34">
        <v>0</v>
      </c>
      <c r="E56" s="243">
        <v>0</v>
      </c>
      <c r="F56" s="34">
        <v>0</v>
      </c>
      <c r="G56" s="34">
        <v>0</v>
      </c>
      <c r="H56" s="36">
        <v>0</v>
      </c>
      <c r="I56" s="39"/>
      <c r="J56" s="39"/>
      <c r="K56" s="36">
        <v>0</v>
      </c>
      <c r="L56" s="39"/>
      <c r="M56" s="39"/>
      <c r="N56" s="36">
        <f t="shared" si="0"/>
        <v>0</v>
      </c>
      <c r="O56" s="36">
        <f t="shared" si="0"/>
        <v>0</v>
      </c>
      <c r="P56" s="36">
        <f t="shared" si="0"/>
        <v>0</v>
      </c>
      <c r="Q56" s="39"/>
      <c r="R56" s="39"/>
      <c r="S56" s="36">
        <f t="shared" si="1"/>
        <v>0</v>
      </c>
      <c r="T56" s="37" t="s">
        <v>1490</v>
      </c>
      <c r="U56" s="37" t="s">
        <v>316</v>
      </c>
      <c r="V56" s="37">
        <v>0</v>
      </c>
      <c r="W56" s="10">
        <v>1</v>
      </c>
      <c r="X56" s="10">
        <v>1</v>
      </c>
      <c r="Y56" s="10">
        <v>1</v>
      </c>
      <c r="Z56" s="10">
        <v>3</v>
      </c>
      <c r="AA56" s="34">
        <v>0</v>
      </c>
      <c r="AB56" s="10">
        <v>180</v>
      </c>
      <c r="AC56" s="10">
        <v>180</v>
      </c>
      <c r="AD56" s="10" t="s">
        <v>1491</v>
      </c>
      <c r="AE56" s="10">
        <v>0</v>
      </c>
      <c r="AF56" s="10">
        <v>0</v>
      </c>
      <c r="AG56" s="10">
        <v>0</v>
      </c>
      <c r="AH56" s="10">
        <v>0</v>
      </c>
      <c r="AI56" s="10">
        <v>0</v>
      </c>
      <c r="AJ56" s="10">
        <v>0</v>
      </c>
      <c r="AK56" s="10">
        <v>0</v>
      </c>
      <c r="AL56" s="10">
        <v>0</v>
      </c>
      <c r="AM56" s="10">
        <v>0</v>
      </c>
      <c r="AN56" s="10">
        <v>0</v>
      </c>
      <c r="AO56" s="10">
        <v>0</v>
      </c>
      <c r="AP56" s="10">
        <v>0</v>
      </c>
    </row>
    <row r="57" spans="1:42" ht="409.5" x14ac:dyDescent="0.25">
      <c r="A57" s="34">
        <v>0</v>
      </c>
      <c r="B57" s="34">
        <v>0</v>
      </c>
      <c r="C57" s="34">
        <v>0</v>
      </c>
      <c r="D57" s="34">
        <v>0</v>
      </c>
      <c r="E57" s="243">
        <v>0</v>
      </c>
      <c r="F57" s="34">
        <v>0</v>
      </c>
      <c r="G57" s="34">
        <v>0</v>
      </c>
      <c r="H57" s="36">
        <v>0</v>
      </c>
      <c r="I57" s="39"/>
      <c r="J57" s="39"/>
      <c r="K57" s="36">
        <v>0</v>
      </c>
      <c r="L57" s="39"/>
      <c r="M57" s="39"/>
      <c r="N57" s="36">
        <f t="shared" si="0"/>
        <v>0</v>
      </c>
      <c r="O57" s="36">
        <f t="shared" si="0"/>
        <v>0</v>
      </c>
      <c r="P57" s="36">
        <f t="shared" si="0"/>
        <v>0</v>
      </c>
      <c r="Q57" s="39"/>
      <c r="R57" s="39"/>
      <c r="S57" s="36">
        <f t="shared" si="1"/>
        <v>0</v>
      </c>
      <c r="T57" s="37" t="s">
        <v>1492</v>
      </c>
      <c r="U57" s="37" t="s">
        <v>316</v>
      </c>
      <c r="V57" s="37">
        <v>12</v>
      </c>
      <c r="W57" s="10">
        <v>12</v>
      </c>
      <c r="X57" s="10">
        <v>12</v>
      </c>
      <c r="Y57" s="10">
        <v>5</v>
      </c>
      <c r="Z57" s="10">
        <v>12</v>
      </c>
      <c r="AA57" s="34">
        <v>360</v>
      </c>
      <c r="AB57" s="10">
        <v>150</v>
      </c>
      <c r="AC57" s="10">
        <v>330</v>
      </c>
      <c r="AD57" s="10" t="s">
        <v>1493</v>
      </c>
      <c r="AE57" s="10" t="s">
        <v>218</v>
      </c>
      <c r="AF57" s="10" t="s">
        <v>218</v>
      </c>
      <c r="AG57" s="10" t="s">
        <v>218</v>
      </c>
      <c r="AH57" s="10" t="s">
        <v>218</v>
      </c>
      <c r="AI57" s="10" t="s">
        <v>218</v>
      </c>
      <c r="AJ57" s="10" t="s">
        <v>218</v>
      </c>
      <c r="AK57" s="10" t="s">
        <v>218</v>
      </c>
      <c r="AL57" s="10" t="s">
        <v>218</v>
      </c>
      <c r="AM57" s="10" t="s">
        <v>218</v>
      </c>
      <c r="AN57" s="10" t="s">
        <v>218</v>
      </c>
      <c r="AO57" s="10" t="s">
        <v>218</v>
      </c>
      <c r="AP57" s="10" t="s">
        <v>218</v>
      </c>
    </row>
    <row r="58" spans="1:42" ht="107.25" customHeight="1" x14ac:dyDescent="0.25">
      <c r="A58" s="34">
        <v>0</v>
      </c>
      <c r="B58" s="34">
        <v>0</v>
      </c>
      <c r="C58" s="34">
        <v>0</v>
      </c>
      <c r="D58" s="34">
        <v>0</v>
      </c>
      <c r="E58" s="243">
        <v>0</v>
      </c>
      <c r="F58" s="34">
        <v>0</v>
      </c>
      <c r="G58" s="34">
        <v>0</v>
      </c>
      <c r="H58" s="36">
        <v>0</v>
      </c>
      <c r="I58" s="39"/>
      <c r="J58" s="39"/>
      <c r="K58" s="36">
        <v>0</v>
      </c>
      <c r="L58" s="39"/>
      <c r="M58" s="39"/>
      <c r="N58" s="36">
        <f t="shared" si="0"/>
        <v>0</v>
      </c>
      <c r="O58" s="36">
        <f t="shared" si="0"/>
        <v>0</v>
      </c>
      <c r="P58" s="36">
        <f t="shared" si="0"/>
        <v>0</v>
      </c>
      <c r="Q58" s="39"/>
      <c r="R58" s="39"/>
      <c r="S58" s="36">
        <f t="shared" si="1"/>
        <v>0</v>
      </c>
      <c r="T58" s="37" t="s">
        <v>1494</v>
      </c>
      <c r="U58" s="37" t="s">
        <v>316</v>
      </c>
      <c r="V58" s="37">
        <v>1</v>
      </c>
      <c r="W58" s="10">
        <v>1</v>
      </c>
      <c r="X58" s="10">
        <v>1</v>
      </c>
      <c r="Y58" s="10" t="s">
        <v>1407</v>
      </c>
      <c r="Z58" s="10">
        <v>1</v>
      </c>
      <c r="AA58" s="34">
        <v>0</v>
      </c>
      <c r="AB58" s="10" t="s">
        <v>1407</v>
      </c>
      <c r="AC58" s="10">
        <v>150</v>
      </c>
      <c r="AD58" s="10" t="s">
        <v>1495</v>
      </c>
      <c r="AE58" s="10">
        <v>0</v>
      </c>
      <c r="AF58" s="10">
        <v>0</v>
      </c>
      <c r="AG58" s="10">
        <v>0</v>
      </c>
      <c r="AH58" s="10">
        <v>0</v>
      </c>
      <c r="AI58" s="10">
        <v>0</v>
      </c>
      <c r="AJ58" s="10">
        <v>0</v>
      </c>
      <c r="AK58" s="10">
        <v>0</v>
      </c>
      <c r="AL58" s="10">
        <v>0</v>
      </c>
      <c r="AM58" s="10">
        <v>0</v>
      </c>
      <c r="AN58" s="10">
        <v>0</v>
      </c>
      <c r="AO58" s="10">
        <v>0</v>
      </c>
      <c r="AP58" s="10">
        <v>0</v>
      </c>
    </row>
    <row r="59" spans="1:42" ht="270" x14ac:dyDescent="0.25">
      <c r="A59" s="34" t="s">
        <v>23</v>
      </c>
      <c r="B59" s="34" t="s">
        <v>142</v>
      </c>
      <c r="C59" s="34" t="s">
        <v>143</v>
      </c>
      <c r="D59" s="34">
        <v>212220000</v>
      </c>
      <c r="E59" s="34" t="s">
        <v>1331</v>
      </c>
      <c r="F59" s="34" t="s">
        <v>1332</v>
      </c>
      <c r="G59" s="34" t="s">
        <v>1333</v>
      </c>
      <c r="H59" s="36">
        <v>427037000</v>
      </c>
      <c r="I59" s="39">
        <v>827037000</v>
      </c>
      <c r="J59" s="39">
        <v>827037000</v>
      </c>
      <c r="K59" s="36">
        <v>0</v>
      </c>
      <c r="L59" s="39"/>
      <c r="M59" s="39"/>
      <c r="N59" s="36">
        <f t="shared" si="0"/>
        <v>427037000</v>
      </c>
      <c r="O59" s="36">
        <f t="shared" si="0"/>
        <v>827037000</v>
      </c>
      <c r="P59" s="36">
        <f t="shared" si="0"/>
        <v>827037000</v>
      </c>
      <c r="Q59" s="39">
        <v>827037000</v>
      </c>
      <c r="R59" s="39"/>
      <c r="S59" s="36">
        <f t="shared" si="1"/>
        <v>827037000</v>
      </c>
      <c r="T59" s="37" t="s">
        <v>1496</v>
      </c>
      <c r="U59" s="37" t="s">
        <v>316</v>
      </c>
      <c r="V59" s="37">
        <v>2</v>
      </c>
      <c r="W59" s="10">
        <v>1</v>
      </c>
      <c r="X59" s="10">
        <v>2</v>
      </c>
      <c r="Y59" s="10">
        <v>1</v>
      </c>
      <c r="Z59" s="10">
        <v>2</v>
      </c>
      <c r="AA59" s="34">
        <v>360</v>
      </c>
      <c r="AB59" s="10" t="s">
        <v>1407</v>
      </c>
      <c r="AC59" s="10">
        <v>180</v>
      </c>
      <c r="AD59" s="10" t="s">
        <v>1497</v>
      </c>
      <c r="AE59" s="10">
        <v>0</v>
      </c>
      <c r="AF59" s="10">
        <v>0</v>
      </c>
      <c r="AG59" s="10">
        <v>0</v>
      </c>
      <c r="AH59" s="10">
        <v>0</v>
      </c>
      <c r="AI59" s="10">
        <v>0</v>
      </c>
      <c r="AJ59" s="10">
        <v>0</v>
      </c>
      <c r="AK59" s="10">
        <v>0</v>
      </c>
      <c r="AL59" s="10">
        <v>0</v>
      </c>
      <c r="AM59" s="10">
        <v>0</v>
      </c>
      <c r="AN59" s="10">
        <v>0</v>
      </c>
      <c r="AO59" s="10">
        <v>0</v>
      </c>
      <c r="AP59" s="10">
        <v>0</v>
      </c>
    </row>
    <row r="60" spans="1:42" ht="117" customHeight="1" x14ac:dyDescent="0.25">
      <c r="A60" s="34">
        <v>0</v>
      </c>
      <c r="B60" s="34">
        <v>0</v>
      </c>
      <c r="C60" s="34">
        <v>0</v>
      </c>
      <c r="D60" s="34">
        <v>0</v>
      </c>
      <c r="E60" s="243">
        <v>0</v>
      </c>
      <c r="F60" s="34">
        <v>0</v>
      </c>
      <c r="G60" s="34">
        <v>0</v>
      </c>
      <c r="H60" s="36">
        <v>0</v>
      </c>
      <c r="I60" s="39"/>
      <c r="J60" s="39"/>
      <c r="K60" s="36">
        <v>0</v>
      </c>
      <c r="L60" s="39"/>
      <c r="M60" s="39"/>
      <c r="N60" s="36">
        <f t="shared" si="0"/>
        <v>0</v>
      </c>
      <c r="O60" s="36">
        <f t="shared" si="0"/>
        <v>0</v>
      </c>
      <c r="P60" s="36">
        <f t="shared" si="0"/>
        <v>0</v>
      </c>
      <c r="Q60" s="39"/>
      <c r="R60" s="39"/>
      <c r="S60" s="36">
        <f t="shared" si="1"/>
        <v>0</v>
      </c>
      <c r="T60" s="37" t="s">
        <v>1498</v>
      </c>
      <c r="U60" s="37" t="s">
        <v>316</v>
      </c>
      <c r="V60" s="37">
        <v>1</v>
      </c>
      <c r="W60" s="10" t="s">
        <v>1394</v>
      </c>
      <c r="X60" s="10">
        <v>1</v>
      </c>
      <c r="Y60" s="10" t="s">
        <v>1407</v>
      </c>
      <c r="Z60" s="10">
        <v>1</v>
      </c>
      <c r="AA60" s="34" t="s">
        <v>1407</v>
      </c>
      <c r="AB60" s="10" t="s">
        <v>1394</v>
      </c>
      <c r="AC60" s="10" t="s">
        <v>1407</v>
      </c>
      <c r="AD60" s="10" t="s">
        <v>1499</v>
      </c>
      <c r="AE60" s="10">
        <v>0</v>
      </c>
      <c r="AF60" s="10">
        <v>0</v>
      </c>
      <c r="AG60" s="10">
        <v>0</v>
      </c>
      <c r="AH60" s="10">
        <v>0</v>
      </c>
      <c r="AI60" s="10">
        <v>0</v>
      </c>
      <c r="AJ60" s="10">
        <v>0</v>
      </c>
      <c r="AK60" s="10">
        <v>0</v>
      </c>
      <c r="AL60" s="10">
        <v>0</v>
      </c>
      <c r="AM60" s="10">
        <v>0</v>
      </c>
      <c r="AN60" s="10">
        <v>0</v>
      </c>
      <c r="AO60" s="10">
        <v>0</v>
      </c>
      <c r="AP60" s="10">
        <v>0</v>
      </c>
    </row>
    <row r="61" spans="1:42" ht="180" x14ac:dyDescent="0.25">
      <c r="A61" s="34">
        <v>0</v>
      </c>
      <c r="B61" s="34">
        <v>0</v>
      </c>
      <c r="C61" s="34">
        <v>0</v>
      </c>
      <c r="D61" s="34">
        <v>0</v>
      </c>
      <c r="E61" s="243">
        <v>0</v>
      </c>
      <c r="F61" s="34">
        <v>0</v>
      </c>
      <c r="G61" s="34">
        <v>0</v>
      </c>
      <c r="H61" s="36">
        <v>0</v>
      </c>
      <c r="I61" s="39"/>
      <c r="J61" s="39"/>
      <c r="K61" s="36">
        <v>0</v>
      </c>
      <c r="L61" s="39"/>
      <c r="M61" s="39"/>
      <c r="N61" s="36">
        <f t="shared" si="0"/>
        <v>0</v>
      </c>
      <c r="O61" s="36">
        <f t="shared" si="0"/>
        <v>0</v>
      </c>
      <c r="P61" s="36">
        <f t="shared" si="0"/>
        <v>0</v>
      </c>
      <c r="Q61" s="39"/>
      <c r="R61" s="39"/>
      <c r="S61" s="36">
        <f t="shared" si="1"/>
        <v>0</v>
      </c>
      <c r="T61" s="37" t="s">
        <v>1500</v>
      </c>
      <c r="U61" s="37" t="s">
        <v>316</v>
      </c>
      <c r="V61" s="37">
        <v>5</v>
      </c>
      <c r="W61" s="10">
        <v>5</v>
      </c>
      <c r="X61" s="10">
        <v>5</v>
      </c>
      <c r="Y61" s="10">
        <v>2</v>
      </c>
      <c r="Z61" s="10">
        <v>5</v>
      </c>
      <c r="AA61" s="34">
        <v>360</v>
      </c>
      <c r="AB61" s="10">
        <v>60</v>
      </c>
      <c r="AC61" s="10">
        <v>240</v>
      </c>
      <c r="AD61" s="143" t="s">
        <v>1501</v>
      </c>
      <c r="AE61" s="10" t="s">
        <v>218</v>
      </c>
      <c r="AF61" s="10" t="s">
        <v>218</v>
      </c>
      <c r="AG61" s="10" t="s">
        <v>218</v>
      </c>
      <c r="AH61" s="10" t="s">
        <v>218</v>
      </c>
      <c r="AI61" s="10" t="s">
        <v>218</v>
      </c>
      <c r="AJ61" s="10" t="s">
        <v>218</v>
      </c>
      <c r="AK61" s="10" t="s">
        <v>218</v>
      </c>
      <c r="AL61" s="10" t="s">
        <v>218</v>
      </c>
      <c r="AM61" s="10" t="s">
        <v>218</v>
      </c>
      <c r="AN61" s="10" t="s">
        <v>218</v>
      </c>
      <c r="AO61" s="10" t="s">
        <v>218</v>
      </c>
      <c r="AP61" s="10" t="s">
        <v>218</v>
      </c>
    </row>
    <row r="62" spans="1:42" ht="120" x14ac:dyDescent="0.25">
      <c r="A62" s="34" t="s">
        <v>23</v>
      </c>
      <c r="B62" s="34" t="s">
        <v>142</v>
      </c>
      <c r="C62" s="34" t="s">
        <v>150</v>
      </c>
      <c r="D62" s="34">
        <v>212310000</v>
      </c>
      <c r="E62" s="34" t="s">
        <v>1336</v>
      </c>
      <c r="F62" s="34" t="s">
        <v>1337</v>
      </c>
      <c r="G62" s="34" t="s">
        <v>1338</v>
      </c>
      <c r="H62" s="36">
        <v>200000000</v>
      </c>
      <c r="I62" s="39">
        <v>263846850</v>
      </c>
      <c r="J62" s="39">
        <v>278846850</v>
      </c>
      <c r="K62" s="36">
        <v>0</v>
      </c>
      <c r="L62" s="39"/>
      <c r="M62" s="39"/>
      <c r="N62" s="36">
        <f t="shared" si="0"/>
        <v>200000000</v>
      </c>
      <c r="O62" s="36">
        <f t="shared" si="0"/>
        <v>263846850</v>
      </c>
      <c r="P62" s="36">
        <f t="shared" si="0"/>
        <v>278846850</v>
      </c>
      <c r="Q62" s="39">
        <v>273654156</v>
      </c>
      <c r="R62" s="39">
        <v>100000000</v>
      </c>
      <c r="S62" s="36">
        <f t="shared" si="1"/>
        <v>373654156</v>
      </c>
      <c r="T62" s="37" t="s">
        <v>1502</v>
      </c>
      <c r="U62" s="37" t="s">
        <v>316</v>
      </c>
      <c r="V62" s="37">
        <v>824</v>
      </c>
      <c r="W62" s="10"/>
      <c r="X62" s="10">
        <v>100</v>
      </c>
      <c r="Y62" s="10">
        <v>100</v>
      </c>
      <c r="Z62" s="10">
        <v>100</v>
      </c>
      <c r="AA62" s="34">
        <v>360</v>
      </c>
      <c r="AB62" s="10">
        <v>180</v>
      </c>
      <c r="AC62" s="10">
        <v>360</v>
      </c>
      <c r="AD62" s="10"/>
      <c r="AE62" s="10" t="s">
        <v>218</v>
      </c>
      <c r="AF62" s="10" t="s">
        <v>218</v>
      </c>
      <c r="AG62" s="10" t="s">
        <v>218</v>
      </c>
      <c r="AH62" s="10" t="s">
        <v>218</v>
      </c>
      <c r="AI62" s="10" t="s">
        <v>218</v>
      </c>
      <c r="AJ62" s="10" t="s">
        <v>218</v>
      </c>
      <c r="AK62" s="10" t="s">
        <v>218</v>
      </c>
      <c r="AL62" s="10" t="s">
        <v>218</v>
      </c>
      <c r="AM62" s="10" t="s">
        <v>218</v>
      </c>
      <c r="AN62" s="10" t="s">
        <v>218</v>
      </c>
      <c r="AO62" s="10" t="s">
        <v>218</v>
      </c>
      <c r="AP62" s="10" t="s">
        <v>218</v>
      </c>
    </row>
    <row r="63" spans="1:42" ht="200.25" customHeight="1" x14ac:dyDescent="0.25">
      <c r="A63" s="34">
        <v>0</v>
      </c>
      <c r="B63" s="34">
        <v>0</v>
      </c>
      <c r="C63" s="34">
        <v>0</v>
      </c>
      <c r="D63" s="34">
        <v>0</v>
      </c>
      <c r="E63" s="243">
        <v>0</v>
      </c>
      <c r="F63" s="34">
        <v>0</v>
      </c>
      <c r="G63" s="34">
        <v>0</v>
      </c>
      <c r="H63" s="36">
        <v>0</v>
      </c>
      <c r="I63" s="39"/>
      <c r="J63" s="39"/>
      <c r="K63" s="36">
        <v>0</v>
      </c>
      <c r="L63" s="39"/>
      <c r="M63" s="39"/>
      <c r="N63" s="36">
        <f t="shared" si="0"/>
        <v>0</v>
      </c>
      <c r="O63" s="36">
        <f t="shared" si="0"/>
        <v>0</v>
      </c>
      <c r="P63" s="36">
        <f t="shared" si="0"/>
        <v>0</v>
      </c>
      <c r="Q63" s="39"/>
      <c r="R63" s="39"/>
      <c r="S63" s="36">
        <f t="shared" si="1"/>
        <v>0</v>
      </c>
      <c r="T63" s="37" t="s">
        <v>1503</v>
      </c>
      <c r="U63" s="37" t="s">
        <v>222</v>
      </c>
      <c r="V63" s="37">
        <v>100</v>
      </c>
      <c r="W63" s="10">
        <v>100</v>
      </c>
      <c r="X63" s="10">
        <v>100</v>
      </c>
      <c r="Y63" s="10">
        <v>100</v>
      </c>
      <c r="Z63" s="10">
        <v>97.3</v>
      </c>
      <c r="AA63" s="34">
        <v>360</v>
      </c>
      <c r="AB63" s="10">
        <v>180</v>
      </c>
      <c r="AC63" s="10">
        <v>360</v>
      </c>
      <c r="AD63" s="10" t="s">
        <v>1504</v>
      </c>
      <c r="AE63" s="10" t="s">
        <v>218</v>
      </c>
      <c r="AF63" s="10" t="s">
        <v>218</v>
      </c>
      <c r="AG63" s="10" t="s">
        <v>218</v>
      </c>
      <c r="AH63" s="10" t="s">
        <v>218</v>
      </c>
      <c r="AI63" s="10" t="s">
        <v>218</v>
      </c>
      <c r="AJ63" s="10" t="s">
        <v>218</v>
      </c>
      <c r="AK63" s="10" t="s">
        <v>218</v>
      </c>
      <c r="AL63" s="10" t="s">
        <v>218</v>
      </c>
      <c r="AM63" s="10" t="s">
        <v>218</v>
      </c>
      <c r="AN63" s="10" t="s">
        <v>218</v>
      </c>
      <c r="AO63" s="10" t="s">
        <v>218</v>
      </c>
      <c r="AP63" s="10" t="s">
        <v>218</v>
      </c>
    </row>
    <row r="64" spans="1:42" ht="67.5" customHeight="1" x14ac:dyDescent="0.25">
      <c r="A64" s="34">
        <v>0</v>
      </c>
      <c r="B64" s="34">
        <v>0</v>
      </c>
      <c r="C64" s="34">
        <v>0</v>
      </c>
      <c r="D64" s="34">
        <v>0</v>
      </c>
      <c r="E64" s="243">
        <v>0</v>
      </c>
      <c r="F64" s="34">
        <v>0</v>
      </c>
      <c r="G64" s="34">
        <v>0</v>
      </c>
      <c r="H64" s="36">
        <v>0</v>
      </c>
      <c r="I64" s="39"/>
      <c r="J64" s="39"/>
      <c r="K64" s="36">
        <v>0</v>
      </c>
      <c r="L64" s="39"/>
      <c r="M64" s="39"/>
      <c r="N64" s="36">
        <f t="shared" si="0"/>
        <v>0</v>
      </c>
      <c r="O64" s="36">
        <f t="shared" si="0"/>
        <v>0</v>
      </c>
      <c r="P64" s="36">
        <f t="shared" si="0"/>
        <v>0</v>
      </c>
      <c r="Q64" s="39"/>
      <c r="R64" s="39"/>
      <c r="S64" s="36">
        <f t="shared" si="1"/>
        <v>0</v>
      </c>
      <c r="T64" s="37" t="s">
        <v>1505</v>
      </c>
      <c r="U64" s="37" t="s">
        <v>222</v>
      </c>
      <c r="V64" s="37">
        <v>100</v>
      </c>
      <c r="W64" s="10">
        <v>100</v>
      </c>
      <c r="X64" s="10">
        <v>100</v>
      </c>
      <c r="Y64" s="10">
        <v>50</v>
      </c>
      <c r="Z64" s="10">
        <v>100</v>
      </c>
      <c r="AA64" s="34">
        <v>360</v>
      </c>
      <c r="AB64" s="10">
        <v>180</v>
      </c>
      <c r="AC64" s="10">
        <v>360</v>
      </c>
      <c r="AD64" s="10" t="s">
        <v>1506</v>
      </c>
      <c r="AE64" s="10" t="s">
        <v>218</v>
      </c>
      <c r="AF64" s="10" t="s">
        <v>218</v>
      </c>
      <c r="AG64" s="10" t="s">
        <v>218</v>
      </c>
      <c r="AH64" s="10" t="s">
        <v>218</v>
      </c>
      <c r="AI64" s="10" t="s">
        <v>218</v>
      </c>
      <c r="AJ64" s="10" t="s">
        <v>218</v>
      </c>
      <c r="AK64" s="10" t="s">
        <v>218</v>
      </c>
      <c r="AL64" s="10" t="s">
        <v>218</v>
      </c>
      <c r="AM64" s="10" t="s">
        <v>218</v>
      </c>
      <c r="AN64" s="10" t="s">
        <v>218</v>
      </c>
      <c r="AO64" s="10" t="s">
        <v>218</v>
      </c>
      <c r="AP64" s="10" t="s">
        <v>218</v>
      </c>
    </row>
    <row r="65" spans="1:42" ht="181.5" customHeight="1" x14ac:dyDescent="0.25">
      <c r="A65" s="34">
        <v>0</v>
      </c>
      <c r="B65" s="34">
        <v>0</v>
      </c>
      <c r="C65" s="34">
        <v>0</v>
      </c>
      <c r="D65" s="34">
        <v>0</v>
      </c>
      <c r="E65" s="243">
        <v>0</v>
      </c>
      <c r="F65" s="34">
        <v>0</v>
      </c>
      <c r="G65" s="34">
        <v>0</v>
      </c>
      <c r="H65" s="36">
        <v>0</v>
      </c>
      <c r="I65" s="39"/>
      <c r="J65" s="39"/>
      <c r="K65" s="36">
        <v>0</v>
      </c>
      <c r="L65" s="39"/>
      <c r="M65" s="39"/>
      <c r="N65" s="36">
        <f t="shared" si="0"/>
        <v>0</v>
      </c>
      <c r="O65" s="36">
        <f t="shared" si="0"/>
        <v>0</v>
      </c>
      <c r="P65" s="36">
        <f t="shared" si="0"/>
        <v>0</v>
      </c>
      <c r="Q65" s="39"/>
      <c r="R65" s="39"/>
      <c r="S65" s="36">
        <f t="shared" si="1"/>
        <v>0</v>
      </c>
      <c r="T65" s="37" t="s">
        <v>1507</v>
      </c>
      <c r="U65" s="37" t="s">
        <v>222</v>
      </c>
      <c r="V65" s="37">
        <v>100</v>
      </c>
      <c r="W65" s="126">
        <v>0.63</v>
      </c>
      <c r="X65" s="10">
        <v>0</v>
      </c>
      <c r="Y65" s="126">
        <v>0.63</v>
      </c>
      <c r="Z65" s="10">
        <v>63</v>
      </c>
      <c r="AA65" s="34">
        <v>180</v>
      </c>
      <c r="AB65" s="10">
        <v>180</v>
      </c>
      <c r="AC65" s="10">
        <v>180</v>
      </c>
      <c r="AD65" s="10" t="s">
        <v>1508</v>
      </c>
      <c r="AE65" s="10" t="s">
        <v>218</v>
      </c>
      <c r="AF65" s="10" t="s">
        <v>218</v>
      </c>
      <c r="AG65" s="10" t="s">
        <v>218</v>
      </c>
      <c r="AH65" s="10" t="s">
        <v>218</v>
      </c>
      <c r="AI65" s="10" t="s">
        <v>218</v>
      </c>
      <c r="AJ65" s="10" t="s">
        <v>218</v>
      </c>
      <c r="AK65" s="10">
        <v>0</v>
      </c>
      <c r="AL65" s="10">
        <v>0</v>
      </c>
      <c r="AM65" s="10">
        <v>0</v>
      </c>
      <c r="AN65" s="10">
        <v>0</v>
      </c>
      <c r="AO65" s="10">
        <v>0</v>
      </c>
      <c r="AP65" s="10">
        <v>0</v>
      </c>
    </row>
    <row r="66" spans="1:42" ht="81.75" customHeight="1" x14ac:dyDescent="0.25">
      <c r="A66" s="34">
        <v>0</v>
      </c>
      <c r="B66" s="34">
        <v>0</v>
      </c>
      <c r="C66" s="34">
        <v>0</v>
      </c>
      <c r="D66" s="34">
        <v>0</v>
      </c>
      <c r="E66" s="243">
        <v>0</v>
      </c>
      <c r="F66" s="34">
        <v>0</v>
      </c>
      <c r="G66" s="34">
        <v>0</v>
      </c>
      <c r="H66" s="36">
        <v>0</v>
      </c>
      <c r="I66" s="39"/>
      <c r="J66" s="39"/>
      <c r="K66" s="36">
        <v>0</v>
      </c>
      <c r="L66" s="39"/>
      <c r="M66" s="39"/>
      <c r="N66" s="36">
        <f t="shared" si="0"/>
        <v>0</v>
      </c>
      <c r="O66" s="36">
        <f t="shared" si="0"/>
        <v>0</v>
      </c>
      <c r="P66" s="36">
        <f t="shared" si="0"/>
        <v>0</v>
      </c>
      <c r="Q66" s="39"/>
      <c r="R66" s="39"/>
      <c r="S66" s="36">
        <f t="shared" si="1"/>
        <v>0</v>
      </c>
      <c r="T66" s="37" t="s">
        <v>1509</v>
      </c>
      <c r="U66" s="37" t="s">
        <v>222</v>
      </c>
      <c r="V66" s="37">
        <v>100</v>
      </c>
      <c r="W66" s="10">
        <v>100</v>
      </c>
      <c r="X66" s="10">
        <v>100</v>
      </c>
      <c r="Y66" s="10">
        <v>100</v>
      </c>
      <c r="Z66" s="10">
        <v>100</v>
      </c>
      <c r="AA66" s="34">
        <v>360</v>
      </c>
      <c r="AB66" s="10">
        <v>180</v>
      </c>
      <c r="AC66" s="10">
        <v>360</v>
      </c>
      <c r="AD66" s="10" t="s">
        <v>1510</v>
      </c>
      <c r="AE66" s="10" t="s">
        <v>218</v>
      </c>
      <c r="AF66" s="10" t="s">
        <v>218</v>
      </c>
      <c r="AG66" s="10" t="s">
        <v>218</v>
      </c>
      <c r="AH66" s="10" t="s">
        <v>218</v>
      </c>
      <c r="AI66" s="10" t="s">
        <v>218</v>
      </c>
      <c r="AJ66" s="10" t="s">
        <v>218</v>
      </c>
      <c r="AK66" s="10" t="s">
        <v>218</v>
      </c>
      <c r="AL66" s="10" t="s">
        <v>218</v>
      </c>
      <c r="AM66" s="10" t="s">
        <v>218</v>
      </c>
      <c r="AN66" s="10" t="s">
        <v>218</v>
      </c>
      <c r="AO66" s="10" t="s">
        <v>218</v>
      </c>
      <c r="AP66" s="10" t="s">
        <v>218</v>
      </c>
    </row>
    <row r="67" spans="1:42" ht="47.25" customHeight="1" x14ac:dyDescent="0.25">
      <c r="A67" s="34">
        <v>0</v>
      </c>
      <c r="B67" s="34">
        <v>0</v>
      </c>
      <c r="C67" s="34">
        <v>0</v>
      </c>
      <c r="D67" s="34">
        <v>0</v>
      </c>
      <c r="E67" s="243">
        <v>0</v>
      </c>
      <c r="F67" s="34">
        <v>0</v>
      </c>
      <c r="G67" s="34">
        <v>0</v>
      </c>
      <c r="H67" s="36">
        <v>0</v>
      </c>
      <c r="I67" s="39"/>
      <c r="J67" s="39"/>
      <c r="K67" s="36">
        <v>0</v>
      </c>
      <c r="L67" s="39"/>
      <c r="M67" s="39"/>
      <c r="N67" s="36">
        <f t="shared" si="0"/>
        <v>0</v>
      </c>
      <c r="O67" s="36">
        <f t="shared" si="0"/>
        <v>0</v>
      </c>
      <c r="P67" s="36">
        <f t="shared" si="0"/>
        <v>0</v>
      </c>
      <c r="Q67" s="39"/>
      <c r="R67" s="39"/>
      <c r="S67" s="36">
        <f t="shared" si="1"/>
        <v>0</v>
      </c>
      <c r="T67" s="37" t="s">
        <v>1511</v>
      </c>
      <c r="U67" s="37" t="s">
        <v>222</v>
      </c>
      <c r="V67" s="37">
        <v>100</v>
      </c>
      <c r="W67" s="10">
        <v>100</v>
      </c>
      <c r="X67" s="10">
        <v>100</v>
      </c>
      <c r="Y67" s="10">
        <v>100</v>
      </c>
      <c r="Z67" s="10">
        <v>100</v>
      </c>
      <c r="AA67" s="34">
        <v>360</v>
      </c>
      <c r="AB67" s="10">
        <v>180</v>
      </c>
      <c r="AC67" s="10">
        <v>360</v>
      </c>
      <c r="AD67" s="10" t="s">
        <v>1512</v>
      </c>
      <c r="AE67" s="10" t="s">
        <v>218</v>
      </c>
      <c r="AF67" s="10" t="s">
        <v>218</v>
      </c>
      <c r="AG67" s="10" t="s">
        <v>218</v>
      </c>
      <c r="AH67" s="10" t="s">
        <v>218</v>
      </c>
      <c r="AI67" s="10" t="s">
        <v>218</v>
      </c>
      <c r="AJ67" s="10" t="s">
        <v>218</v>
      </c>
      <c r="AK67" s="10" t="s">
        <v>218</v>
      </c>
      <c r="AL67" s="10" t="s">
        <v>218</v>
      </c>
      <c r="AM67" s="10" t="s">
        <v>218</v>
      </c>
      <c r="AN67" s="10" t="s">
        <v>218</v>
      </c>
      <c r="AO67" s="10" t="s">
        <v>218</v>
      </c>
      <c r="AP67" s="10" t="s">
        <v>218</v>
      </c>
    </row>
    <row r="68" spans="1:42" ht="105" x14ac:dyDescent="0.25">
      <c r="A68" s="34" t="s">
        <v>23</v>
      </c>
      <c r="B68" s="34" t="s">
        <v>142</v>
      </c>
      <c r="C68" s="34" t="s">
        <v>150</v>
      </c>
      <c r="D68" s="34">
        <v>212310000</v>
      </c>
      <c r="E68" s="34" t="s">
        <v>1345</v>
      </c>
      <c r="F68" s="34" t="s">
        <v>1346</v>
      </c>
      <c r="G68" s="34" t="s">
        <v>1347</v>
      </c>
      <c r="H68" s="36">
        <v>150000000</v>
      </c>
      <c r="I68" s="39">
        <v>98733218</v>
      </c>
      <c r="J68" s="39">
        <v>98733218</v>
      </c>
      <c r="K68" s="36">
        <v>0</v>
      </c>
      <c r="L68" s="39">
        <v>0</v>
      </c>
      <c r="M68" s="39">
        <f>2513471*8</f>
        <v>20107768</v>
      </c>
      <c r="N68" s="36">
        <f t="shared" si="0"/>
        <v>150000000</v>
      </c>
      <c r="O68" s="36">
        <f t="shared" si="0"/>
        <v>98733218</v>
      </c>
      <c r="P68" s="36">
        <v>112533088</v>
      </c>
      <c r="Q68" s="39">
        <v>98733218</v>
      </c>
      <c r="R68" s="39">
        <f>2513471*8</f>
        <v>20107768</v>
      </c>
      <c r="S68" s="36">
        <f t="shared" si="1"/>
        <v>118840986</v>
      </c>
      <c r="T68" s="37">
        <v>0</v>
      </c>
      <c r="U68" s="37">
        <v>0</v>
      </c>
      <c r="V68" s="37">
        <v>0</v>
      </c>
      <c r="W68" s="10"/>
      <c r="X68" s="10"/>
      <c r="Y68" s="10"/>
      <c r="Z68" s="10"/>
      <c r="AA68" s="34">
        <v>0</v>
      </c>
      <c r="AB68" s="10"/>
      <c r="AC68" s="10"/>
      <c r="AD68" s="10" t="s">
        <v>1513</v>
      </c>
      <c r="AE68" s="10">
        <v>0</v>
      </c>
      <c r="AF68" s="10">
        <v>0</v>
      </c>
      <c r="AG68" s="10">
        <v>0</v>
      </c>
      <c r="AH68" s="10">
        <v>0</v>
      </c>
      <c r="AI68" s="10">
        <v>0</v>
      </c>
      <c r="AJ68" s="10">
        <v>0</v>
      </c>
      <c r="AK68" s="10">
        <v>0</v>
      </c>
      <c r="AL68" s="10">
        <v>0</v>
      </c>
      <c r="AM68" s="10">
        <v>0</v>
      </c>
      <c r="AN68" s="10">
        <v>0</v>
      </c>
      <c r="AO68" s="10">
        <v>0</v>
      </c>
      <c r="AP68" s="10">
        <v>0</v>
      </c>
    </row>
    <row r="69" spans="1:42" ht="153" customHeight="1" x14ac:dyDescent="0.25">
      <c r="A69" s="34">
        <v>0</v>
      </c>
      <c r="B69" s="34">
        <v>0</v>
      </c>
      <c r="C69" s="34">
        <v>0</v>
      </c>
      <c r="D69" s="34">
        <v>0</v>
      </c>
      <c r="E69" s="243">
        <v>0</v>
      </c>
      <c r="F69" s="34">
        <v>0</v>
      </c>
      <c r="G69" s="34">
        <v>0</v>
      </c>
      <c r="H69" s="36">
        <v>0</v>
      </c>
      <c r="I69" s="39"/>
      <c r="J69" s="39"/>
      <c r="K69" s="36">
        <v>0</v>
      </c>
      <c r="L69" s="39"/>
      <c r="M69" s="39"/>
      <c r="N69" s="36">
        <f t="shared" si="0"/>
        <v>0</v>
      </c>
      <c r="O69" s="36">
        <f t="shared" si="0"/>
        <v>0</v>
      </c>
      <c r="P69" s="36">
        <f t="shared" si="0"/>
        <v>0</v>
      </c>
      <c r="Q69" s="39"/>
      <c r="R69" s="39"/>
      <c r="S69" s="36">
        <f t="shared" si="1"/>
        <v>0</v>
      </c>
      <c r="T69" s="37" t="s">
        <v>1514</v>
      </c>
      <c r="U69" s="37" t="s">
        <v>316</v>
      </c>
      <c r="V69" s="37">
        <v>500</v>
      </c>
      <c r="W69" s="10">
        <v>500</v>
      </c>
      <c r="X69" s="10">
        <v>0</v>
      </c>
      <c r="Y69" s="10" t="s">
        <v>1394</v>
      </c>
      <c r="Z69" s="10">
        <v>0</v>
      </c>
      <c r="AA69" s="34">
        <v>150</v>
      </c>
      <c r="AB69" s="10" t="s">
        <v>1394</v>
      </c>
      <c r="AC69" s="10"/>
      <c r="AD69" s="10" t="s">
        <v>1515</v>
      </c>
      <c r="AE69" s="10">
        <v>0</v>
      </c>
      <c r="AF69" s="10">
        <v>0</v>
      </c>
      <c r="AG69" s="10">
        <v>0</v>
      </c>
      <c r="AH69" s="10">
        <v>0</v>
      </c>
      <c r="AI69" s="10">
        <v>0</v>
      </c>
      <c r="AJ69" s="10">
        <v>0</v>
      </c>
      <c r="AK69" s="10" t="s">
        <v>102</v>
      </c>
      <c r="AL69" s="10" t="s">
        <v>102</v>
      </c>
      <c r="AM69" s="10" t="s">
        <v>102</v>
      </c>
      <c r="AN69" s="10" t="s">
        <v>102</v>
      </c>
      <c r="AO69" s="10" t="s">
        <v>102</v>
      </c>
      <c r="AP69" s="10">
        <v>0</v>
      </c>
    </row>
    <row r="70" spans="1:42" ht="103.5" customHeight="1" x14ac:dyDescent="0.25">
      <c r="A70" s="34">
        <v>0</v>
      </c>
      <c r="B70" s="34">
        <v>0</v>
      </c>
      <c r="C70" s="34">
        <v>0</v>
      </c>
      <c r="D70" s="34">
        <v>0</v>
      </c>
      <c r="E70" s="243">
        <v>0</v>
      </c>
      <c r="F70" s="34">
        <v>0</v>
      </c>
      <c r="G70" s="34">
        <v>0</v>
      </c>
      <c r="H70" s="36">
        <v>0</v>
      </c>
      <c r="I70" s="39"/>
      <c r="J70" s="39"/>
      <c r="K70" s="36">
        <v>0</v>
      </c>
      <c r="L70" s="39"/>
      <c r="M70" s="39"/>
      <c r="N70" s="36">
        <f t="shared" si="0"/>
        <v>0</v>
      </c>
      <c r="O70" s="36">
        <f t="shared" si="0"/>
        <v>0</v>
      </c>
      <c r="P70" s="36">
        <f t="shared" si="0"/>
        <v>0</v>
      </c>
      <c r="Q70" s="39"/>
      <c r="R70" s="39"/>
      <c r="S70" s="36">
        <f t="shared" si="1"/>
        <v>0</v>
      </c>
      <c r="T70" s="37" t="s">
        <v>1516</v>
      </c>
      <c r="U70" s="37" t="s">
        <v>316</v>
      </c>
      <c r="V70" s="37">
        <v>1</v>
      </c>
      <c r="W70" s="10">
        <v>1</v>
      </c>
      <c r="X70" s="10" t="s">
        <v>1407</v>
      </c>
      <c r="Y70" s="10">
        <v>1</v>
      </c>
      <c r="Z70" s="10">
        <v>1</v>
      </c>
      <c r="AA70" s="34">
        <v>30</v>
      </c>
      <c r="AB70" s="10">
        <v>90</v>
      </c>
      <c r="AC70" s="10">
        <v>90</v>
      </c>
      <c r="AD70" s="10" t="s">
        <v>1517</v>
      </c>
      <c r="AE70" s="10">
        <v>0</v>
      </c>
      <c r="AF70" s="10" t="s">
        <v>102</v>
      </c>
      <c r="AG70" s="10">
        <v>0</v>
      </c>
      <c r="AH70" s="10">
        <v>0</v>
      </c>
      <c r="AI70" s="10">
        <v>0</v>
      </c>
      <c r="AJ70" s="10">
        <v>0</v>
      </c>
      <c r="AK70" s="10">
        <v>0</v>
      </c>
      <c r="AL70" s="10">
        <v>0</v>
      </c>
      <c r="AM70" s="10">
        <v>0</v>
      </c>
      <c r="AN70" s="10">
        <v>0</v>
      </c>
      <c r="AO70" s="10">
        <v>0</v>
      </c>
      <c r="AP70" s="10">
        <v>0</v>
      </c>
    </row>
    <row r="71" spans="1:42" ht="240.75" customHeight="1" x14ac:dyDescent="0.25">
      <c r="A71" s="34">
        <v>0</v>
      </c>
      <c r="B71" s="34">
        <v>0</v>
      </c>
      <c r="C71" s="34">
        <v>0</v>
      </c>
      <c r="D71" s="34">
        <v>0</v>
      </c>
      <c r="E71" s="243">
        <v>0</v>
      </c>
      <c r="F71" s="34">
        <v>0</v>
      </c>
      <c r="G71" s="34">
        <v>0</v>
      </c>
      <c r="H71" s="36">
        <v>0</v>
      </c>
      <c r="I71" s="39"/>
      <c r="J71" s="39"/>
      <c r="K71" s="36">
        <v>0</v>
      </c>
      <c r="L71" s="39"/>
      <c r="M71" s="39"/>
      <c r="N71" s="36">
        <f t="shared" si="0"/>
        <v>0</v>
      </c>
      <c r="O71" s="36">
        <f t="shared" si="0"/>
        <v>0</v>
      </c>
      <c r="P71" s="36">
        <f t="shared" si="0"/>
        <v>0</v>
      </c>
      <c r="Q71" s="39"/>
      <c r="R71" s="39"/>
      <c r="S71" s="36">
        <f t="shared" si="1"/>
        <v>0</v>
      </c>
      <c r="T71" s="37" t="s">
        <v>1518</v>
      </c>
      <c r="U71" s="37" t="s">
        <v>316</v>
      </c>
      <c r="V71" s="37">
        <v>300</v>
      </c>
      <c r="W71" s="10">
        <v>450</v>
      </c>
      <c r="X71" s="10">
        <v>450</v>
      </c>
      <c r="Y71" s="10" t="s">
        <v>1407</v>
      </c>
      <c r="Z71" s="10">
        <v>297</v>
      </c>
      <c r="AA71" s="34">
        <v>1</v>
      </c>
      <c r="AB71" s="10" t="s">
        <v>1407</v>
      </c>
      <c r="AC71" s="10">
        <v>60</v>
      </c>
      <c r="AD71" s="10" t="s">
        <v>1519</v>
      </c>
      <c r="AE71" s="10">
        <v>0</v>
      </c>
      <c r="AF71" s="10">
        <v>0</v>
      </c>
      <c r="AG71" s="10">
        <v>0</v>
      </c>
      <c r="AH71" s="10">
        <v>0</v>
      </c>
      <c r="AI71" s="10">
        <v>0</v>
      </c>
      <c r="AJ71" s="10">
        <v>0</v>
      </c>
      <c r="AK71" s="10">
        <v>0</v>
      </c>
      <c r="AL71" s="10">
        <v>0</v>
      </c>
      <c r="AM71" s="10">
        <v>0</v>
      </c>
      <c r="AN71" s="10">
        <v>0</v>
      </c>
      <c r="AO71" s="10">
        <v>0</v>
      </c>
      <c r="AP71" s="10" t="s">
        <v>102</v>
      </c>
    </row>
    <row r="72" spans="1:42" ht="117" customHeight="1" x14ac:dyDescent="0.25">
      <c r="A72" s="34">
        <v>0</v>
      </c>
      <c r="B72" s="34">
        <v>0</v>
      </c>
      <c r="C72" s="34">
        <v>0</v>
      </c>
      <c r="D72" s="34">
        <v>0</v>
      </c>
      <c r="E72" s="243">
        <v>0</v>
      </c>
      <c r="F72" s="34">
        <v>0</v>
      </c>
      <c r="G72" s="34">
        <v>0</v>
      </c>
      <c r="H72" s="36">
        <v>0</v>
      </c>
      <c r="I72" s="39"/>
      <c r="J72" s="39"/>
      <c r="K72" s="36">
        <v>0</v>
      </c>
      <c r="L72" s="39"/>
      <c r="M72" s="39"/>
      <c r="N72" s="36">
        <f t="shared" si="0"/>
        <v>0</v>
      </c>
      <c r="O72" s="36">
        <f t="shared" si="0"/>
        <v>0</v>
      </c>
      <c r="P72" s="36">
        <f t="shared" si="0"/>
        <v>0</v>
      </c>
      <c r="Q72" s="39"/>
      <c r="R72" s="39"/>
      <c r="S72" s="36">
        <f t="shared" si="1"/>
        <v>0</v>
      </c>
      <c r="T72" s="37" t="s">
        <v>1520</v>
      </c>
      <c r="U72" s="37" t="s">
        <v>316</v>
      </c>
      <c r="V72" s="37">
        <v>2</v>
      </c>
      <c r="W72" s="10">
        <v>4</v>
      </c>
      <c r="X72" s="10">
        <v>4</v>
      </c>
      <c r="Y72" s="10">
        <v>2</v>
      </c>
      <c r="Z72" s="10">
        <v>4</v>
      </c>
      <c r="AA72" s="34">
        <v>210</v>
      </c>
      <c r="AB72" s="10">
        <v>30</v>
      </c>
      <c r="AC72" s="10">
        <v>60</v>
      </c>
      <c r="AD72" s="10" t="s">
        <v>1521</v>
      </c>
      <c r="AE72" s="10" t="s">
        <v>102</v>
      </c>
      <c r="AF72" s="10" t="s">
        <v>102</v>
      </c>
      <c r="AG72" s="10" t="s">
        <v>102</v>
      </c>
      <c r="AH72" s="10" t="s">
        <v>102</v>
      </c>
      <c r="AI72" s="10" t="s">
        <v>102</v>
      </c>
      <c r="AJ72" s="10" t="s">
        <v>102</v>
      </c>
      <c r="AK72" s="10" t="s">
        <v>102</v>
      </c>
      <c r="AL72" s="10">
        <v>0</v>
      </c>
      <c r="AM72" s="10">
        <v>0</v>
      </c>
      <c r="AN72" s="10">
        <v>0</v>
      </c>
      <c r="AO72" s="10">
        <v>0</v>
      </c>
      <c r="AP72" s="10">
        <v>0</v>
      </c>
    </row>
    <row r="73" spans="1:42" ht="96" x14ac:dyDescent="0.25">
      <c r="A73" s="34" t="s">
        <v>23</v>
      </c>
      <c r="B73" s="34" t="s">
        <v>142</v>
      </c>
      <c r="C73" s="34" t="s">
        <v>150</v>
      </c>
      <c r="D73" s="34">
        <v>212310000</v>
      </c>
      <c r="E73" s="34" t="s">
        <v>1350</v>
      </c>
      <c r="F73" s="34" t="s">
        <v>1351</v>
      </c>
      <c r="G73" s="34" t="s">
        <v>1352</v>
      </c>
      <c r="H73" s="36">
        <v>150000000</v>
      </c>
      <c r="I73" s="39">
        <v>150000000</v>
      </c>
      <c r="J73" s="39">
        <v>150000001</v>
      </c>
      <c r="K73" s="36">
        <v>0</v>
      </c>
      <c r="L73" s="39"/>
      <c r="M73" s="39"/>
      <c r="N73" s="36">
        <f t="shared" si="0"/>
        <v>150000000</v>
      </c>
      <c r="O73" s="36">
        <f t="shared" si="0"/>
        <v>150000000</v>
      </c>
      <c r="P73" s="36">
        <f t="shared" si="0"/>
        <v>150000001</v>
      </c>
      <c r="Q73" s="39">
        <v>150000001</v>
      </c>
      <c r="R73" s="39"/>
      <c r="S73" s="36">
        <f t="shared" si="1"/>
        <v>150000001</v>
      </c>
      <c r="T73" s="37">
        <v>0</v>
      </c>
      <c r="U73" s="37">
        <v>0</v>
      </c>
      <c r="V73" s="37">
        <v>0</v>
      </c>
      <c r="W73" s="10"/>
      <c r="X73" s="10"/>
      <c r="Y73" s="10"/>
      <c r="Z73" s="10"/>
      <c r="AA73" s="34">
        <v>0</v>
      </c>
      <c r="AB73" s="10"/>
      <c r="AC73" s="10"/>
      <c r="AD73" s="10"/>
      <c r="AE73" s="10">
        <v>0</v>
      </c>
      <c r="AF73" s="10">
        <v>0</v>
      </c>
      <c r="AG73" s="10">
        <v>0</v>
      </c>
      <c r="AH73" s="10">
        <v>0</v>
      </c>
      <c r="AI73" s="10">
        <v>0</v>
      </c>
      <c r="AJ73" s="10">
        <v>0</v>
      </c>
      <c r="AK73" s="10">
        <v>0</v>
      </c>
      <c r="AL73" s="10">
        <v>0</v>
      </c>
      <c r="AM73" s="10">
        <v>0</v>
      </c>
      <c r="AN73" s="10">
        <v>0</v>
      </c>
      <c r="AO73" s="10">
        <v>0</v>
      </c>
      <c r="AP73" s="10">
        <v>0</v>
      </c>
    </row>
    <row r="74" spans="1:42" ht="360" x14ac:dyDescent="0.25">
      <c r="A74" s="34">
        <v>0</v>
      </c>
      <c r="B74" s="34">
        <v>0</v>
      </c>
      <c r="C74" s="34">
        <v>0</v>
      </c>
      <c r="D74" s="34">
        <v>0</v>
      </c>
      <c r="E74" s="243">
        <v>0</v>
      </c>
      <c r="F74" s="34">
        <v>0</v>
      </c>
      <c r="G74" s="34">
        <v>0</v>
      </c>
      <c r="H74" s="36">
        <v>0</v>
      </c>
      <c r="I74" s="39"/>
      <c r="J74" s="39"/>
      <c r="K74" s="36">
        <v>0</v>
      </c>
      <c r="L74" s="39"/>
      <c r="M74" s="39"/>
      <c r="N74" s="36">
        <f t="shared" ref="N74:P96" si="2">H74+K74</f>
        <v>0</v>
      </c>
      <c r="O74" s="36">
        <f t="shared" si="2"/>
        <v>0</v>
      </c>
      <c r="P74" s="36">
        <f t="shared" si="2"/>
        <v>0</v>
      </c>
      <c r="Q74" s="39"/>
      <c r="R74" s="39"/>
      <c r="S74" s="36">
        <f t="shared" ref="S74:S96" si="3">Q74+R74</f>
        <v>0</v>
      </c>
      <c r="T74" s="37" t="s">
        <v>1522</v>
      </c>
      <c r="U74" s="37" t="s">
        <v>316</v>
      </c>
      <c r="V74" s="37">
        <v>1</v>
      </c>
      <c r="W74" s="10">
        <v>1</v>
      </c>
      <c r="X74" s="10">
        <v>1</v>
      </c>
      <c r="Y74" s="10" t="s">
        <v>1523</v>
      </c>
      <c r="Z74" s="10">
        <v>1</v>
      </c>
      <c r="AA74" s="34">
        <v>180</v>
      </c>
      <c r="AB74" s="10">
        <v>120</v>
      </c>
      <c r="AC74" s="10">
        <v>180</v>
      </c>
      <c r="AD74" s="10" t="s">
        <v>1524</v>
      </c>
      <c r="AE74" s="10">
        <v>0</v>
      </c>
      <c r="AF74" s="10">
        <v>0</v>
      </c>
      <c r="AG74" s="10" t="s">
        <v>102</v>
      </c>
      <c r="AH74" s="10" t="s">
        <v>102</v>
      </c>
      <c r="AI74" s="10" t="s">
        <v>102</v>
      </c>
      <c r="AJ74" s="10" t="s">
        <v>102</v>
      </c>
      <c r="AK74" s="10" t="s">
        <v>102</v>
      </c>
      <c r="AL74" s="10" t="s">
        <v>102</v>
      </c>
      <c r="AM74" s="10">
        <v>0</v>
      </c>
      <c r="AN74" s="10">
        <v>0</v>
      </c>
      <c r="AO74" s="10">
        <v>0</v>
      </c>
      <c r="AP74" s="10">
        <v>0</v>
      </c>
    </row>
    <row r="75" spans="1:42" ht="60" x14ac:dyDescent="0.25">
      <c r="A75" s="34">
        <v>0</v>
      </c>
      <c r="B75" s="34">
        <v>0</v>
      </c>
      <c r="C75" s="34">
        <v>0</v>
      </c>
      <c r="D75" s="34">
        <v>0</v>
      </c>
      <c r="E75" s="243">
        <v>0</v>
      </c>
      <c r="F75" s="34">
        <v>0</v>
      </c>
      <c r="G75" s="34">
        <v>0</v>
      </c>
      <c r="H75" s="36">
        <v>0</v>
      </c>
      <c r="I75" s="39"/>
      <c r="J75" s="39"/>
      <c r="K75" s="36">
        <v>0</v>
      </c>
      <c r="L75" s="39"/>
      <c r="M75" s="39"/>
      <c r="N75" s="36">
        <f t="shared" si="2"/>
        <v>0</v>
      </c>
      <c r="O75" s="36">
        <f t="shared" si="2"/>
        <v>0</v>
      </c>
      <c r="P75" s="36">
        <f t="shared" si="2"/>
        <v>0</v>
      </c>
      <c r="Q75" s="39"/>
      <c r="R75" s="39"/>
      <c r="S75" s="36">
        <f t="shared" si="3"/>
        <v>0</v>
      </c>
      <c r="T75" s="37" t="s">
        <v>1525</v>
      </c>
      <c r="U75" s="37" t="s">
        <v>316</v>
      </c>
      <c r="V75" s="37">
        <v>1</v>
      </c>
      <c r="W75" s="10">
        <v>1</v>
      </c>
      <c r="X75" s="10">
        <v>1</v>
      </c>
      <c r="Y75" s="10" t="s">
        <v>1407</v>
      </c>
      <c r="Z75" s="10">
        <v>1</v>
      </c>
      <c r="AA75" s="34">
        <v>180</v>
      </c>
      <c r="AB75" s="10" t="s">
        <v>1407</v>
      </c>
      <c r="AC75" s="10">
        <v>180</v>
      </c>
      <c r="AD75" s="10"/>
      <c r="AE75" s="10">
        <v>0</v>
      </c>
      <c r="AF75" s="10">
        <v>0</v>
      </c>
      <c r="AG75" s="10">
        <v>0</v>
      </c>
      <c r="AH75" s="10">
        <v>0</v>
      </c>
      <c r="AI75" s="10">
        <v>0</v>
      </c>
      <c r="AJ75" s="10">
        <v>0</v>
      </c>
      <c r="AK75" s="10" t="s">
        <v>102</v>
      </c>
      <c r="AL75" s="10" t="s">
        <v>102</v>
      </c>
      <c r="AM75" s="10" t="s">
        <v>102</v>
      </c>
      <c r="AN75" s="10" t="s">
        <v>102</v>
      </c>
      <c r="AO75" s="10" t="s">
        <v>102</v>
      </c>
      <c r="AP75" s="10" t="s">
        <v>102</v>
      </c>
    </row>
    <row r="76" spans="1:42" ht="142.5" customHeight="1" x14ac:dyDescent="0.25">
      <c r="A76" s="34" t="s">
        <v>23</v>
      </c>
      <c r="B76" s="34" t="s">
        <v>142</v>
      </c>
      <c r="C76" s="34" t="s">
        <v>150</v>
      </c>
      <c r="D76" s="34">
        <v>212310000</v>
      </c>
      <c r="E76" s="34" t="s">
        <v>1354</v>
      </c>
      <c r="F76" s="34" t="s">
        <v>1355</v>
      </c>
      <c r="G76" s="34" t="s">
        <v>1356</v>
      </c>
      <c r="H76" s="36">
        <v>100000000</v>
      </c>
      <c r="I76" s="39">
        <v>78028949</v>
      </c>
      <c r="J76" s="39">
        <v>34966774</v>
      </c>
      <c r="K76" s="36">
        <v>0</v>
      </c>
      <c r="L76" s="39"/>
      <c r="M76" s="39"/>
      <c r="N76" s="36">
        <f t="shared" si="2"/>
        <v>100000000</v>
      </c>
      <c r="O76" s="36">
        <f t="shared" si="2"/>
        <v>78028949</v>
      </c>
      <c r="P76" s="36">
        <f t="shared" si="2"/>
        <v>34966774</v>
      </c>
      <c r="Q76" s="39">
        <v>34966774</v>
      </c>
      <c r="R76" s="39"/>
      <c r="S76" s="36">
        <f t="shared" si="3"/>
        <v>34966774</v>
      </c>
      <c r="T76" s="37">
        <v>0</v>
      </c>
      <c r="U76" s="37">
        <v>0</v>
      </c>
      <c r="V76" s="37">
        <v>0</v>
      </c>
      <c r="W76" s="10"/>
      <c r="X76" s="10"/>
      <c r="Y76" s="10"/>
      <c r="Z76" s="10"/>
      <c r="AA76" s="34">
        <v>0</v>
      </c>
      <c r="AB76" s="10"/>
      <c r="AC76" s="10"/>
      <c r="AD76" s="10" t="s">
        <v>1526</v>
      </c>
      <c r="AE76" s="10">
        <v>0</v>
      </c>
      <c r="AF76" s="10">
        <v>0</v>
      </c>
      <c r="AG76" s="10">
        <v>0</v>
      </c>
      <c r="AH76" s="10">
        <v>0</v>
      </c>
      <c r="AI76" s="10">
        <v>0</v>
      </c>
      <c r="AJ76" s="10">
        <v>0</v>
      </c>
      <c r="AK76" s="10">
        <v>0</v>
      </c>
      <c r="AL76" s="10">
        <v>0</v>
      </c>
      <c r="AM76" s="10">
        <v>0</v>
      </c>
      <c r="AN76" s="10">
        <v>0</v>
      </c>
      <c r="AO76" s="10">
        <v>0</v>
      </c>
      <c r="AP76" s="10">
        <v>0</v>
      </c>
    </row>
    <row r="77" spans="1:42" ht="96" customHeight="1" x14ac:dyDescent="0.25">
      <c r="A77" s="34">
        <v>0</v>
      </c>
      <c r="B77" s="34">
        <v>0</v>
      </c>
      <c r="C77" s="34">
        <v>0</v>
      </c>
      <c r="D77" s="34">
        <v>0</v>
      </c>
      <c r="E77" s="243">
        <v>0</v>
      </c>
      <c r="F77" s="34">
        <v>0</v>
      </c>
      <c r="G77" s="34">
        <v>0</v>
      </c>
      <c r="H77" s="36">
        <v>0</v>
      </c>
      <c r="I77" s="39"/>
      <c r="J77" s="39"/>
      <c r="K77" s="36">
        <v>0</v>
      </c>
      <c r="L77" s="39"/>
      <c r="M77" s="39"/>
      <c r="N77" s="36">
        <f t="shared" si="2"/>
        <v>0</v>
      </c>
      <c r="O77" s="36">
        <f t="shared" si="2"/>
        <v>0</v>
      </c>
      <c r="P77" s="36">
        <f t="shared" si="2"/>
        <v>0</v>
      </c>
      <c r="Q77" s="39"/>
      <c r="R77" s="39"/>
      <c r="S77" s="36">
        <f t="shared" si="3"/>
        <v>0</v>
      </c>
      <c r="T77" s="37" t="s">
        <v>1527</v>
      </c>
      <c r="U77" s="37" t="s">
        <v>316</v>
      </c>
      <c r="V77" s="37">
        <v>1</v>
      </c>
      <c r="W77" s="10">
        <v>1</v>
      </c>
      <c r="X77" s="10" t="s">
        <v>858</v>
      </c>
      <c r="Y77" s="10" t="s">
        <v>1528</v>
      </c>
      <c r="Z77" s="10">
        <v>30</v>
      </c>
      <c r="AA77" s="34">
        <v>180</v>
      </c>
      <c r="AB77" s="10">
        <v>180</v>
      </c>
      <c r="AC77" s="10">
        <v>180</v>
      </c>
      <c r="AD77" s="10" t="s">
        <v>1529</v>
      </c>
      <c r="AE77" s="10">
        <v>0</v>
      </c>
      <c r="AF77" s="10">
        <v>0</v>
      </c>
      <c r="AG77" s="10" t="s">
        <v>102</v>
      </c>
      <c r="AH77" s="10" t="s">
        <v>102</v>
      </c>
      <c r="AI77" s="10" t="s">
        <v>102</v>
      </c>
      <c r="AJ77" s="10" t="s">
        <v>102</v>
      </c>
      <c r="AK77" s="10" t="s">
        <v>102</v>
      </c>
      <c r="AL77" s="10" t="s">
        <v>102</v>
      </c>
      <c r="AM77" s="10">
        <v>0</v>
      </c>
      <c r="AN77" s="10">
        <v>0</v>
      </c>
      <c r="AO77" s="10">
        <v>0</v>
      </c>
      <c r="AP77" s="10">
        <v>0</v>
      </c>
    </row>
    <row r="78" spans="1:42" ht="48" x14ac:dyDescent="0.25">
      <c r="A78" s="34">
        <v>0</v>
      </c>
      <c r="B78" s="34">
        <v>0</v>
      </c>
      <c r="C78" s="34">
        <v>0</v>
      </c>
      <c r="D78" s="34">
        <v>0</v>
      </c>
      <c r="E78" s="243">
        <v>0</v>
      </c>
      <c r="F78" s="34">
        <v>0</v>
      </c>
      <c r="G78" s="34">
        <v>0</v>
      </c>
      <c r="H78" s="36">
        <v>0</v>
      </c>
      <c r="I78" s="39"/>
      <c r="J78" s="39"/>
      <c r="K78" s="36">
        <v>0</v>
      </c>
      <c r="L78" s="39"/>
      <c r="M78" s="39"/>
      <c r="N78" s="36">
        <f t="shared" si="2"/>
        <v>0</v>
      </c>
      <c r="O78" s="36">
        <f t="shared" si="2"/>
        <v>0</v>
      </c>
      <c r="P78" s="36">
        <f t="shared" si="2"/>
        <v>0</v>
      </c>
      <c r="Q78" s="39"/>
      <c r="R78" s="39"/>
      <c r="S78" s="36">
        <f t="shared" si="3"/>
        <v>0</v>
      </c>
      <c r="T78" s="37" t="s">
        <v>1530</v>
      </c>
      <c r="U78" s="37" t="s">
        <v>316</v>
      </c>
      <c r="V78" s="37">
        <v>1</v>
      </c>
      <c r="W78" s="10">
        <v>1</v>
      </c>
      <c r="X78" s="10"/>
      <c r="Y78" s="10">
        <v>0</v>
      </c>
      <c r="Z78" s="10"/>
      <c r="AA78" s="34">
        <v>174</v>
      </c>
      <c r="AB78" s="10"/>
      <c r="AC78" s="10"/>
      <c r="AD78" s="10" t="s">
        <v>1531</v>
      </c>
      <c r="AE78" s="10" t="s">
        <v>102</v>
      </c>
      <c r="AF78" s="10" t="s">
        <v>102</v>
      </c>
      <c r="AG78" s="10" t="s">
        <v>102</v>
      </c>
      <c r="AH78" s="10" t="s">
        <v>102</v>
      </c>
      <c r="AI78" s="10" t="s">
        <v>102</v>
      </c>
      <c r="AJ78" s="10" t="s">
        <v>102</v>
      </c>
      <c r="AK78" s="10">
        <v>0</v>
      </c>
      <c r="AL78" s="10">
        <v>0</v>
      </c>
      <c r="AM78" s="10">
        <v>0</v>
      </c>
      <c r="AN78" s="10">
        <v>0</v>
      </c>
      <c r="AO78" s="10">
        <v>0</v>
      </c>
      <c r="AP78" s="10">
        <v>0</v>
      </c>
    </row>
    <row r="79" spans="1:42" ht="84" x14ac:dyDescent="0.25">
      <c r="A79" s="34" t="s">
        <v>23</v>
      </c>
      <c r="B79" s="34" t="s">
        <v>142</v>
      </c>
      <c r="C79" s="34" t="s">
        <v>150</v>
      </c>
      <c r="D79" s="34">
        <v>212320000</v>
      </c>
      <c r="E79" s="34" t="s">
        <v>1359</v>
      </c>
      <c r="F79" s="34" t="s">
        <v>1360</v>
      </c>
      <c r="G79" s="34" t="s">
        <v>1361</v>
      </c>
      <c r="H79" s="36">
        <v>200000000</v>
      </c>
      <c r="I79" s="39">
        <v>199783045</v>
      </c>
      <c r="J79" s="39">
        <v>115299381</v>
      </c>
      <c r="K79" s="36">
        <v>0</v>
      </c>
      <c r="L79" s="39"/>
      <c r="M79" s="39"/>
      <c r="N79" s="36">
        <f t="shared" si="2"/>
        <v>200000000</v>
      </c>
      <c r="O79" s="36">
        <f t="shared" si="2"/>
        <v>199783045</v>
      </c>
      <c r="P79" s="36">
        <f t="shared" si="2"/>
        <v>115299381</v>
      </c>
      <c r="Q79" s="39">
        <v>115299251</v>
      </c>
      <c r="R79" s="39"/>
      <c r="S79" s="36">
        <f t="shared" si="3"/>
        <v>115299251</v>
      </c>
      <c r="T79" s="37">
        <v>0</v>
      </c>
      <c r="U79" s="37">
        <v>0</v>
      </c>
      <c r="V79" s="37">
        <v>0</v>
      </c>
      <c r="W79" s="10"/>
      <c r="X79" s="10"/>
      <c r="Y79" s="10"/>
      <c r="Z79" s="10"/>
      <c r="AA79" s="34">
        <v>0</v>
      </c>
      <c r="AB79" s="10"/>
      <c r="AC79" s="10"/>
      <c r="AD79" s="10"/>
      <c r="AE79" s="10">
        <v>0</v>
      </c>
      <c r="AF79" s="10">
        <v>0</v>
      </c>
      <c r="AG79" s="10">
        <v>0</v>
      </c>
      <c r="AH79" s="10">
        <v>0</v>
      </c>
      <c r="AI79" s="10">
        <v>0</v>
      </c>
      <c r="AJ79" s="10">
        <v>0</v>
      </c>
      <c r="AK79" s="10">
        <v>0</v>
      </c>
      <c r="AL79" s="10">
        <v>0</v>
      </c>
      <c r="AM79" s="10">
        <v>0</v>
      </c>
      <c r="AN79" s="10">
        <v>0</v>
      </c>
      <c r="AO79" s="10">
        <v>0</v>
      </c>
      <c r="AP79" s="10">
        <v>0</v>
      </c>
    </row>
    <row r="80" spans="1:42" ht="96" customHeight="1" x14ac:dyDescent="0.25">
      <c r="A80" s="34">
        <v>0</v>
      </c>
      <c r="B80" s="34">
        <v>0</v>
      </c>
      <c r="C80" s="34">
        <v>0</v>
      </c>
      <c r="D80" s="34">
        <v>0</v>
      </c>
      <c r="E80" s="243">
        <v>0</v>
      </c>
      <c r="F80" s="34">
        <v>0</v>
      </c>
      <c r="G80" s="34">
        <v>0</v>
      </c>
      <c r="H80" s="36">
        <v>0</v>
      </c>
      <c r="I80" s="39"/>
      <c r="J80" s="39"/>
      <c r="K80" s="36">
        <v>0</v>
      </c>
      <c r="L80" s="39"/>
      <c r="M80" s="39"/>
      <c r="N80" s="36">
        <f t="shared" si="2"/>
        <v>0</v>
      </c>
      <c r="O80" s="36">
        <f t="shared" si="2"/>
        <v>0</v>
      </c>
      <c r="P80" s="36">
        <f t="shared" si="2"/>
        <v>0</v>
      </c>
      <c r="Q80" s="39"/>
      <c r="R80" s="39"/>
      <c r="S80" s="36">
        <f t="shared" si="3"/>
        <v>0</v>
      </c>
      <c r="T80" s="37" t="s">
        <v>1532</v>
      </c>
      <c r="U80" s="37" t="s">
        <v>316</v>
      </c>
      <c r="V80" s="37">
        <v>1</v>
      </c>
      <c r="W80" s="10">
        <v>1</v>
      </c>
      <c r="X80" s="10">
        <v>1</v>
      </c>
      <c r="Y80" s="10" t="s">
        <v>1533</v>
      </c>
      <c r="Z80" s="10">
        <v>1</v>
      </c>
      <c r="AA80" s="34">
        <v>180</v>
      </c>
      <c r="AB80" s="10">
        <v>120</v>
      </c>
      <c r="AC80" s="10">
        <v>270</v>
      </c>
      <c r="AD80" s="10" t="s">
        <v>1534</v>
      </c>
      <c r="AE80" s="10">
        <v>0</v>
      </c>
      <c r="AF80" s="10">
        <v>0</v>
      </c>
      <c r="AG80" s="10" t="s">
        <v>102</v>
      </c>
      <c r="AH80" s="10" t="s">
        <v>102</v>
      </c>
      <c r="AI80" s="10" t="s">
        <v>102</v>
      </c>
      <c r="AJ80" s="10" t="s">
        <v>102</v>
      </c>
      <c r="AK80" s="10" t="s">
        <v>102</v>
      </c>
      <c r="AL80" s="10" t="s">
        <v>102</v>
      </c>
      <c r="AM80" s="10">
        <v>0</v>
      </c>
      <c r="AN80" s="10">
        <v>0</v>
      </c>
      <c r="AO80" s="10">
        <v>0</v>
      </c>
      <c r="AP80" s="10">
        <v>0</v>
      </c>
    </row>
    <row r="81" spans="1:42" ht="184.5" customHeight="1" x14ac:dyDescent="0.25">
      <c r="A81" s="34">
        <v>0</v>
      </c>
      <c r="B81" s="34">
        <v>0</v>
      </c>
      <c r="C81" s="34">
        <v>0</v>
      </c>
      <c r="D81" s="34">
        <v>0</v>
      </c>
      <c r="E81" s="243">
        <v>0</v>
      </c>
      <c r="F81" s="34">
        <v>0</v>
      </c>
      <c r="G81" s="34">
        <v>0</v>
      </c>
      <c r="H81" s="36">
        <v>0</v>
      </c>
      <c r="I81" s="39"/>
      <c r="J81" s="39"/>
      <c r="K81" s="36">
        <v>0</v>
      </c>
      <c r="L81" s="39"/>
      <c r="M81" s="39"/>
      <c r="N81" s="36">
        <f t="shared" si="2"/>
        <v>0</v>
      </c>
      <c r="O81" s="36">
        <f t="shared" si="2"/>
        <v>0</v>
      </c>
      <c r="P81" s="36">
        <f t="shared" si="2"/>
        <v>0</v>
      </c>
      <c r="Q81" s="39"/>
      <c r="R81" s="39"/>
      <c r="S81" s="36">
        <f t="shared" si="3"/>
        <v>0</v>
      </c>
      <c r="T81" s="37" t="s">
        <v>1535</v>
      </c>
      <c r="U81" s="37" t="s">
        <v>316</v>
      </c>
      <c r="V81" s="37">
        <v>1</v>
      </c>
      <c r="W81" s="10">
        <v>1</v>
      </c>
      <c r="X81" s="10">
        <v>1</v>
      </c>
      <c r="Y81" s="10">
        <v>1</v>
      </c>
      <c r="Z81" s="10">
        <v>1</v>
      </c>
      <c r="AA81" s="34">
        <v>210</v>
      </c>
      <c r="AB81" s="10">
        <v>180</v>
      </c>
      <c r="AC81" s="10">
        <v>240</v>
      </c>
      <c r="AD81" s="10" t="s">
        <v>1536</v>
      </c>
      <c r="AE81" s="10">
        <v>0</v>
      </c>
      <c r="AF81" s="10" t="s">
        <v>102</v>
      </c>
      <c r="AG81" s="10" t="s">
        <v>102</v>
      </c>
      <c r="AH81" s="10" t="s">
        <v>102</v>
      </c>
      <c r="AI81" s="10" t="s">
        <v>102</v>
      </c>
      <c r="AJ81" s="10" t="s">
        <v>102</v>
      </c>
      <c r="AK81" s="10" t="s">
        <v>102</v>
      </c>
      <c r="AL81" s="10" t="s">
        <v>102</v>
      </c>
      <c r="AM81" s="10">
        <v>0</v>
      </c>
      <c r="AN81" s="10">
        <v>0</v>
      </c>
      <c r="AO81" s="10">
        <v>0</v>
      </c>
      <c r="AP81" s="10">
        <v>0</v>
      </c>
    </row>
    <row r="82" spans="1:42" ht="149.25" customHeight="1" x14ac:dyDescent="0.25">
      <c r="A82" s="34">
        <v>0</v>
      </c>
      <c r="B82" s="34">
        <v>0</v>
      </c>
      <c r="C82" s="34">
        <v>0</v>
      </c>
      <c r="D82" s="34">
        <v>0</v>
      </c>
      <c r="E82" s="243">
        <v>0</v>
      </c>
      <c r="F82" s="34">
        <v>0</v>
      </c>
      <c r="G82" s="34">
        <v>0</v>
      </c>
      <c r="H82" s="36">
        <v>0</v>
      </c>
      <c r="I82" s="39"/>
      <c r="J82" s="39"/>
      <c r="K82" s="36">
        <v>0</v>
      </c>
      <c r="L82" s="39"/>
      <c r="M82" s="39"/>
      <c r="N82" s="36">
        <f t="shared" si="2"/>
        <v>0</v>
      </c>
      <c r="O82" s="36">
        <f t="shared" si="2"/>
        <v>0</v>
      </c>
      <c r="P82" s="36">
        <f t="shared" si="2"/>
        <v>0</v>
      </c>
      <c r="Q82" s="39"/>
      <c r="R82" s="39"/>
      <c r="S82" s="36">
        <f t="shared" si="3"/>
        <v>0</v>
      </c>
      <c r="T82" s="37" t="s">
        <v>1537</v>
      </c>
      <c r="U82" s="37" t="s">
        <v>316</v>
      </c>
      <c r="V82" s="37">
        <v>1</v>
      </c>
      <c r="W82" s="10">
        <v>1</v>
      </c>
      <c r="X82" s="10" t="s">
        <v>1538</v>
      </c>
      <c r="Y82" s="10" t="s">
        <v>1538</v>
      </c>
      <c r="Z82" s="10">
        <v>1</v>
      </c>
      <c r="AA82" s="34">
        <v>30</v>
      </c>
      <c r="AB82" s="10">
        <v>180</v>
      </c>
      <c r="AC82" s="10">
        <v>330</v>
      </c>
      <c r="AD82" s="10" t="s">
        <v>1539</v>
      </c>
      <c r="AE82" s="10" t="s">
        <v>102</v>
      </c>
      <c r="AF82" s="10">
        <v>0</v>
      </c>
      <c r="AG82" s="10">
        <v>0</v>
      </c>
      <c r="AH82" s="10">
        <v>0</v>
      </c>
      <c r="AI82" s="10">
        <v>0</v>
      </c>
      <c r="AJ82" s="10">
        <v>0</v>
      </c>
      <c r="AK82" s="10">
        <v>0</v>
      </c>
      <c r="AL82" s="10">
        <v>0</v>
      </c>
      <c r="AM82" s="10">
        <v>0</v>
      </c>
      <c r="AN82" s="10">
        <v>0</v>
      </c>
      <c r="AO82" s="10">
        <v>0</v>
      </c>
      <c r="AP82" s="10">
        <v>0</v>
      </c>
    </row>
    <row r="83" spans="1:42" ht="62.25" customHeight="1" x14ac:dyDescent="0.25">
      <c r="A83" s="34">
        <v>0</v>
      </c>
      <c r="B83" s="34">
        <v>0</v>
      </c>
      <c r="C83" s="34">
        <v>0</v>
      </c>
      <c r="D83" s="34">
        <v>0</v>
      </c>
      <c r="E83" s="243">
        <v>0</v>
      </c>
      <c r="F83" s="34">
        <v>0</v>
      </c>
      <c r="G83" s="34">
        <v>0</v>
      </c>
      <c r="H83" s="36">
        <v>0</v>
      </c>
      <c r="I83" s="39"/>
      <c r="J83" s="39"/>
      <c r="K83" s="36">
        <v>0</v>
      </c>
      <c r="L83" s="39"/>
      <c r="M83" s="39"/>
      <c r="N83" s="36">
        <f t="shared" si="2"/>
        <v>0</v>
      </c>
      <c r="O83" s="36">
        <f t="shared" si="2"/>
        <v>0</v>
      </c>
      <c r="P83" s="36">
        <f t="shared" si="2"/>
        <v>0</v>
      </c>
      <c r="Q83" s="39"/>
      <c r="R83" s="39"/>
      <c r="S83" s="36">
        <f t="shared" si="3"/>
        <v>0</v>
      </c>
      <c r="T83" s="37" t="s">
        <v>1540</v>
      </c>
      <c r="U83" s="37" t="s">
        <v>316</v>
      </c>
      <c r="V83" s="37">
        <v>1</v>
      </c>
      <c r="W83" s="10">
        <v>1</v>
      </c>
      <c r="X83" s="10" t="s">
        <v>1407</v>
      </c>
      <c r="Y83" s="10">
        <v>1</v>
      </c>
      <c r="Z83" s="10">
        <v>1</v>
      </c>
      <c r="AA83" s="34">
        <v>30</v>
      </c>
      <c r="AB83" s="10">
        <v>120</v>
      </c>
      <c r="AC83" s="10">
        <v>120</v>
      </c>
      <c r="AD83" s="10" t="s">
        <v>1541</v>
      </c>
      <c r="AE83" s="10" t="s">
        <v>102</v>
      </c>
      <c r="AF83" s="10">
        <v>0</v>
      </c>
      <c r="AG83" s="10">
        <v>0</v>
      </c>
      <c r="AH83" s="10">
        <v>0</v>
      </c>
      <c r="AI83" s="10">
        <v>0</v>
      </c>
      <c r="AJ83" s="10">
        <v>0</v>
      </c>
      <c r="AK83" s="10">
        <v>0</v>
      </c>
      <c r="AL83" s="10">
        <v>0</v>
      </c>
      <c r="AM83" s="10">
        <v>0</v>
      </c>
      <c r="AN83" s="10">
        <v>0</v>
      </c>
      <c r="AO83" s="10">
        <v>0</v>
      </c>
      <c r="AP83" s="10">
        <v>0</v>
      </c>
    </row>
    <row r="84" spans="1:42" ht="48" customHeight="1" x14ac:dyDescent="0.25">
      <c r="A84" s="34">
        <v>0</v>
      </c>
      <c r="B84" s="34">
        <v>0</v>
      </c>
      <c r="C84" s="34">
        <v>0</v>
      </c>
      <c r="D84" s="34">
        <v>0</v>
      </c>
      <c r="E84" s="243">
        <v>0</v>
      </c>
      <c r="F84" s="34">
        <v>0</v>
      </c>
      <c r="G84" s="34">
        <v>0</v>
      </c>
      <c r="H84" s="36">
        <v>0</v>
      </c>
      <c r="I84" s="39"/>
      <c r="J84" s="39"/>
      <c r="K84" s="36">
        <v>0</v>
      </c>
      <c r="L84" s="39"/>
      <c r="M84" s="39"/>
      <c r="N84" s="36">
        <f t="shared" si="2"/>
        <v>0</v>
      </c>
      <c r="O84" s="36">
        <f t="shared" si="2"/>
        <v>0</v>
      </c>
      <c r="P84" s="36">
        <f t="shared" si="2"/>
        <v>0</v>
      </c>
      <c r="Q84" s="39"/>
      <c r="R84" s="39"/>
      <c r="S84" s="36">
        <f t="shared" si="3"/>
        <v>0</v>
      </c>
      <c r="T84" s="37" t="s">
        <v>1542</v>
      </c>
      <c r="U84" s="37" t="s">
        <v>316</v>
      </c>
      <c r="V84" s="37">
        <v>1</v>
      </c>
      <c r="W84" s="10">
        <v>1</v>
      </c>
      <c r="X84" s="10" t="s">
        <v>1407</v>
      </c>
      <c r="Y84" s="10">
        <v>1</v>
      </c>
      <c r="Z84" s="10">
        <v>1</v>
      </c>
      <c r="AA84" s="34">
        <v>120</v>
      </c>
      <c r="AB84" s="10">
        <v>120</v>
      </c>
      <c r="AC84" s="10">
        <v>120</v>
      </c>
      <c r="AD84" s="10" t="s">
        <v>1543</v>
      </c>
      <c r="AE84" s="10">
        <v>0</v>
      </c>
      <c r="AF84" s="10" t="s">
        <v>102</v>
      </c>
      <c r="AG84" s="10" t="s">
        <v>102</v>
      </c>
      <c r="AH84" s="10" t="s">
        <v>102</v>
      </c>
      <c r="AI84" s="10" t="s">
        <v>102</v>
      </c>
      <c r="AJ84" s="10">
        <v>0</v>
      </c>
      <c r="AK84" s="10">
        <v>0</v>
      </c>
      <c r="AL84" s="10">
        <v>0</v>
      </c>
      <c r="AM84" s="10">
        <v>0</v>
      </c>
      <c r="AN84" s="10">
        <v>0</v>
      </c>
      <c r="AO84" s="10">
        <v>0</v>
      </c>
      <c r="AP84" s="10">
        <v>0</v>
      </c>
    </row>
    <row r="85" spans="1:42" ht="60" x14ac:dyDescent="0.25">
      <c r="A85" s="34">
        <v>0</v>
      </c>
      <c r="B85" s="34">
        <v>0</v>
      </c>
      <c r="C85" s="34">
        <v>0</v>
      </c>
      <c r="D85" s="34">
        <v>0</v>
      </c>
      <c r="E85" s="243">
        <v>0</v>
      </c>
      <c r="F85" s="34">
        <v>0</v>
      </c>
      <c r="G85" s="34">
        <v>0</v>
      </c>
      <c r="H85" s="36">
        <v>0</v>
      </c>
      <c r="I85" s="39"/>
      <c r="J85" s="39"/>
      <c r="K85" s="36">
        <v>0</v>
      </c>
      <c r="L85" s="39"/>
      <c r="M85" s="39"/>
      <c r="N85" s="36">
        <f t="shared" si="2"/>
        <v>0</v>
      </c>
      <c r="O85" s="36">
        <f t="shared" si="2"/>
        <v>0</v>
      </c>
      <c r="P85" s="36">
        <f t="shared" si="2"/>
        <v>0</v>
      </c>
      <c r="Q85" s="39"/>
      <c r="R85" s="39"/>
      <c r="S85" s="36">
        <f t="shared" si="3"/>
        <v>0</v>
      </c>
      <c r="T85" s="37" t="s">
        <v>1544</v>
      </c>
      <c r="U85" s="37" t="s">
        <v>316</v>
      </c>
      <c r="V85" s="37">
        <v>1</v>
      </c>
      <c r="W85" s="10">
        <v>1</v>
      </c>
      <c r="X85" s="10" t="s">
        <v>1407</v>
      </c>
      <c r="Y85" s="10">
        <v>1</v>
      </c>
      <c r="Z85" s="10">
        <v>1</v>
      </c>
      <c r="AA85" s="34">
        <v>15</v>
      </c>
      <c r="AB85" s="10">
        <v>30</v>
      </c>
      <c r="AC85" s="10">
        <v>30</v>
      </c>
      <c r="AD85" s="10" t="s">
        <v>1545</v>
      </c>
      <c r="AE85" s="10">
        <v>0</v>
      </c>
      <c r="AF85" s="10">
        <v>0</v>
      </c>
      <c r="AG85" s="10">
        <v>0</v>
      </c>
      <c r="AH85" s="10">
        <v>0</v>
      </c>
      <c r="AI85" s="10" t="s">
        <v>102</v>
      </c>
      <c r="AJ85" s="10">
        <v>0</v>
      </c>
      <c r="AK85" s="10">
        <v>0</v>
      </c>
      <c r="AL85" s="10">
        <v>0</v>
      </c>
      <c r="AM85" s="10">
        <v>0</v>
      </c>
      <c r="AN85" s="10">
        <v>0</v>
      </c>
      <c r="AO85" s="10">
        <v>0</v>
      </c>
      <c r="AP85" s="10">
        <v>0</v>
      </c>
    </row>
    <row r="86" spans="1:42" ht="119.25" customHeight="1" x14ac:dyDescent="0.25">
      <c r="A86" s="34">
        <v>0</v>
      </c>
      <c r="B86" s="34">
        <v>0</v>
      </c>
      <c r="C86" s="34">
        <v>0</v>
      </c>
      <c r="D86" s="34">
        <v>0</v>
      </c>
      <c r="E86" s="243">
        <v>0</v>
      </c>
      <c r="F86" s="34">
        <v>0</v>
      </c>
      <c r="G86" s="34">
        <v>0</v>
      </c>
      <c r="H86" s="36">
        <v>0</v>
      </c>
      <c r="I86" s="39"/>
      <c r="J86" s="39"/>
      <c r="K86" s="36">
        <v>0</v>
      </c>
      <c r="L86" s="39"/>
      <c r="M86" s="39"/>
      <c r="N86" s="36">
        <f t="shared" si="2"/>
        <v>0</v>
      </c>
      <c r="O86" s="36">
        <f t="shared" si="2"/>
        <v>0</v>
      </c>
      <c r="P86" s="36">
        <f t="shared" si="2"/>
        <v>0</v>
      </c>
      <c r="Q86" s="39"/>
      <c r="R86" s="39"/>
      <c r="S86" s="36">
        <f t="shared" si="3"/>
        <v>0</v>
      </c>
      <c r="T86" s="37" t="s">
        <v>1546</v>
      </c>
      <c r="U86" s="37" t="s">
        <v>316</v>
      </c>
      <c r="V86" s="37">
        <v>1</v>
      </c>
      <c r="W86" s="10">
        <v>1</v>
      </c>
      <c r="X86" s="10" t="s">
        <v>858</v>
      </c>
      <c r="Y86" s="10" t="s">
        <v>1547</v>
      </c>
      <c r="Z86" s="10">
        <v>1</v>
      </c>
      <c r="AA86" s="34">
        <v>90</v>
      </c>
      <c r="AB86" s="10">
        <v>60</v>
      </c>
      <c r="AC86" s="10">
        <v>60</v>
      </c>
      <c r="AD86" s="10" t="s">
        <v>1548</v>
      </c>
      <c r="AE86" s="10">
        <v>0</v>
      </c>
      <c r="AF86" s="10">
        <v>0</v>
      </c>
      <c r="AG86" s="10">
        <v>0</v>
      </c>
      <c r="AH86" s="10" t="s">
        <v>102</v>
      </c>
      <c r="AI86" s="10" t="s">
        <v>102</v>
      </c>
      <c r="AJ86" s="10" t="s">
        <v>102</v>
      </c>
      <c r="AK86" s="10">
        <v>0</v>
      </c>
      <c r="AL86" s="10">
        <v>0</v>
      </c>
      <c r="AM86" s="10">
        <v>0</v>
      </c>
      <c r="AN86" s="10">
        <v>0</v>
      </c>
      <c r="AO86" s="10">
        <v>0</v>
      </c>
      <c r="AP86" s="10">
        <v>0</v>
      </c>
    </row>
    <row r="87" spans="1:42" ht="108" x14ac:dyDescent="0.25">
      <c r="A87" s="34" t="s">
        <v>23</v>
      </c>
      <c r="B87" s="34" t="s">
        <v>142</v>
      </c>
      <c r="C87" s="34" t="s">
        <v>150</v>
      </c>
      <c r="D87" s="34">
        <v>212360000</v>
      </c>
      <c r="E87" s="34" t="s">
        <v>1364</v>
      </c>
      <c r="F87" s="34" t="s">
        <v>1365</v>
      </c>
      <c r="G87" s="34" t="s">
        <v>1366</v>
      </c>
      <c r="H87" s="36">
        <v>100000000</v>
      </c>
      <c r="I87" s="39">
        <v>86266782</v>
      </c>
      <c r="J87" s="39">
        <v>53710309</v>
      </c>
      <c r="K87" s="36">
        <v>0</v>
      </c>
      <c r="L87" s="39"/>
      <c r="M87" s="39"/>
      <c r="N87" s="36">
        <f t="shared" si="2"/>
        <v>100000000</v>
      </c>
      <c r="O87" s="36">
        <f t="shared" si="2"/>
        <v>86266782</v>
      </c>
      <c r="P87" s="36">
        <f t="shared" si="2"/>
        <v>53710309</v>
      </c>
      <c r="Q87" s="39">
        <v>53710309</v>
      </c>
      <c r="R87" s="39"/>
      <c r="S87" s="36">
        <f t="shared" si="3"/>
        <v>53710309</v>
      </c>
      <c r="T87" s="37">
        <v>0</v>
      </c>
      <c r="U87" s="37">
        <v>0</v>
      </c>
      <c r="V87" s="37">
        <v>0</v>
      </c>
      <c r="W87" s="10"/>
      <c r="X87" s="10"/>
      <c r="Y87" s="10"/>
      <c r="Z87" s="10"/>
      <c r="AA87" s="34">
        <v>0</v>
      </c>
      <c r="AB87" s="10"/>
      <c r="AC87" s="10"/>
      <c r="AD87" s="10"/>
      <c r="AE87" s="10">
        <v>0</v>
      </c>
      <c r="AF87" s="10">
        <v>0</v>
      </c>
      <c r="AG87" s="10">
        <v>0</v>
      </c>
      <c r="AH87" s="10">
        <v>0</v>
      </c>
      <c r="AI87" s="10">
        <v>0</v>
      </c>
      <c r="AJ87" s="10">
        <v>0</v>
      </c>
      <c r="AK87" s="10">
        <v>0</v>
      </c>
      <c r="AL87" s="10">
        <v>0</v>
      </c>
      <c r="AM87" s="10">
        <v>0</v>
      </c>
      <c r="AN87" s="10">
        <v>0</v>
      </c>
      <c r="AO87" s="10">
        <v>0</v>
      </c>
      <c r="AP87" s="10">
        <v>0</v>
      </c>
    </row>
    <row r="88" spans="1:42" ht="302.25" customHeight="1" x14ac:dyDescent="0.25">
      <c r="A88" s="34">
        <v>0</v>
      </c>
      <c r="B88" s="34">
        <v>0</v>
      </c>
      <c r="C88" s="34">
        <v>0</v>
      </c>
      <c r="D88" s="34">
        <v>0</v>
      </c>
      <c r="E88" s="41">
        <v>0</v>
      </c>
      <c r="F88" s="34">
        <v>0</v>
      </c>
      <c r="G88" s="34">
        <v>0</v>
      </c>
      <c r="H88" s="36">
        <v>0</v>
      </c>
      <c r="I88" s="39"/>
      <c r="J88" s="39"/>
      <c r="K88" s="36">
        <v>0</v>
      </c>
      <c r="L88" s="39"/>
      <c r="M88" s="39"/>
      <c r="N88" s="36">
        <f t="shared" si="2"/>
        <v>0</v>
      </c>
      <c r="O88" s="36">
        <f t="shared" si="2"/>
        <v>0</v>
      </c>
      <c r="P88" s="36">
        <f t="shared" si="2"/>
        <v>0</v>
      </c>
      <c r="Q88" s="39"/>
      <c r="R88" s="39"/>
      <c r="S88" s="36">
        <f t="shared" si="3"/>
        <v>0</v>
      </c>
      <c r="T88" s="37" t="s">
        <v>1549</v>
      </c>
      <c r="U88" s="37" t="s">
        <v>316</v>
      </c>
      <c r="V88" s="37">
        <v>1</v>
      </c>
      <c r="W88" s="10">
        <v>1</v>
      </c>
      <c r="X88" s="10" t="s">
        <v>1407</v>
      </c>
      <c r="Y88" s="10">
        <v>1</v>
      </c>
      <c r="Z88" s="10">
        <v>1</v>
      </c>
      <c r="AA88" s="34">
        <v>180</v>
      </c>
      <c r="AB88" s="10">
        <v>150</v>
      </c>
      <c r="AC88" s="10">
        <v>150</v>
      </c>
      <c r="AD88" s="10" t="s">
        <v>1550</v>
      </c>
      <c r="AE88" s="10">
        <v>0</v>
      </c>
      <c r="AF88" s="10" t="s">
        <v>102</v>
      </c>
      <c r="AG88" s="10" t="s">
        <v>102</v>
      </c>
      <c r="AH88" s="10" t="s">
        <v>102</v>
      </c>
      <c r="AI88" s="10" t="s">
        <v>102</v>
      </c>
      <c r="AJ88" s="10" t="s">
        <v>102</v>
      </c>
      <c r="AK88" s="10" t="s">
        <v>102</v>
      </c>
      <c r="AL88" s="10">
        <v>0</v>
      </c>
      <c r="AM88" s="10">
        <v>0</v>
      </c>
      <c r="AN88" s="10">
        <v>0</v>
      </c>
      <c r="AO88" s="10">
        <v>0</v>
      </c>
      <c r="AP88" s="10">
        <v>0</v>
      </c>
    </row>
    <row r="89" spans="1:42" ht="62.25" customHeight="1" x14ac:dyDescent="0.25">
      <c r="A89" s="34">
        <v>0</v>
      </c>
      <c r="B89" s="34">
        <v>0</v>
      </c>
      <c r="C89" s="34">
        <v>0</v>
      </c>
      <c r="D89" s="34">
        <v>0</v>
      </c>
      <c r="E89" s="41">
        <v>0</v>
      </c>
      <c r="F89" s="34">
        <v>0</v>
      </c>
      <c r="G89" s="34">
        <v>0</v>
      </c>
      <c r="H89" s="36">
        <v>0</v>
      </c>
      <c r="I89" s="39"/>
      <c r="J89" s="39"/>
      <c r="K89" s="36">
        <v>0</v>
      </c>
      <c r="L89" s="39"/>
      <c r="M89" s="39"/>
      <c r="N89" s="36">
        <f t="shared" si="2"/>
        <v>0</v>
      </c>
      <c r="O89" s="36">
        <f t="shared" si="2"/>
        <v>0</v>
      </c>
      <c r="P89" s="36">
        <f t="shared" si="2"/>
        <v>0</v>
      </c>
      <c r="Q89" s="39"/>
      <c r="R89" s="39"/>
      <c r="S89" s="36">
        <f t="shared" si="3"/>
        <v>0</v>
      </c>
      <c r="T89" s="37" t="s">
        <v>1551</v>
      </c>
      <c r="U89" s="37" t="s">
        <v>316</v>
      </c>
      <c r="V89" s="37">
        <v>1</v>
      </c>
      <c r="W89" s="10">
        <v>1</v>
      </c>
      <c r="X89" s="10">
        <v>1</v>
      </c>
      <c r="Y89" s="126" t="s">
        <v>1538</v>
      </c>
      <c r="Z89" s="10">
        <v>1</v>
      </c>
      <c r="AA89" s="34">
        <v>180</v>
      </c>
      <c r="AB89" s="10">
        <v>180</v>
      </c>
      <c r="AC89" s="10">
        <v>180</v>
      </c>
      <c r="AD89" s="10" t="s">
        <v>1552</v>
      </c>
      <c r="AE89" s="10" t="s">
        <v>102</v>
      </c>
      <c r="AF89" s="10" t="s">
        <v>102</v>
      </c>
      <c r="AG89" s="10" t="s">
        <v>102</v>
      </c>
      <c r="AH89" s="10" t="s">
        <v>102</v>
      </c>
      <c r="AI89" s="10" t="s">
        <v>102</v>
      </c>
      <c r="AJ89" s="10" t="s">
        <v>102</v>
      </c>
      <c r="AK89" s="10">
        <v>0</v>
      </c>
      <c r="AL89" s="10">
        <v>0</v>
      </c>
      <c r="AM89" s="10">
        <v>0</v>
      </c>
      <c r="AN89" s="10">
        <v>0</v>
      </c>
      <c r="AO89" s="10">
        <v>0</v>
      </c>
      <c r="AP89" s="10">
        <v>0</v>
      </c>
    </row>
    <row r="90" spans="1:42" ht="156" x14ac:dyDescent="0.25">
      <c r="A90" s="34">
        <v>1</v>
      </c>
      <c r="B90" s="34" t="s">
        <v>1369</v>
      </c>
      <c r="C90" s="34" t="s">
        <v>1370</v>
      </c>
      <c r="D90" s="34">
        <v>221140008</v>
      </c>
      <c r="E90" s="34" t="s">
        <v>1372</v>
      </c>
      <c r="F90" s="34">
        <v>22200001</v>
      </c>
      <c r="G90" s="34" t="s">
        <v>1373</v>
      </c>
      <c r="H90" s="36">
        <v>1000000000</v>
      </c>
      <c r="I90" s="39">
        <v>1410510910</v>
      </c>
      <c r="J90" s="39">
        <v>1704703392</v>
      </c>
      <c r="K90" s="36">
        <v>0</v>
      </c>
      <c r="L90" s="39"/>
      <c r="M90" s="39"/>
      <c r="N90" s="36">
        <f t="shared" si="2"/>
        <v>1000000000</v>
      </c>
      <c r="O90" s="36">
        <f t="shared" si="2"/>
        <v>1410510910</v>
      </c>
      <c r="P90" s="36">
        <f t="shared" si="2"/>
        <v>1704703392</v>
      </c>
      <c r="Q90" s="39">
        <v>1704102992</v>
      </c>
      <c r="R90" s="39"/>
      <c r="S90" s="36">
        <f t="shared" si="3"/>
        <v>1704102992</v>
      </c>
      <c r="T90" s="37">
        <v>0</v>
      </c>
      <c r="U90" s="37">
        <v>0</v>
      </c>
      <c r="V90" s="37">
        <v>0</v>
      </c>
      <c r="W90" s="10"/>
      <c r="X90" s="10"/>
      <c r="Y90" s="10"/>
      <c r="Z90" s="10"/>
      <c r="AA90" s="34">
        <v>0</v>
      </c>
      <c r="AB90" s="10"/>
      <c r="AC90" s="10"/>
      <c r="AD90" s="10" t="s">
        <v>858</v>
      </c>
      <c r="AE90" s="10">
        <v>0</v>
      </c>
      <c r="AF90" s="10">
        <v>0</v>
      </c>
      <c r="AG90" s="10">
        <v>0</v>
      </c>
      <c r="AH90" s="10">
        <v>0</v>
      </c>
      <c r="AI90" s="10">
        <v>0</v>
      </c>
      <c r="AJ90" s="10">
        <v>0</v>
      </c>
      <c r="AK90" s="10">
        <v>0</v>
      </c>
      <c r="AL90" s="10">
        <v>0</v>
      </c>
      <c r="AM90" s="10">
        <v>0</v>
      </c>
      <c r="AN90" s="10">
        <v>0</v>
      </c>
      <c r="AO90" s="10">
        <v>0</v>
      </c>
      <c r="AP90" s="10">
        <v>0</v>
      </c>
    </row>
    <row r="91" spans="1:42" ht="108" x14ac:dyDescent="0.25">
      <c r="A91" s="34">
        <v>0</v>
      </c>
      <c r="B91" s="34">
        <v>0</v>
      </c>
      <c r="C91" s="34">
        <v>0</v>
      </c>
      <c r="D91" s="34">
        <v>0</v>
      </c>
      <c r="E91" s="41">
        <v>0</v>
      </c>
      <c r="F91" s="34">
        <v>0</v>
      </c>
      <c r="G91" s="34">
        <v>0</v>
      </c>
      <c r="H91" s="36">
        <v>0</v>
      </c>
      <c r="I91" s="39"/>
      <c r="J91" s="39"/>
      <c r="K91" s="36">
        <v>0</v>
      </c>
      <c r="L91" s="39"/>
      <c r="M91" s="39"/>
      <c r="N91" s="36">
        <f t="shared" si="2"/>
        <v>0</v>
      </c>
      <c r="O91" s="36">
        <f t="shared" si="2"/>
        <v>0</v>
      </c>
      <c r="P91" s="36">
        <f t="shared" si="2"/>
        <v>0</v>
      </c>
      <c r="Q91" s="39"/>
      <c r="R91" s="39"/>
      <c r="S91" s="36">
        <f t="shared" si="3"/>
        <v>0</v>
      </c>
      <c r="T91" s="37" t="s">
        <v>1553</v>
      </c>
      <c r="U91" s="37" t="s">
        <v>316</v>
      </c>
      <c r="V91" s="37">
        <v>150</v>
      </c>
      <c r="W91" s="10">
        <v>95</v>
      </c>
      <c r="X91" s="10">
        <v>91</v>
      </c>
      <c r="Y91" s="10">
        <v>49</v>
      </c>
      <c r="Z91" s="10">
        <v>91</v>
      </c>
      <c r="AA91" s="34">
        <v>330</v>
      </c>
      <c r="AB91" s="10">
        <v>180</v>
      </c>
      <c r="AC91" s="10">
        <v>300</v>
      </c>
      <c r="AD91" s="10" t="s">
        <v>1554</v>
      </c>
      <c r="AE91" s="10" t="s">
        <v>102</v>
      </c>
      <c r="AF91" s="10" t="s">
        <v>102</v>
      </c>
      <c r="AG91" s="10" t="s">
        <v>102</v>
      </c>
      <c r="AH91" s="10" t="s">
        <v>102</v>
      </c>
      <c r="AI91" s="10" t="s">
        <v>102</v>
      </c>
      <c r="AJ91" s="10" t="s">
        <v>102</v>
      </c>
      <c r="AK91" s="10" t="s">
        <v>102</v>
      </c>
      <c r="AL91" s="10" t="s">
        <v>102</v>
      </c>
      <c r="AM91" s="10" t="s">
        <v>102</v>
      </c>
      <c r="AN91" s="10" t="s">
        <v>102</v>
      </c>
      <c r="AO91" s="10" t="s">
        <v>102</v>
      </c>
      <c r="AP91" s="10">
        <v>0</v>
      </c>
    </row>
    <row r="92" spans="1:42" ht="84" x14ac:dyDescent="0.25">
      <c r="A92" s="34">
        <v>0</v>
      </c>
      <c r="B92" s="34">
        <v>0</v>
      </c>
      <c r="C92" s="34">
        <v>0</v>
      </c>
      <c r="D92" s="34">
        <v>0</v>
      </c>
      <c r="E92" s="41">
        <v>0</v>
      </c>
      <c r="F92" s="34">
        <v>0</v>
      </c>
      <c r="G92" s="34">
        <v>0</v>
      </c>
      <c r="H92" s="36">
        <v>0</v>
      </c>
      <c r="I92" s="39"/>
      <c r="J92" s="39"/>
      <c r="K92" s="36">
        <v>0</v>
      </c>
      <c r="L92" s="39"/>
      <c r="M92" s="39"/>
      <c r="N92" s="36">
        <f t="shared" si="2"/>
        <v>0</v>
      </c>
      <c r="O92" s="36">
        <f t="shared" si="2"/>
        <v>0</v>
      </c>
      <c r="P92" s="36">
        <f t="shared" si="2"/>
        <v>0</v>
      </c>
      <c r="Q92" s="39"/>
      <c r="R92" s="39"/>
      <c r="S92" s="36">
        <f t="shared" si="3"/>
        <v>0</v>
      </c>
      <c r="T92" s="37" t="s">
        <v>1555</v>
      </c>
      <c r="U92" s="37" t="s">
        <v>316</v>
      </c>
      <c r="V92" s="37">
        <v>200</v>
      </c>
      <c r="W92" s="10">
        <v>205</v>
      </c>
      <c r="X92" s="10">
        <v>204</v>
      </c>
      <c r="Y92" s="10">
        <v>103</v>
      </c>
      <c r="Z92" s="10">
        <v>204</v>
      </c>
      <c r="AA92" s="34">
        <v>300</v>
      </c>
      <c r="AB92" s="10">
        <v>150</v>
      </c>
      <c r="AC92" s="10">
        <v>300</v>
      </c>
      <c r="AD92" s="10"/>
      <c r="AE92" s="10">
        <v>0</v>
      </c>
      <c r="AF92" s="10" t="s">
        <v>102</v>
      </c>
      <c r="AG92" s="10" t="s">
        <v>102</v>
      </c>
      <c r="AH92" s="10" t="s">
        <v>102</v>
      </c>
      <c r="AI92" s="10" t="s">
        <v>102</v>
      </c>
      <c r="AJ92" s="10" t="s">
        <v>102</v>
      </c>
      <c r="AK92" s="10">
        <v>0</v>
      </c>
      <c r="AL92" s="10" t="s">
        <v>102</v>
      </c>
      <c r="AM92" s="10" t="s">
        <v>102</v>
      </c>
      <c r="AN92" s="10" t="s">
        <v>102</v>
      </c>
      <c r="AO92" s="10" t="s">
        <v>102</v>
      </c>
      <c r="AP92" s="10" t="s">
        <v>102</v>
      </c>
    </row>
    <row r="93" spans="1:42" ht="36" x14ac:dyDescent="0.25">
      <c r="A93" s="34">
        <v>0</v>
      </c>
      <c r="B93" s="34">
        <v>0</v>
      </c>
      <c r="C93" s="34">
        <v>0</v>
      </c>
      <c r="D93" s="34">
        <v>0</v>
      </c>
      <c r="E93" s="41">
        <v>0</v>
      </c>
      <c r="F93" s="34">
        <v>0</v>
      </c>
      <c r="G93" s="34">
        <v>0</v>
      </c>
      <c r="H93" s="36">
        <v>0</v>
      </c>
      <c r="I93" s="39"/>
      <c r="J93" s="39"/>
      <c r="K93" s="36">
        <v>0</v>
      </c>
      <c r="L93" s="39"/>
      <c r="M93" s="39"/>
      <c r="N93" s="36">
        <f t="shared" si="2"/>
        <v>0</v>
      </c>
      <c r="O93" s="36">
        <f t="shared" si="2"/>
        <v>0</v>
      </c>
      <c r="P93" s="36">
        <f t="shared" si="2"/>
        <v>0</v>
      </c>
      <c r="Q93" s="39"/>
      <c r="R93" s="39"/>
      <c r="S93" s="36">
        <f t="shared" si="3"/>
        <v>0</v>
      </c>
      <c r="T93" s="37" t="s">
        <v>1556</v>
      </c>
      <c r="U93" s="37" t="s">
        <v>316</v>
      </c>
      <c r="V93" s="37">
        <v>1</v>
      </c>
      <c r="W93" s="10">
        <v>1</v>
      </c>
      <c r="X93" s="10" t="s">
        <v>1557</v>
      </c>
      <c r="Y93" s="10" t="s">
        <v>1397</v>
      </c>
      <c r="Z93" s="10">
        <v>1</v>
      </c>
      <c r="AA93" s="34">
        <v>180</v>
      </c>
      <c r="AB93" s="10">
        <v>180</v>
      </c>
      <c r="AC93" s="10">
        <v>180</v>
      </c>
      <c r="AD93" s="10" t="s">
        <v>1558</v>
      </c>
      <c r="AE93" s="10" t="s">
        <v>102</v>
      </c>
      <c r="AF93" s="10" t="s">
        <v>102</v>
      </c>
      <c r="AG93" s="10" t="s">
        <v>102</v>
      </c>
      <c r="AH93" s="10" t="s">
        <v>102</v>
      </c>
      <c r="AI93" s="10" t="s">
        <v>102</v>
      </c>
      <c r="AJ93" s="10" t="s">
        <v>102</v>
      </c>
      <c r="AK93" s="10">
        <v>0</v>
      </c>
      <c r="AL93" s="10">
        <v>0</v>
      </c>
      <c r="AM93" s="10">
        <v>0</v>
      </c>
      <c r="AN93" s="10">
        <v>0</v>
      </c>
      <c r="AO93" s="10">
        <v>0</v>
      </c>
      <c r="AP93" s="10">
        <v>0</v>
      </c>
    </row>
    <row r="94" spans="1:42" ht="113.25" customHeight="1" x14ac:dyDescent="0.25">
      <c r="A94" s="34" t="s">
        <v>23</v>
      </c>
      <c r="B94" s="34" t="s">
        <v>142</v>
      </c>
      <c r="C94" s="34" t="s">
        <v>1559</v>
      </c>
      <c r="D94" s="34">
        <v>0</v>
      </c>
      <c r="E94" s="34" t="s">
        <v>1378</v>
      </c>
      <c r="F94" s="34">
        <v>0</v>
      </c>
      <c r="G94" s="34" t="s">
        <v>1379</v>
      </c>
      <c r="H94" s="36">
        <v>0</v>
      </c>
      <c r="I94" s="39"/>
      <c r="J94" s="39"/>
      <c r="K94" s="36">
        <v>0</v>
      </c>
      <c r="L94" s="39"/>
      <c r="M94" s="39"/>
      <c r="N94" s="36">
        <f t="shared" si="2"/>
        <v>0</v>
      </c>
      <c r="O94" s="36">
        <f t="shared" si="2"/>
        <v>0</v>
      </c>
      <c r="P94" s="36">
        <f t="shared" si="2"/>
        <v>0</v>
      </c>
      <c r="Q94" s="39"/>
      <c r="R94" s="39"/>
      <c r="S94" s="36">
        <f t="shared" si="3"/>
        <v>0</v>
      </c>
      <c r="T94" s="37" t="s">
        <v>1560</v>
      </c>
      <c r="U94" s="37" t="s">
        <v>316</v>
      </c>
      <c r="V94" s="37">
        <v>5</v>
      </c>
      <c r="W94" s="10">
        <v>3</v>
      </c>
      <c r="X94" s="10" t="s">
        <v>858</v>
      </c>
      <c r="Y94" s="10">
        <v>1</v>
      </c>
      <c r="Z94" s="10">
        <v>1</v>
      </c>
      <c r="AA94" s="34" t="s">
        <v>858</v>
      </c>
      <c r="AB94" s="10">
        <v>120</v>
      </c>
      <c r="AC94" s="10">
        <v>120</v>
      </c>
      <c r="AD94" s="10" t="s">
        <v>1561</v>
      </c>
      <c r="AE94" s="10">
        <v>0</v>
      </c>
      <c r="AF94" s="10" t="s">
        <v>218</v>
      </c>
      <c r="AG94" s="10" t="s">
        <v>218</v>
      </c>
      <c r="AH94" s="10" t="s">
        <v>218</v>
      </c>
      <c r="AI94" s="10" t="s">
        <v>218</v>
      </c>
      <c r="AJ94" s="10" t="s">
        <v>218</v>
      </c>
      <c r="AK94" s="10" t="s">
        <v>218</v>
      </c>
      <c r="AL94" s="10" t="s">
        <v>218</v>
      </c>
      <c r="AM94" s="10" t="s">
        <v>218</v>
      </c>
      <c r="AN94" s="10" t="s">
        <v>218</v>
      </c>
      <c r="AO94" s="10" t="s">
        <v>218</v>
      </c>
      <c r="AP94" s="10">
        <v>0</v>
      </c>
    </row>
    <row r="95" spans="1:42" ht="30" x14ac:dyDescent="0.25">
      <c r="A95" s="34">
        <v>0</v>
      </c>
      <c r="B95" s="34">
        <v>0</v>
      </c>
      <c r="C95" s="34">
        <v>0</v>
      </c>
      <c r="D95" s="34">
        <v>0</v>
      </c>
      <c r="E95" s="41">
        <v>0</v>
      </c>
      <c r="F95" s="34">
        <v>0</v>
      </c>
      <c r="G95" s="34">
        <v>0</v>
      </c>
      <c r="H95" s="36">
        <v>0</v>
      </c>
      <c r="I95" s="39"/>
      <c r="J95" s="39"/>
      <c r="K95" s="36">
        <v>0</v>
      </c>
      <c r="L95" s="39"/>
      <c r="M95" s="39"/>
      <c r="N95" s="36">
        <f t="shared" si="2"/>
        <v>0</v>
      </c>
      <c r="O95" s="36">
        <f t="shared" si="2"/>
        <v>0</v>
      </c>
      <c r="P95" s="36">
        <f t="shared" si="2"/>
        <v>0</v>
      </c>
      <c r="Q95" s="39"/>
      <c r="R95" s="39"/>
      <c r="S95" s="36">
        <f t="shared" si="3"/>
        <v>0</v>
      </c>
      <c r="T95" s="37" t="s">
        <v>1562</v>
      </c>
      <c r="U95" s="37" t="s">
        <v>316</v>
      </c>
      <c r="V95" s="37">
        <v>6</v>
      </c>
      <c r="W95" s="10" t="s">
        <v>1394</v>
      </c>
      <c r="X95" s="10"/>
      <c r="Y95" s="10" t="s">
        <v>1394</v>
      </c>
      <c r="Z95" s="10"/>
      <c r="AA95" s="34">
        <v>360</v>
      </c>
      <c r="AB95" s="10" t="s">
        <v>1394</v>
      </c>
      <c r="AC95" s="10"/>
      <c r="AD95" s="10" t="s">
        <v>1563</v>
      </c>
      <c r="AE95" s="10" t="s">
        <v>218</v>
      </c>
      <c r="AF95" s="10" t="s">
        <v>218</v>
      </c>
      <c r="AG95" s="10" t="s">
        <v>218</v>
      </c>
      <c r="AH95" s="10" t="s">
        <v>218</v>
      </c>
      <c r="AI95" s="10" t="s">
        <v>218</v>
      </c>
      <c r="AJ95" s="10" t="s">
        <v>218</v>
      </c>
      <c r="AK95" s="10" t="s">
        <v>218</v>
      </c>
      <c r="AL95" s="10" t="s">
        <v>218</v>
      </c>
      <c r="AM95" s="10" t="s">
        <v>218</v>
      </c>
      <c r="AN95" s="10" t="s">
        <v>218</v>
      </c>
      <c r="AO95" s="10" t="s">
        <v>218</v>
      </c>
      <c r="AP95" s="10" t="s">
        <v>218</v>
      </c>
    </row>
    <row r="96" spans="1:42" ht="30" x14ac:dyDescent="0.25">
      <c r="A96" s="34">
        <v>0</v>
      </c>
      <c r="B96" s="34">
        <v>0</v>
      </c>
      <c r="C96" s="34">
        <v>0</v>
      </c>
      <c r="D96" s="34">
        <v>0</v>
      </c>
      <c r="E96" s="41">
        <v>0</v>
      </c>
      <c r="F96" s="34">
        <v>0</v>
      </c>
      <c r="G96" s="34">
        <v>0</v>
      </c>
      <c r="H96" s="36">
        <v>0</v>
      </c>
      <c r="I96" s="39"/>
      <c r="J96" s="39"/>
      <c r="K96" s="36">
        <v>0</v>
      </c>
      <c r="L96" s="39"/>
      <c r="M96" s="39"/>
      <c r="N96" s="36">
        <f t="shared" si="2"/>
        <v>0</v>
      </c>
      <c r="O96" s="36">
        <f t="shared" si="2"/>
        <v>0</v>
      </c>
      <c r="P96" s="36">
        <f t="shared" si="2"/>
        <v>0</v>
      </c>
      <c r="Q96" s="39"/>
      <c r="R96" s="39"/>
      <c r="S96" s="36">
        <f t="shared" si="3"/>
        <v>0</v>
      </c>
      <c r="T96" s="37" t="s">
        <v>1564</v>
      </c>
      <c r="U96" s="37" t="s">
        <v>316</v>
      </c>
      <c r="V96" s="37">
        <v>1</v>
      </c>
      <c r="W96" s="10" t="s">
        <v>1394</v>
      </c>
      <c r="X96" s="10">
        <v>1</v>
      </c>
      <c r="Y96" s="10" t="s">
        <v>1394</v>
      </c>
      <c r="Z96" s="10">
        <v>1</v>
      </c>
      <c r="AA96" s="34">
        <v>330</v>
      </c>
      <c r="AB96" s="10" t="s">
        <v>1394</v>
      </c>
      <c r="AC96" s="10">
        <v>60</v>
      </c>
      <c r="AD96" s="10" t="s">
        <v>1563</v>
      </c>
      <c r="AE96" s="10">
        <v>0</v>
      </c>
      <c r="AF96" s="10" t="s">
        <v>218</v>
      </c>
      <c r="AG96" s="10" t="s">
        <v>218</v>
      </c>
      <c r="AH96" s="10" t="s">
        <v>218</v>
      </c>
      <c r="AI96" s="10" t="s">
        <v>218</v>
      </c>
      <c r="AJ96" s="10" t="s">
        <v>218</v>
      </c>
      <c r="AK96" s="10" t="s">
        <v>218</v>
      </c>
      <c r="AL96" s="10" t="s">
        <v>218</v>
      </c>
      <c r="AM96" s="10" t="s">
        <v>218</v>
      </c>
      <c r="AN96" s="10" t="s">
        <v>218</v>
      </c>
      <c r="AO96" s="10" t="s">
        <v>218</v>
      </c>
      <c r="AP96" s="10" t="s">
        <v>218</v>
      </c>
    </row>
    <row r="97" spans="1:11" x14ac:dyDescent="0.25">
      <c r="A97" s="128"/>
      <c r="B97" s="128"/>
      <c r="C97" s="128"/>
      <c r="D97" s="128"/>
      <c r="E97" s="128"/>
      <c r="F97" s="128"/>
      <c r="G97" s="128"/>
      <c r="H97" s="128"/>
      <c r="K97" s="245"/>
    </row>
  </sheetData>
  <sheetProtection algorithmName="SHA-512" hashValue="MJWOi7ZN2F29qs9UyrrWhBoHk150SVVJiQUhgXY3wedM/mMSDWejdaAFqZ5mavEVjPkGnxGP1lulJzShhSObYw==" saltValue="/1AzP5BbwSc3UTze0kfVeA=="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0866141732283472" right="0.19685039370078741" top="0.74803149606299213" bottom="0.74803149606299213" header="0.31496062992125984" footer="0.31496062992125984"/>
  <pageSetup paperSize="14" scale="55" orientation="landscape" horizontalDpi="4294967295" verticalDpi="4294967295" r:id="rId1"/>
  <headerFooter>
    <oddFooter>Página &amp;P</oddFoot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topLeftCell="A4" zoomScale="70" zoomScaleNormal="70" workbookViewId="0">
      <pane ySplit="5" topLeftCell="A9" activePane="bottomLeft" state="frozen"/>
      <selection activeCell="A4" sqref="A4"/>
      <selection pane="bottomLeft" activeCell="G12" sqref="G12"/>
    </sheetView>
  </sheetViews>
  <sheetFormatPr baseColWidth="10" defaultRowHeight="15" x14ac:dyDescent="0.25"/>
  <cols>
    <col min="1" max="1" width="17.28515625" style="1" customWidth="1"/>
    <col min="2" max="2" width="16.28515625" style="1" customWidth="1"/>
    <col min="3" max="3" width="20.28515625" style="1" customWidth="1"/>
    <col min="4" max="4" width="17" style="1" customWidth="1"/>
    <col min="5" max="5" width="16.85546875" style="1" customWidth="1"/>
    <col min="6" max="6" width="17.7109375" style="1" customWidth="1"/>
    <col min="7" max="7" width="16" style="1" customWidth="1"/>
    <col min="8" max="8" width="24.5703125" style="1" customWidth="1"/>
    <col min="9" max="9" width="20.7109375" style="241" customWidth="1"/>
    <col min="10" max="10" width="18.85546875" style="1" customWidth="1"/>
    <col min="11" max="11" width="20.5703125" style="1" customWidth="1"/>
    <col min="12" max="12" width="11.42578125" style="1"/>
    <col min="13" max="13" width="19" style="1" customWidth="1"/>
    <col min="14" max="14" width="14.7109375" style="1" customWidth="1"/>
    <col min="15" max="15" width="11.42578125" style="69"/>
    <col min="16" max="16" width="12.7109375" style="69" customWidth="1"/>
    <col min="17" max="17" width="29.42578125" style="1" customWidth="1"/>
    <col min="18" max="16384" width="11.42578125" style="1"/>
  </cols>
  <sheetData>
    <row r="1" spans="1:21" x14ac:dyDescent="0.25">
      <c r="A1" s="605" t="s">
        <v>0</v>
      </c>
      <c r="B1" s="605"/>
      <c r="C1" s="605"/>
      <c r="D1" s="605"/>
      <c r="E1" s="605"/>
      <c r="F1" s="605"/>
      <c r="G1" s="605"/>
      <c r="H1" s="605"/>
      <c r="I1" s="605"/>
      <c r="J1" s="605"/>
      <c r="K1" s="605"/>
      <c r="L1" s="605"/>
      <c r="M1" s="605"/>
      <c r="N1" s="605"/>
      <c r="O1" s="605"/>
    </row>
    <row r="2" spans="1:21" x14ac:dyDescent="0.25">
      <c r="A2" s="605" t="s">
        <v>1</v>
      </c>
      <c r="B2" s="605"/>
      <c r="C2" s="605"/>
      <c r="D2" s="605"/>
      <c r="E2" s="605"/>
      <c r="F2" s="605"/>
      <c r="G2" s="605"/>
      <c r="H2" s="605"/>
      <c r="I2" s="605"/>
      <c r="J2" s="605"/>
      <c r="K2" s="605"/>
      <c r="L2" s="605"/>
      <c r="M2" s="605"/>
      <c r="N2" s="605"/>
      <c r="O2" s="605"/>
    </row>
    <row r="3" spans="1:21" x14ac:dyDescent="0.25">
      <c r="A3" s="605" t="s">
        <v>2</v>
      </c>
      <c r="B3" s="605"/>
      <c r="C3" s="605"/>
      <c r="D3" s="605"/>
      <c r="E3" s="605"/>
      <c r="F3" s="605"/>
      <c r="G3" s="605"/>
      <c r="H3" s="605" t="s">
        <v>3</v>
      </c>
      <c r="I3" s="605"/>
      <c r="J3" s="605"/>
      <c r="K3" s="605"/>
      <c r="L3" s="605"/>
      <c r="M3" s="605"/>
      <c r="N3" s="605"/>
      <c r="O3" s="605"/>
    </row>
    <row r="4" spans="1:21" x14ac:dyDescent="0.25">
      <c r="A4" s="605">
        <v>2013</v>
      </c>
      <c r="B4" s="605"/>
      <c r="C4" s="605"/>
      <c r="D4" s="605"/>
      <c r="E4" s="605"/>
      <c r="F4" s="605"/>
      <c r="G4" s="605"/>
      <c r="H4" s="605"/>
      <c r="I4" s="605"/>
      <c r="J4" s="605"/>
      <c r="K4" s="605"/>
      <c r="L4" s="605"/>
      <c r="M4" s="605"/>
      <c r="N4" s="605"/>
      <c r="O4" s="605"/>
    </row>
    <row r="5" spans="1:21" x14ac:dyDescent="0.25">
      <c r="A5" s="2"/>
      <c r="B5" s="2"/>
      <c r="C5" s="2"/>
      <c r="D5" s="2"/>
      <c r="E5" s="2"/>
      <c r="F5" s="2"/>
      <c r="G5" s="2"/>
      <c r="H5" s="2"/>
      <c r="I5" s="232"/>
      <c r="J5" s="2"/>
      <c r="K5" s="2"/>
      <c r="L5" s="4"/>
      <c r="M5" s="6"/>
      <c r="N5" s="6"/>
      <c r="O5" s="233"/>
    </row>
    <row r="6" spans="1:21" x14ac:dyDescent="0.25">
      <c r="A6" s="587" t="s">
        <v>4</v>
      </c>
      <c r="B6" s="606" t="s">
        <v>1255</v>
      </c>
      <c r="C6" s="606"/>
      <c r="D6" s="606"/>
      <c r="E6" s="606"/>
      <c r="F6" s="606"/>
      <c r="G6" s="606"/>
      <c r="H6" s="606"/>
      <c r="I6" s="606"/>
      <c r="J6" s="606"/>
      <c r="K6" s="606"/>
      <c r="L6" s="606"/>
      <c r="M6" s="606"/>
      <c r="N6" s="606"/>
      <c r="O6" s="606"/>
    </row>
    <row r="7" spans="1:21" ht="15" customHeight="1" x14ac:dyDescent="0.25">
      <c r="A7" s="617" t="s">
        <v>6</v>
      </c>
      <c r="B7" s="617" t="s">
        <v>7</v>
      </c>
      <c r="C7" s="617" t="s">
        <v>8</v>
      </c>
      <c r="D7" s="617" t="s">
        <v>9</v>
      </c>
      <c r="E7" s="617" t="s">
        <v>10</v>
      </c>
      <c r="F7" s="617" t="s">
        <v>11</v>
      </c>
      <c r="G7" s="617" t="s">
        <v>12</v>
      </c>
      <c r="H7" s="617" t="s">
        <v>13</v>
      </c>
      <c r="I7" s="683" t="s">
        <v>14</v>
      </c>
      <c r="J7" s="621" t="s">
        <v>15</v>
      </c>
      <c r="K7" s="617" t="s">
        <v>16</v>
      </c>
      <c r="L7" s="617" t="s">
        <v>17</v>
      </c>
      <c r="M7" s="617" t="s">
        <v>18</v>
      </c>
      <c r="N7" s="623" t="s">
        <v>19</v>
      </c>
      <c r="O7" s="623" t="s">
        <v>20</v>
      </c>
      <c r="P7" s="623" t="s">
        <v>21</v>
      </c>
      <c r="Q7" s="619" t="s">
        <v>22</v>
      </c>
    </row>
    <row r="8" spans="1:21" ht="60" customHeight="1" x14ac:dyDescent="0.25">
      <c r="A8" s="618"/>
      <c r="B8" s="618"/>
      <c r="C8" s="618"/>
      <c r="D8" s="618"/>
      <c r="E8" s="618"/>
      <c r="F8" s="618"/>
      <c r="G8" s="618"/>
      <c r="H8" s="618"/>
      <c r="I8" s="684"/>
      <c r="J8" s="622"/>
      <c r="K8" s="618"/>
      <c r="L8" s="618"/>
      <c r="M8" s="618"/>
      <c r="N8" s="624"/>
      <c r="O8" s="631"/>
      <c r="P8" s="624"/>
      <c r="Q8" s="620"/>
      <c r="S8" s="8"/>
      <c r="T8" s="8"/>
      <c r="U8" s="8"/>
    </row>
    <row r="9" spans="1:21" s="238" customFormat="1" ht="75" x14ac:dyDescent="0.25">
      <c r="A9" s="10" t="s">
        <v>23</v>
      </c>
      <c r="B9" s="10" t="s">
        <v>136</v>
      </c>
      <c r="C9" s="10" t="s">
        <v>137</v>
      </c>
      <c r="D9" s="10">
        <v>211150000</v>
      </c>
      <c r="E9" s="10" t="s">
        <v>1256</v>
      </c>
      <c r="F9" s="50" t="s">
        <v>1257</v>
      </c>
      <c r="G9" s="10" t="s">
        <v>1258</v>
      </c>
      <c r="H9" s="10" t="s">
        <v>1259</v>
      </c>
      <c r="I9" s="234">
        <v>0</v>
      </c>
      <c r="J9" s="235">
        <v>-56534672</v>
      </c>
      <c r="K9" s="10" t="s">
        <v>1260</v>
      </c>
      <c r="L9" s="236">
        <v>80</v>
      </c>
      <c r="M9" s="236"/>
      <c r="N9" s="236"/>
      <c r="O9" s="236">
        <v>92</v>
      </c>
      <c r="P9" s="236">
        <v>95</v>
      </c>
      <c r="Q9" s="10" t="s">
        <v>1261</v>
      </c>
      <c r="R9" s="237"/>
      <c r="U9" s="239"/>
    </row>
    <row r="10" spans="1:21" s="238" customFormat="1" ht="116.25" customHeight="1" x14ac:dyDescent="0.25">
      <c r="A10" s="10" t="s">
        <v>23</v>
      </c>
      <c r="B10" s="10" t="s">
        <v>136</v>
      </c>
      <c r="C10" s="10" t="s">
        <v>137</v>
      </c>
      <c r="D10" s="10">
        <v>211170000</v>
      </c>
      <c r="E10" s="10" t="s">
        <v>1262</v>
      </c>
      <c r="F10" s="50" t="s">
        <v>1263</v>
      </c>
      <c r="G10" s="10" t="s">
        <v>1264</v>
      </c>
      <c r="H10" s="10" t="s">
        <v>1265</v>
      </c>
      <c r="I10" s="234">
        <f>60000000-200000000</f>
        <v>-140000000</v>
      </c>
      <c r="J10" s="235">
        <v>-200000000</v>
      </c>
      <c r="K10" s="10" t="s">
        <v>1266</v>
      </c>
      <c r="L10" s="236">
        <v>20</v>
      </c>
      <c r="M10" s="236">
        <v>10</v>
      </c>
      <c r="N10" s="236"/>
      <c r="O10" s="236">
        <v>10</v>
      </c>
      <c r="P10" s="236">
        <v>20</v>
      </c>
      <c r="Q10" s="10" t="s">
        <v>1267</v>
      </c>
      <c r="R10" s="237"/>
      <c r="U10" s="239"/>
    </row>
    <row r="11" spans="1:21" s="238" customFormat="1" ht="115.5" customHeight="1" x14ac:dyDescent="0.25">
      <c r="A11" s="10" t="s">
        <v>23</v>
      </c>
      <c r="B11" s="10" t="s">
        <v>136</v>
      </c>
      <c r="C11" s="10" t="s">
        <v>137</v>
      </c>
      <c r="D11" s="10">
        <v>211190000</v>
      </c>
      <c r="E11" s="10" t="s">
        <v>1268</v>
      </c>
      <c r="F11" s="50" t="s">
        <v>1269</v>
      </c>
      <c r="G11" s="10" t="s">
        <v>1270</v>
      </c>
      <c r="H11" s="10" t="s">
        <v>1271</v>
      </c>
      <c r="I11" s="234">
        <f>693627315-320000000</f>
        <v>373627315</v>
      </c>
      <c r="J11" s="235">
        <v>589206463</v>
      </c>
      <c r="K11" s="10" t="s">
        <v>1272</v>
      </c>
      <c r="L11" s="236">
        <v>70</v>
      </c>
      <c r="M11" s="236"/>
      <c r="N11" s="236"/>
      <c r="O11" s="236">
        <v>50</v>
      </c>
      <c r="P11" s="236">
        <v>70</v>
      </c>
      <c r="Q11" s="10" t="s">
        <v>1273</v>
      </c>
      <c r="R11" s="237"/>
      <c r="U11" s="239"/>
    </row>
    <row r="12" spans="1:21" s="238" customFormat="1" ht="108" customHeight="1" x14ac:dyDescent="0.25">
      <c r="A12" s="10" t="s">
        <v>23</v>
      </c>
      <c r="B12" s="10" t="s">
        <v>142</v>
      </c>
      <c r="C12" s="10" t="s">
        <v>1274</v>
      </c>
      <c r="D12" s="10">
        <v>212110000</v>
      </c>
      <c r="E12" s="10" t="s">
        <v>1275</v>
      </c>
      <c r="F12" s="50" t="s">
        <v>1276</v>
      </c>
      <c r="G12" s="10" t="s">
        <v>1277</v>
      </c>
      <c r="H12" s="10" t="s">
        <v>1278</v>
      </c>
      <c r="I12" s="234">
        <f>180000000-300000000</f>
        <v>-120000000</v>
      </c>
      <c r="J12" s="235">
        <v>-120000000</v>
      </c>
      <c r="K12" s="10" t="s">
        <v>1279</v>
      </c>
      <c r="L12" s="236">
        <v>0.18</v>
      </c>
      <c r="M12" s="236"/>
      <c r="N12" s="236"/>
      <c r="O12" s="236">
        <v>0.16</v>
      </c>
      <c r="P12" s="236">
        <v>0.2</v>
      </c>
      <c r="Q12" s="10" t="s">
        <v>1280</v>
      </c>
      <c r="R12" s="237"/>
      <c r="U12" s="239"/>
    </row>
    <row r="13" spans="1:21" s="238" customFormat="1" ht="153" customHeight="1" x14ac:dyDescent="0.25">
      <c r="A13" s="10" t="s">
        <v>23</v>
      </c>
      <c r="B13" s="10" t="s">
        <v>142</v>
      </c>
      <c r="C13" s="10" t="s">
        <v>1274</v>
      </c>
      <c r="D13" s="10">
        <v>212110000</v>
      </c>
      <c r="E13" s="10" t="s">
        <v>1275</v>
      </c>
      <c r="F13" s="50" t="s">
        <v>1281</v>
      </c>
      <c r="G13" s="10" t="s">
        <v>1282</v>
      </c>
      <c r="H13" s="10" t="s">
        <v>1283</v>
      </c>
      <c r="I13" s="234">
        <v>12783439490</v>
      </c>
      <c r="J13" s="235">
        <v>12793439490</v>
      </c>
      <c r="K13" s="10" t="s">
        <v>1284</v>
      </c>
      <c r="L13" s="236">
        <v>98.4</v>
      </c>
      <c r="M13" s="236"/>
      <c r="N13" s="236"/>
      <c r="O13" s="236">
        <v>99.6</v>
      </c>
      <c r="P13" s="236">
        <v>93.3</v>
      </c>
      <c r="Q13" s="10" t="s">
        <v>1285</v>
      </c>
      <c r="R13" s="237"/>
      <c r="U13" s="239"/>
    </row>
    <row r="14" spans="1:21" s="238" customFormat="1" ht="75.75" customHeight="1" x14ac:dyDescent="0.25">
      <c r="A14" s="10" t="s">
        <v>23</v>
      </c>
      <c r="B14" s="10" t="s">
        <v>142</v>
      </c>
      <c r="C14" s="10" t="s">
        <v>1274</v>
      </c>
      <c r="D14" s="10">
        <v>212110000</v>
      </c>
      <c r="E14" s="10" t="s">
        <v>1275</v>
      </c>
      <c r="F14" s="50" t="s">
        <v>1286</v>
      </c>
      <c r="G14" s="10" t="s">
        <v>1287</v>
      </c>
      <c r="H14" s="10" t="s">
        <v>1288</v>
      </c>
      <c r="I14" s="234">
        <f>100000000-150000000</f>
        <v>-50000000</v>
      </c>
      <c r="J14" s="235">
        <v>-88558500</v>
      </c>
      <c r="K14" s="10" t="s">
        <v>1284</v>
      </c>
      <c r="L14" s="236">
        <v>98.4</v>
      </c>
      <c r="M14" s="236"/>
      <c r="N14" s="236"/>
      <c r="O14" s="236">
        <v>99.6</v>
      </c>
      <c r="P14" s="236">
        <v>93.3</v>
      </c>
      <c r="Q14" s="10" t="s">
        <v>1289</v>
      </c>
      <c r="R14" s="237"/>
      <c r="U14" s="239"/>
    </row>
    <row r="15" spans="1:21" s="238" customFormat="1" ht="123" customHeight="1" x14ac:dyDescent="0.25">
      <c r="A15" s="10" t="s">
        <v>23</v>
      </c>
      <c r="B15" s="10" t="s">
        <v>142</v>
      </c>
      <c r="C15" s="10" t="s">
        <v>1274</v>
      </c>
      <c r="D15" s="10">
        <v>212110000</v>
      </c>
      <c r="E15" s="10" t="s">
        <v>1275</v>
      </c>
      <c r="F15" s="50" t="s">
        <v>1290</v>
      </c>
      <c r="G15" s="10" t="s">
        <v>1291</v>
      </c>
      <c r="H15" s="10" t="s">
        <v>1292</v>
      </c>
      <c r="I15" s="234">
        <f>203960274-300000000</f>
        <v>-96039726</v>
      </c>
      <c r="J15" s="235">
        <v>-96039726</v>
      </c>
      <c r="K15" s="10" t="s">
        <v>1284</v>
      </c>
      <c r="L15" s="236">
        <v>98.4</v>
      </c>
      <c r="M15" s="236"/>
      <c r="N15" s="236"/>
      <c r="O15" s="236">
        <v>99.6</v>
      </c>
      <c r="P15" s="236">
        <v>93.3</v>
      </c>
      <c r="Q15" s="10" t="s">
        <v>1289</v>
      </c>
      <c r="R15" s="237"/>
      <c r="U15" s="239"/>
    </row>
    <row r="16" spans="1:21" s="238" customFormat="1" ht="60.75" customHeight="1" x14ac:dyDescent="0.25">
      <c r="A16" s="10" t="s">
        <v>23</v>
      </c>
      <c r="B16" s="10" t="s">
        <v>142</v>
      </c>
      <c r="C16" s="10" t="s">
        <v>1274</v>
      </c>
      <c r="D16" s="10">
        <v>212110000</v>
      </c>
      <c r="E16" s="10" t="s">
        <v>1275</v>
      </c>
      <c r="F16" s="50" t="s">
        <v>1293</v>
      </c>
      <c r="G16" s="10" t="s">
        <v>1294</v>
      </c>
      <c r="H16" s="10" t="s">
        <v>1295</v>
      </c>
      <c r="I16" s="234">
        <f>220776470-160000000</f>
        <v>60776470</v>
      </c>
      <c r="J16" s="235">
        <v>25200000</v>
      </c>
      <c r="K16" s="10" t="s">
        <v>1284</v>
      </c>
      <c r="L16" s="236">
        <v>98.4</v>
      </c>
      <c r="M16" s="236"/>
      <c r="N16" s="236"/>
      <c r="O16" s="236">
        <v>99.6</v>
      </c>
      <c r="P16" s="236">
        <v>93.3</v>
      </c>
      <c r="Q16" s="10" t="s">
        <v>1296</v>
      </c>
      <c r="R16" s="237"/>
      <c r="U16" s="239"/>
    </row>
    <row r="17" spans="1:21" s="238" customFormat="1" ht="111.75" customHeight="1" x14ac:dyDescent="0.25">
      <c r="A17" s="10" t="s">
        <v>23</v>
      </c>
      <c r="B17" s="10" t="s">
        <v>142</v>
      </c>
      <c r="C17" s="10" t="s">
        <v>1274</v>
      </c>
      <c r="D17" s="10">
        <v>212110000</v>
      </c>
      <c r="E17" s="10" t="s">
        <v>1275</v>
      </c>
      <c r="F17" s="50" t="s">
        <v>1297</v>
      </c>
      <c r="G17" s="10" t="s">
        <v>1298</v>
      </c>
      <c r="H17" s="10" t="s">
        <v>1299</v>
      </c>
      <c r="I17" s="234" t="s">
        <v>858</v>
      </c>
      <c r="J17" s="235">
        <v>51804715</v>
      </c>
      <c r="K17" s="10" t="s">
        <v>1300</v>
      </c>
      <c r="L17" s="236">
        <v>62</v>
      </c>
      <c r="M17" s="236"/>
      <c r="N17" s="236"/>
      <c r="O17" s="236">
        <v>62</v>
      </c>
      <c r="P17" s="236">
        <v>62</v>
      </c>
      <c r="Q17" s="10" t="s">
        <v>1301</v>
      </c>
      <c r="R17" s="237"/>
      <c r="U17" s="239"/>
    </row>
    <row r="18" spans="1:21" s="238" customFormat="1" ht="107.25" customHeight="1" x14ac:dyDescent="0.25">
      <c r="A18" s="10" t="s">
        <v>23</v>
      </c>
      <c r="B18" s="10" t="s">
        <v>142</v>
      </c>
      <c r="C18" s="10" t="s">
        <v>1274</v>
      </c>
      <c r="D18" s="10">
        <v>212110000</v>
      </c>
      <c r="E18" s="10" t="s">
        <v>1275</v>
      </c>
      <c r="F18" s="50" t="s">
        <v>1302</v>
      </c>
      <c r="G18" s="10" t="s">
        <v>1303</v>
      </c>
      <c r="H18" s="10" t="s">
        <v>1304</v>
      </c>
      <c r="I18" s="234">
        <v>501515826</v>
      </c>
      <c r="J18" s="235">
        <v>504307961</v>
      </c>
      <c r="K18" s="10" t="s">
        <v>1284</v>
      </c>
      <c r="L18" s="236">
        <v>98.4</v>
      </c>
      <c r="M18" s="236"/>
      <c r="N18" s="236"/>
      <c r="O18" s="236">
        <v>99.6</v>
      </c>
      <c r="P18" s="236">
        <v>93.3</v>
      </c>
      <c r="Q18" s="10" t="s">
        <v>1305</v>
      </c>
      <c r="R18" s="237"/>
      <c r="U18" s="239"/>
    </row>
    <row r="19" spans="1:21" s="238" customFormat="1" ht="107.25" customHeight="1" x14ac:dyDescent="0.25">
      <c r="A19" s="10" t="s">
        <v>23</v>
      </c>
      <c r="B19" s="10" t="s">
        <v>142</v>
      </c>
      <c r="C19" s="10" t="s">
        <v>1274</v>
      </c>
      <c r="D19" s="10">
        <v>212120000</v>
      </c>
      <c r="E19" s="10" t="s">
        <v>1306</v>
      </c>
      <c r="F19" s="50" t="s">
        <v>1307</v>
      </c>
      <c r="G19" s="10" t="s">
        <v>1308</v>
      </c>
      <c r="H19" s="10" t="s">
        <v>1309</v>
      </c>
      <c r="I19" s="234"/>
      <c r="J19" s="235">
        <v>205452860</v>
      </c>
      <c r="K19" s="10" t="s">
        <v>1310</v>
      </c>
      <c r="L19" s="236">
        <v>98</v>
      </c>
      <c r="M19" s="236"/>
      <c r="N19" s="236"/>
      <c r="O19" s="236">
        <v>0</v>
      </c>
      <c r="P19" s="236">
        <v>100</v>
      </c>
      <c r="Q19" s="10" t="s">
        <v>1311</v>
      </c>
      <c r="R19" s="237"/>
      <c r="U19" s="239"/>
    </row>
    <row r="20" spans="1:21" s="238" customFormat="1" ht="111" customHeight="1" x14ac:dyDescent="0.25">
      <c r="A20" s="10" t="s">
        <v>23</v>
      </c>
      <c r="B20" s="10" t="s">
        <v>142</v>
      </c>
      <c r="C20" s="10" t="s">
        <v>1274</v>
      </c>
      <c r="D20" s="10">
        <v>212130000</v>
      </c>
      <c r="E20" s="10" t="s">
        <v>1312</v>
      </c>
      <c r="F20" s="50" t="s">
        <v>1313</v>
      </c>
      <c r="G20" s="10" t="s">
        <v>1314</v>
      </c>
      <c r="H20" s="10" t="s">
        <v>1315</v>
      </c>
      <c r="I20" s="234">
        <f>682000000-300000000</f>
        <v>382000000</v>
      </c>
      <c r="J20" s="235">
        <v>219281439</v>
      </c>
      <c r="K20" s="10" t="s">
        <v>1316</v>
      </c>
      <c r="L20" s="236">
        <v>95.75</v>
      </c>
      <c r="M20" s="236"/>
      <c r="N20" s="236"/>
      <c r="O20" s="236">
        <v>85.71</v>
      </c>
      <c r="P20" s="236">
        <v>80</v>
      </c>
      <c r="Q20" s="10" t="s">
        <v>1317</v>
      </c>
      <c r="R20" s="237"/>
      <c r="U20" s="239"/>
    </row>
    <row r="21" spans="1:21" s="238" customFormat="1" ht="125.25" customHeight="1" x14ac:dyDescent="0.25">
      <c r="A21" s="10" t="s">
        <v>23</v>
      </c>
      <c r="B21" s="10" t="s">
        <v>142</v>
      </c>
      <c r="C21" s="10" t="s">
        <v>1274</v>
      </c>
      <c r="D21" s="10">
        <v>212130000</v>
      </c>
      <c r="E21" s="10" t="s">
        <v>1312</v>
      </c>
      <c r="F21" s="50" t="s">
        <v>1318</v>
      </c>
      <c r="G21" s="10" t="s">
        <v>1319</v>
      </c>
      <c r="H21" s="10" t="s">
        <v>1320</v>
      </c>
      <c r="I21" s="234">
        <v>0</v>
      </c>
      <c r="J21" s="235">
        <v>-38596527</v>
      </c>
      <c r="K21" s="10" t="s">
        <v>1316</v>
      </c>
      <c r="L21" s="236">
        <v>95.75</v>
      </c>
      <c r="M21" s="236"/>
      <c r="N21" s="236"/>
      <c r="O21" s="236">
        <v>85.71</v>
      </c>
      <c r="P21" s="236">
        <v>80</v>
      </c>
      <c r="Q21" s="10" t="s">
        <v>1321</v>
      </c>
      <c r="R21" s="237"/>
      <c r="U21" s="239"/>
    </row>
    <row r="22" spans="1:21" s="238" customFormat="1" ht="116.25" customHeight="1" x14ac:dyDescent="0.25">
      <c r="A22" s="10" t="s">
        <v>23</v>
      </c>
      <c r="B22" s="10" t="s">
        <v>142</v>
      </c>
      <c r="C22" s="10" t="s">
        <v>143</v>
      </c>
      <c r="D22" s="10">
        <v>212210000</v>
      </c>
      <c r="E22" s="10" t="s">
        <v>1322</v>
      </c>
      <c r="F22" s="50" t="s">
        <v>1323</v>
      </c>
      <c r="G22" s="10" t="s">
        <v>1324</v>
      </c>
      <c r="H22" s="10" t="s">
        <v>1325</v>
      </c>
      <c r="I22" s="234">
        <f>8267894063-4251963000</f>
        <v>4015931063</v>
      </c>
      <c r="J22" s="235">
        <v>4914465735</v>
      </c>
      <c r="K22" s="10" t="s">
        <v>1326</v>
      </c>
      <c r="L22" s="236" t="s">
        <v>1327</v>
      </c>
      <c r="M22" s="236"/>
      <c r="N22" s="236"/>
      <c r="O22" s="236">
        <v>3.9</v>
      </c>
      <c r="P22" s="236">
        <v>16.2</v>
      </c>
      <c r="Q22" s="10" t="s">
        <v>1328</v>
      </c>
      <c r="R22" s="237"/>
      <c r="U22" s="239"/>
    </row>
    <row r="23" spans="1:21" s="238" customFormat="1" ht="30" x14ac:dyDescent="0.25">
      <c r="A23" s="10"/>
      <c r="B23" s="10"/>
      <c r="C23" s="10"/>
      <c r="D23" s="10"/>
      <c r="E23" s="10"/>
      <c r="F23" s="50"/>
      <c r="G23" s="10"/>
      <c r="H23" s="10"/>
      <c r="I23" s="234"/>
      <c r="J23" s="235"/>
      <c r="K23" s="10" t="s">
        <v>1329</v>
      </c>
      <c r="L23" s="236">
        <v>3</v>
      </c>
      <c r="M23" s="236">
        <v>0</v>
      </c>
      <c r="N23" s="236">
        <v>3</v>
      </c>
      <c r="O23" s="236">
        <v>0</v>
      </c>
      <c r="P23" s="236">
        <v>3</v>
      </c>
      <c r="Q23" s="10" t="s">
        <v>858</v>
      </c>
      <c r="R23" s="237"/>
      <c r="U23" s="239"/>
    </row>
    <row r="24" spans="1:21" s="238" customFormat="1" ht="53.25" customHeight="1" x14ac:dyDescent="0.25">
      <c r="A24" s="10" t="s">
        <v>23</v>
      </c>
      <c r="B24" s="10" t="s">
        <v>142</v>
      </c>
      <c r="C24" s="10" t="s">
        <v>143</v>
      </c>
      <c r="D24" s="10">
        <v>212220000</v>
      </c>
      <c r="E24" s="10" t="s">
        <v>1330</v>
      </c>
      <c r="F24" s="50" t="s">
        <v>1331</v>
      </c>
      <c r="G24" s="10" t="s">
        <v>1332</v>
      </c>
      <c r="H24" s="10" t="s">
        <v>1333</v>
      </c>
      <c r="I24" s="234">
        <f>827037000-427037000</f>
        <v>400000000</v>
      </c>
      <c r="J24" s="235">
        <v>400000000</v>
      </c>
      <c r="K24" s="10" t="s">
        <v>1334</v>
      </c>
      <c r="L24" s="236">
        <v>80</v>
      </c>
      <c r="M24" s="236"/>
      <c r="N24" s="236"/>
      <c r="O24" s="236">
        <v>74</v>
      </c>
      <c r="P24" s="236">
        <v>82</v>
      </c>
      <c r="Q24" s="10" t="s">
        <v>1328</v>
      </c>
      <c r="R24" s="237"/>
      <c r="U24" s="239"/>
    </row>
    <row r="25" spans="1:21" s="238" customFormat="1" ht="110.25" customHeight="1" x14ac:dyDescent="0.25">
      <c r="A25" s="10" t="s">
        <v>23</v>
      </c>
      <c r="B25" s="10" t="s">
        <v>142</v>
      </c>
      <c r="C25" s="10" t="s">
        <v>150</v>
      </c>
      <c r="D25" s="10">
        <v>212310000</v>
      </c>
      <c r="E25" s="10" t="s">
        <v>1335</v>
      </c>
      <c r="F25" s="50" t="s">
        <v>1336</v>
      </c>
      <c r="G25" s="10" t="s">
        <v>1337</v>
      </c>
      <c r="H25" s="10" t="s">
        <v>1338</v>
      </c>
      <c r="I25" s="234">
        <f>263846850-200000000</f>
        <v>63846850</v>
      </c>
      <c r="J25" s="235">
        <v>78846850</v>
      </c>
      <c r="K25" s="10" t="s">
        <v>1339</v>
      </c>
      <c r="L25" s="236">
        <v>100</v>
      </c>
      <c r="M25" s="236"/>
      <c r="N25" s="236"/>
      <c r="O25" s="236">
        <v>75</v>
      </c>
      <c r="P25" s="236" t="s">
        <v>1340</v>
      </c>
      <c r="Q25" s="10" t="s">
        <v>1341</v>
      </c>
      <c r="R25" s="237"/>
      <c r="U25" s="239"/>
    </row>
    <row r="26" spans="1:21" s="238" customFormat="1" ht="71.25" customHeight="1" x14ac:dyDescent="0.25">
      <c r="A26" s="10">
        <v>0</v>
      </c>
      <c r="B26" s="10">
        <v>0</v>
      </c>
      <c r="C26" s="10">
        <v>0</v>
      </c>
      <c r="D26" s="10">
        <v>0</v>
      </c>
      <c r="E26" s="10" t="s">
        <v>342</v>
      </c>
      <c r="F26" s="50">
        <v>0</v>
      </c>
      <c r="G26" s="10">
        <v>0</v>
      </c>
      <c r="H26" s="10">
        <v>0</v>
      </c>
      <c r="I26" s="234"/>
      <c r="J26" s="235"/>
      <c r="K26" s="10" t="s">
        <v>1342</v>
      </c>
      <c r="L26" s="236">
        <v>100</v>
      </c>
      <c r="M26" s="236">
        <v>100</v>
      </c>
      <c r="N26" s="236"/>
      <c r="O26" s="236">
        <v>87</v>
      </c>
      <c r="P26" s="236">
        <v>97.09</v>
      </c>
      <c r="Q26" s="10"/>
      <c r="R26" s="237"/>
      <c r="U26" s="239"/>
    </row>
    <row r="27" spans="1:21" s="238" customFormat="1" ht="409.6" customHeight="1" x14ac:dyDescent="0.25">
      <c r="A27" s="10">
        <v>0</v>
      </c>
      <c r="B27" s="10">
        <v>0</v>
      </c>
      <c r="C27" s="10">
        <v>0</v>
      </c>
      <c r="D27" s="10">
        <v>0</v>
      </c>
      <c r="E27" s="10" t="s">
        <v>342</v>
      </c>
      <c r="F27" s="50">
        <v>0</v>
      </c>
      <c r="G27" s="10">
        <v>0</v>
      </c>
      <c r="H27" s="10">
        <v>0</v>
      </c>
      <c r="I27" s="234"/>
      <c r="J27" s="235"/>
      <c r="K27" s="10" t="s">
        <v>1343</v>
      </c>
      <c r="L27" s="236">
        <v>100</v>
      </c>
      <c r="M27" s="236">
        <v>100</v>
      </c>
      <c r="N27" s="236">
        <v>100</v>
      </c>
      <c r="O27" s="236">
        <v>60</v>
      </c>
      <c r="P27" s="236">
        <v>100</v>
      </c>
      <c r="Q27" s="10" t="s">
        <v>1344</v>
      </c>
      <c r="R27" s="237"/>
      <c r="U27" s="239"/>
    </row>
    <row r="28" spans="1:21" s="238" customFormat="1" ht="105" x14ac:dyDescent="0.25">
      <c r="A28" s="10" t="s">
        <v>23</v>
      </c>
      <c r="B28" s="10" t="s">
        <v>142</v>
      </c>
      <c r="C28" s="10" t="s">
        <v>150</v>
      </c>
      <c r="D28" s="10">
        <v>212310000</v>
      </c>
      <c r="E28" s="10" t="s">
        <v>1335</v>
      </c>
      <c r="F28" s="50" t="s">
        <v>1345</v>
      </c>
      <c r="G28" s="10" t="s">
        <v>1346</v>
      </c>
      <c r="H28" s="10" t="s">
        <v>1347</v>
      </c>
      <c r="I28" s="234">
        <f>98733218-150000000</f>
        <v>-51266782</v>
      </c>
      <c r="J28" s="235">
        <v>-51266782</v>
      </c>
      <c r="K28" s="10" t="s">
        <v>1348</v>
      </c>
      <c r="L28" s="236">
        <v>200</v>
      </c>
      <c r="M28" s="236">
        <v>200</v>
      </c>
      <c r="N28" s="236"/>
      <c r="O28" s="236">
        <v>342</v>
      </c>
      <c r="P28" s="236">
        <v>519</v>
      </c>
      <c r="Q28" s="10" t="s">
        <v>1349</v>
      </c>
      <c r="R28" s="237"/>
      <c r="U28" s="239"/>
    </row>
    <row r="29" spans="1:21" s="238" customFormat="1" ht="81" customHeight="1" x14ac:dyDescent="0.25">
      <c r="A29" s="10" t="s">
        <v>23</v>
      </c>
      <c r="B29" s="10" t="s">
        <v>142</v>
      </c>
      <c r="C29" s="10" t="s">
        <v>150</v>
      </c>
      <c r="D29" s="10">
        <v>212310000</v>
      </c>
      <c r="E29" s="10" t="s">
        <v>1335</v>
      </c>
      <c r="F29" s="50" t="s">
        <v>1350</v>
      </c>
      <c r="G29" s="10" t="s">
        <v>1351</v>
      </c>
      <c r="H29" s="10" t="s">
        <v>1352</v>
      </c>
      <c r="I29" s="234">
        <v>0</v>
      </c>
      <c r="J29" s="235">
        <v>1</v>
      </c>
      <c r="K29" s="10" t="s">
        <v>1353</v>
      </c>
      <c r="L29" s="236">
        <v>30</v>
      </c>
      <c r="M29" s="10"/>
      <c r="N29" s="10"/>
      <c r="O29" s="81">
        <v>15</v>
      </c>
      <c r="P29" s="81">
        <v>30</v>
      </c>
      <c r="Q29" s="10"/>
      <c r="R29" s="237"/>
      <c r="U29" s="239"/>
    </row>
    <row r="30" spans="1:21" s="238" customFormat="1" ht="63.75" customHeight="1" x14ac:dyDescent="0.25">
      <c r="A30" s="10" t="s">
        <v>23</v>
      </c>
      <c r="B30" s="10" t="s">
        <v>142</v>
      </c>
      <c r="C30" s="10" t="s">
        <v>150</v>
      </c>
      <c r="D30" s="10">
        <v>212310000</v>
      </c>
      <c r="E30" s="201" t="s">
        <v>1335</v>
      </c>
      <c r="F30" s="50" t="s">
        <v>1354</v>
      </c>
      <c r="G30" s="10" t="s">
        <v>1355</v>
      </c>
      <c r="H30" s="10" t="s">
        <v>1356</v>
      </c>
      <c r="I30" s="234">
        <f>78028949-100000000</f>
        <v>-21971051</v>
      </c>
      <c r="J30" s="235">
        <v>-65033226</v>
      </c>
      <c r="K30" s="10" t="s">
        <v>1357</v>
      </c>
      <c r="L30" s="236">
        <v>30</v>
      </c>
      <c r="M30" s="236"/>
      <c r="N30" s="236"/>
      <c r="O30" s="236">
        <v>16</v>
      </c>
      <c r="P30" s="236">
        <v>30</v>
      </c>
      <c r="Q30" s="10" t="s">
        <v>1358</v>
      </c>
      <c r="R30" s="237"/>
      <c r="U30" s="239"/>
    </row>
    <row r="31" spans="1:21" s="238" customFormat="1" ht="96" customHeight="1" x14ac:dyDescent="0.25">
      <c r="A31" s="10" t="s">
        <v>23</v>
      </c>
      <c r="B31" s="10" t="s">
        <v>142</v>
      </c>
      <c r="C31" s="10" t="s">
        <v>150</v>
      </c>
      <c r="D31" s="10">
        <v>212320000</v>
      </c>
      <c r="E31" s="10" t="s">
        <v>151</v>
      </c>
      <c r="F31" s="50" t="s">
        <v>1359</v>
      </c>
      <c r="G31" s="10" t="s">
        <v>1360</v>
      </c>
      <c r="H31" s="10" t="s">
        <v>1361</v>
      </c>
      <c r="I31" s="234">
        <f>199783045-200000000</f>
        <v>-216955</v>
      </c>
      <c r="J31" s="235">
        <v>-84700619</v>
      </c>
      <c r="K31" s="10" t="s">
        <v>155</v>
      </c>
      <c r="L31" s="236">
        <v>50</v>
      </c>
      <c r="M31" s="236"/>
      <c r="N31" s="236"/>
      <c r="O31" s="236">
        <v>50</v>
      </c>
      <c r="P31" s="236">
        <v>50</v>
      </c>
      <c r="Q31" s="10" t="s">
        <v>1362</v>
      </c>
      <c r="R31" s="237"/>
      <c r="U31" s="239"/>
    </row>
    <row r="32" spans="1:21" s="238" customFormat="1" ht="108.75" customHeight="1" x14ac:dyDescent="0.25">
      <c r="A32" s="10" t="s">
        <v>23</v>
      </c>
      <c r="B32" s="10" t="s">
        <v>142</v>
      </c>
      <c r="C32" s="10" t="s">
        <v>150</v>
      </c>
      <c r="D32" s="10">
        <v>212360000</v>
      </c>
      <c r="E32" s="10" t="s">
        <v>1363</v>
      </c>
      <c r="F32" s="50" t="s">
        <v>1364</v>
      </c>
      <c r="G32" s="10" t="s">
        <v>1365</v>
      </c>
      <c r="H32" s="10" t="s">
        <v>1366</v>
      </c>
      <c r="I32" s="234">
        <f>86266782-100000000</f>
        <v>-13733218</v>
      </c>
      <c r="J32" s="235">
        <v>-46289691</v>
      </c>
      <c r="K32" s="10" t="s">
        <v>1367</v>
      </c>
      <c r="L32" s="236">
        <v>59</v>
      </c>
      <c r="M32" s="236"/>
      <c r="N32" s="236"/>
      <c r="O32" s="236">
        <v>31</v>
      </c>
      <c r="P32" s="236">
        <v>59</v>
      </c>
      <c r="Q32" s="10" t="s">
        <v>1358</v>
      </c>
      <c r="R32" s="237"/>
      <c r="U32" s="239"/>
    </row>
    <row r="33" spans="1:21" s="238" customFormat="1" ht="141" customHeight="1" x14ac:dyDescent="0.25">
      <c r="A33" s="10" t="s">
        <v>1368</v>
      </c>
      <c r="B33" s="10" t="s">
        <v>1369</v>
      </c>
      <c r="C33" s="10" t="s">
        <v>1370</v>
      </c>
      <c r="D33" s="10">
        <v>221140008</v>
      </c>
      <c r="E33" s="10" t="s">
        <v>1371</v>
      </c>
      <c r="F33" s="50" t="s">
        <v>1372</v>
      </c>
      <c r="G33" s="10">
        <v>22200001</v>
      </c>
      <c r="H33" s="10" t="s">
        <v>1373</v>
      </c>
      <c r="I33" s="234">
        <f>1410510910-0</f>
        <v>1410510910</v>
      </c>
      <c r="J33" s="235">
        <v>704703392</v>
      </c>
      <c r="K33" s="10" t="s">
        <v>1374</v>
      </c>
      <c r="L33" s="236">
        <v>297</v>
      </c>
      <c r="M33" s="236"/>
      <c r="N33" s="236"/>
      <c r="O33" s="236">
        <v>152</v>
      </c>
      <c r="P33" s="236">
        <v>319</v>
      </c>
      <c r="Q33" s="10" t="s">
        <v>1375</v>
      </c>
      <c r="R33" s="237"/>
      <c r="U33" s="239"/>
    </row>
    <row r="34" spans="1:21" s="238" customFormat="1" ht="132" customHeight="1" x14ac:dyDescent="0.25">
      <c r="A34" s="10" t="s">
        <v>23</v>
      </c>
      <c r="B34" s="10" t="s">
        <v>142</v>
      </c>
      <c r="C34" s="10" t="s">
        <v>1376</v>
      </c>
      <c r="D34" s="10">
        <v>212350000</v>
      </c>
      <c r="E34" s="10" t="s">
        <v>1377</v>
      </c>
      <c r="F34" s="50" t="s">
        <v>1378</v>
      </c>
      <c r="G34" s="10">
        <v>0</v>
      </c>
      <c r="H34" s="10" t="s">
        <v>1379</v>
      </c>
      <c r="I34" s="234"/>
      <c r="J34" s="235"/>
      <c r="K34" s="49" t="s">
        <v>1380</v>
      </c>
      <c r="L34" s="236">
        <v>72</v>
      </c>
      <c r="M34" s="236"/>
      <c r="N34" s="236"/>
      <c r="O34" s="236">
        <v>50</v>
      </c>
      <c r="P34" s="236">
        <v>50</v>
      </c>
      <c r="Q34" s="10" t="s">
        <v>1381</v>
      </c>
      <c r="R34" s="237"/>
      <c r="U34" s="239"/>
    </row>
    <row r="35" spans="1:21" s="238" customFormat="1" ht="70.5" customHeight="1" x14ac:dyDescent="0.25">
      <c r="A35" s="10"/>
      <c r="B35" s="10"/>
      <c r="C35" s="10"/>
      <c r="D35" s="10"/>
      <c r="E35" s="10"/>
      <c r="F35" s="10"/>
      <c r="G35" s="10"/>
      <c r="H35" s="10" t="s">
        <v>1382</v>
      </c>
      <c r="I35" s="234"/>
      <c r="J35" s="235"/>
      <c r="K35" s="49" t="s">
        <v>1383</v>
      </c>
      <c r="L35" s="10">
        <v>100</v>
      </c>
      <c r="M35" s="236"/>
      <c r="N35" s="236"/>
      <c r="O35" s="236">
        <v>0</v>
      </c>
      <c r="P35" s="236">
        <v>0</v>
      </c>
      <c r="Q35" s="10" t="s">
        <v>1384</v>
      </c>
      <c r="R35" s="237"/>
      <c r="U35" s="239"/>
    </row>
    <row r="36" spans="1:21" s="238" customFormat="1" ht="409.5" customHeight="1" x14ac:dyDescent="0.25">
      <c r="A36" s="10"/>
      <c r="B36" s="10"/>
      <c r="C36" s="10"/>
      <c r="D36" s="10"/>
      <c r="E36" s="10"/>
      <c r="F36" s="10"/>
      <c r="G36" s="10"/>
      <c r="H36" s="10"/>
      <c r="I36" s="234"/>
      <c r="J36" s="235"/>
      <c r="K36" s="49" t="s">
        <v>1385</v>
      </c>
      <c r="L36" s="236">
        <v>86</v>
      </c>
      <c r="M36" s="236">
        <v>86</v>
      </c>
      <c r="N36" s="236"/>
      <c r="O36" s="236">
        <v>87.5</v>
      </c>
      <c r="P36" s="236">
        <v>93.5</v>
      </c>
      <c r="Q36" s="10" t="s">
        <v>1386</v>
      </c>
      <c r="R36" s="237"/>
      <c r="U36" s="239"/>
    </row>
    <row r="37" spans="1:21" x14ac:dyDescent="0.25">
      <c r="F37" s="240"/>
    </row>
    <row r="38" spans="1:21" x14ac:dyDescent="0.25">
      <c r="F38" s="240"/>
    </row>
    <row r="39" spans="1:21" x14ac:dyDescent="0.25">
      <c r="F39" s="240"/>
    </row>
    <row r="40" spans="1:21" x14ac:dyDescent="0.25">
      <c r="F40" s="240"/>
    </row>
  </sheetData>
  <sheetProtection algorithmName="SHA-512" hashValue="yZwmL30BdAQAXJKDy7xSulg/TUVmgmfcTjXXfdfkmo2NFoTwcFM+YNecSUq1JbwEqVuwVs1K6UOArfpm2n8DaQ==" saltValue="1xLxlT3DUtD4CFn+JLuoew=="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0866141732283472" right="0.35" top="0.74803149606299213" bottom="0.74803149606299213" header="0.31496062992125984" footer="0.31496062992125984"/>
  <pageSetup paperSize="14" scale="55" orientation="landscape"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41"/>
  <sheetViews>
    <sheetView topLeftCell="Q7" zoomScale="90" zoomScaleNormal="90" workbookViewId="0">
      <pane ySplit="2" topLeftCell="A9" activePane="bottomLeft" state="frozen"/>
      <selection activeCell="A7" sqref="A7"/>
      <selection pane="bottomLeft" activeCell="R11" sqref="R11"/>
    </sheetView>
  </sheetViews>
  <sheetFormatPr baseColWidth="10" defaultRowHeight="15" x14ac:dyDescent="0.25"/>
  <cols>
    <col min="1" max="1" width="9.85546875" style="1" customWidth="1"/>
    <col min="2" max="2" width="14.140625" style="1" customWidth="1"/>
    <col min="3" max="3" width="19" style="1" customWidth="1"/>
    <col min="4" max="4" width="13" style="1" customWidth="1"/>
    <col min="5" max="5" width="18.5703125" style="1" customWidth="1"/>
    <col min="6" max="6" width="12.85546875" style="1" customWidth="1"/>
    <col min="7" max="7" width="23.7109375" style="1" customWidth="1"/>
    <col min="8" max="8" width="14.140625" style="1" customWidth="1"/>
    <col min="9" max="9" width="16.140625" style="1" customWidth="1"/>
    <col min="10" max="10" width="18" style="1" customWidth="1"/>
    <col min="11" max="12" width="14.42578125" style="1" customWidth="1"/>
    <col min="13" max="13" width="12.140625" style="1" customWidth="1"/>
    <col min="14" max="14" width="15.5703125" style="1" customWidth="1"/>
    <col min="15" max="15" width="16.42578125" style="1" customWidth="1"/>
    <col min="16" max="16" width="14.140625" style="1" customWidth="1"/>
    <col min="17" max="17" width="16.28515625" style="1" customWidth="1"/>
    <col min="18" max="18" width="13.140625" style="1" customWidth="1"/>
    <col min="19" max="19" width="17.42578125" style="1" customWidth="1"/>
    <col min="20" max="20" width="29.85546875" style="1" customWidth="1"/>
    <col min="21" max="21" width="15.85546875" style="1" customWidth="1"/>
    <col min="22" max="22" width="17.42578125" style="1" customWidth="1"/>
    <col min="23" max="23" width="15.28515625" style="1" customWidth="1"/>
    <col min="24" max="24" width="16.28515625" style="1" customWidth="1"/>
    <col min="25" max="25" width="16.85546875" style="1" customWidth="1"/>
    <col min="26" max="26" width="26.7109375" style="213" customWidth="1"/>
    <col min="27" max="27" width="15.42578125" style="1" customWidth="1"/>
    <col min="28" max="28" width="13.5703125" style="1" customWidth="1"/>
    <col min="29" max="29" width="15.28515625" style="1" customWidth="1"/>
    <col min="30" max="30" width="28.140625" style="1" customWidth="1"/>
    <col min="31" max="31" width="5" style="1" customWidth="1"/>
    <col min="32" max="32" width="6.42578125" style="1" customWidth="1"/>
    <col min="33" max="33" width="5.42578125" style="1" customWidth="1"/>
    <col min="34" max="34" width="4.28515625" style="1" customWidth="1"/>
    <col min="35" max="35" width="5" style="1" customWidth="1"/>
    <col min="36" max="36" width="4.5703125" style="1" customWidth="1"/>
    <col min="37" max="37" width="4.140625" style="1" customWidth="1"/>
    <col min="38" max="38" width="5.85546875" style="1" customWidth="1"/>
    <col min="39" max="39" width="9.140625" style="1" customWidth="1"/>
    <col min="40" max="40" width="6.5703125" style="1" customWidth="1"/>
    <col min="41" max="41" width="8.85546875" style="1" customWidth="1"/>
    <col min="42" max="42" width="8.28515625" style="1" customWidth="1"/>
    <col min="43" max="44" width="11.42578125" style="1" customWidth="1"/>
    <col min="45"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c r="D5" s="24"/>
      <c r="E5" s="24"/>
      <c r="F5" s="24"/>
      <c r="G5" s="24"/>
      <c r="H5" s="24"/>
      <c r="I5" s="214"/>
      <c r="J5" s="214"/>
      <c r="K5" s="24"/>
      <c r="L5" s="214"/>
      <c r="M5" s="214"/>
      <c r="N5" s="214"/>
      <c r="O5" s="214"/>
      <c r="P5" s="214"/>
      <c r="Q5" s="215"/>
      <c r="R5" s="215"/>
      <c r="S5" s="215"/>
      <c r="W5" s="215"/>
      <c r="X5" s="215"/>
      <c r="Y5" s="215"/>
      <c r="AB5" s="215"/>
      <c r="AC5" s="215"/>
      <c r="AD5" s="215"/>
    </row>
    <row r="6" spans="1:42" x14ac:dyDescent="0.25">
      <c r="N6" s="1" t="s">
        <v>1097</v>
      </c>
    </row>
    <row r="7" spans="1:42" s="29" customFormat="1" ht="14.25"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48"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81" customHeight="1" x14ac:dyDescent="0.25">
      <c r="A9" s="192" t="s">
        <v>23</v>
      </c>
      <c r="B9" s="192" t="s">
        <v>136</v>
      </c>
      <c r="C9" s="192" t="s">
        <v>137</v>
      </c>
      <c r="D9" s="192">
        <v>211180000</v>
      </c>
      <c r="E9" s="192" t="s">
        <v>975</v>
      </c>
      <c r="F9" s="192" t="s">
        <v>976</v>
      </c>
      <c r="G9" s="192" t="s">
        <v>977</v>
      </c>
      <c r="H9" s="216">
        <v>79000000</v>
      </c>
      <c r="I9" s="216">
        <v>59000000</v>
      </c>
      <c r="J9" s="217">
        <v>59000000</v>
      </c>
      <c r="K9" s="216">
        <v>0</v>
      </c>
      <c r="L9" s="217"/>
      <c r="M9" s="217"/>
      <c r="N9" s="216">
        <f>H9+K9</f>
        <v>79000000</v>
      </c>
      <c r="O9" s="216">
        <f>I9+L9</f>
        <v>59000000</v>
      </c>
      <c r="P9" s="216">
        <f>J9+M9</f>
        <v>59000000</v>
      </c>
      <c r="Q9" s="144">
        <v>59000000</v>
      </c>
      <c r="R9" s="216">
        <v>0</v>
      </c>
      <c r="S9" s="217">
        <f>Q9+R9</f>
        <v>59000000</v>
      </c>
      <c r="T9" s="200" t="s">
        <v>1098</v>
      </c>
      <c r="U9" s="194" t="s">
        <v>316</v>
      </c>
      <c r="V9" s="206">
        <v>1</v>
      </c>
      <c r="W9" s="206"/>
      <c r="X9" s="206"/>
      <c r="Y9" s="206"/>
      <c r="Z9" s="206">
        <v>1</v>
      </c>
      <c r="AA9" s="206">
        <v>180</v>
      </c>
      <c r="AB9" s="206">
        <v>0</v>
      </c>
      <c r="AC9" s="206">
        <v>180</v>
      </c>
      <c r="AD9" s="59" t="s">
        <v>1099</v>
      </c>
      <c r="AE9" s="41"/>
      <c r="AF9" s="41"/>
      <c r="AG9" s="41"/>
      <c r="AH9" s="41"/>
      <c r="AI9" s="41"/>
      <c r="AJ9" s="41"/>
      <c r="AK9" s="41"/>
      <c r="AL9" s="41"/>
      <c r="AM9" s="41"/>
      <c r="AN9" s="41"/>
      <c r="AO9" s="41"/>
      <c r="AP9" s="41"/>
    </row>
    <row r="10" spans="1:42" ht="45" x14ac:dyDescent="0.25">
      <c r="A10" s="192"/>
      <c r="B10" s="192"/>
      <c r="C10" s="192"/>
      <c r="D10" s="206"/>
      <c r="E10" s="218"/>
      <c r="F10" s="206"/>
      <c r="G10" s="192"/>
      <c r="H10" s="217"/>
      <c r="I10" s="219"/>
      <c r="J10" s="219"/>
      <c r="K10" s="216"/>
      <c r="L10" s="219"/>
      <c r="M10" s="217"/>
      <c r="N10" s="216">
        <f t="shared" ref="N10:P70" si="0">H10+K10</f>
        <v>0</v>
      </c>
      <c r="O10" s="216">
        <f t="shared" si="0"/>
        <v>0</v>
      </c>
      <c r="P10" s="216">
        <f t="shared" si="0"/>
        <v>0</v>
      </c>
      <c r="Q10" s="219"/>
      <c r="R10" s="219"/>
      <c r="S10" s="217">
        <f t="shared" ref="S10:S73" si="1">Q10+R10</f>
        <v>0</v>
      </c>
      <c r="T10" s="194" t="s">
        <v>1100</v>
      </c>
      <c r="U10" s="194" t="s">
        <v>316</v>
      </c>
      <c r="V10" s="41">
        <v>1</v>
      </c>
      <c r="W10" s="41"/>
      <c r="X10" s="41"/>
      <c r="Y10" s="41">
        <v>0</v>
      </c>
      <c r="Z10" s="41">
        <v>1</v>
      </c>
      <c r="AA10" s="41">
        <v>90</v>
      </c>
      <c r="AB10" s="41">
        <v>0</v>
      </c>
      <c r="AC10" s="41">
        <v>90</v>
      </c>
      <c r="AD10" s="59" t="s">
        <v>1101</v>
      </c>
      <c r="AE10" s="41"/>
      <c r="AF10" s="41"/>
      <c r="AG10" s="41"/>
      <c r="AH10" s="41"/>
      <c r="AI10" s="41"/>
      <c r="AJ10" s="41"/>
      <c r="AK10" s="41"/>
      <c r="AL10" s="41"/>
      <c r="AM10" s="41"/>
      <c r="AN10" s="41" t="s">
        <v>102</v>
      </c>
      <c r="AO10" s="41" t="s">
        <v>102</v>
      </c>
      <c r="AP10" s="41" t="s">
        <v>102</v>
      </c>
    </row>
    <row r="11" spans="1:42" ht="60" x14ac:dyDescent="0.25">
      <c r="A11" s="192"/>
      <c r="B11" s="192"/>
      <c r="C11" s="192"/>
      <c r="D11" s="206"/>
      <c r="E11" s="218"/>
      <c r="F11" s="206"/>
      <c r="G11" s="192"/>
      <c r="H11" s="217"/>
      <c r="I11" s="219"/>
      <c r="J11" s="219"/>
      <c r="K11" s="217"/>
      <c r="L11" s="219"/>
      <c r="M11" s="217"/>
      <c r="N11" s="216">
        <f t="shared" si="0"/>
        <v>0</v>
      </c>
      <c r="O11" s="216">
        <f t="shared" si="0"/>
        <v>0</v>
      </c>
      <c r="P11" s="216">
        <f t="shared" si="0"/>
        <v>0</v>
      </c>
      <c r="Q11" s="219"/>
      <c r="R11" s="219"/>
      <c r="S11" s="217">
        <f t="shared" si="1"/>
        <v>0</v>
      </c>
      <c r="T11" s="194" t="s">
        <v>1102</v>
      </c>
      <c r="U11" s="194" t="s">
        <v>316</v>
      </c>
      <c r="V11" s="41">
        <v>1</v>
      </c>
      <c r="W11" s="41"/>
      <c r="X11" s="41"/>
      <c r="Y11" s="41">
        <v>0</v>
      </c>
      <c r="Z11" s="41">
        <v>1</v>
      </c>
      <c r="AA11" s="41">
        <v>90</v>
      </c>
      <c r="AB11" s="41">
        <v>0</v>
      </c>
      <c r="AC11" s="41">
        <v>90</v>
      </c>
      <c r="AD11" s="58" t="s">
        <v>1103</v>
      </c>
      <c r="AE11" s="41"/>
      <c r="AF11" s="41"/>
      <c r="AG11" s="41"/>
      <c r="AH11" s="41"/>
      <c r="AI11" s="41"/>
      <c r="AJ11" s="41"/>
      <c r="AK11" s="41"/>
      <c r="AL11" s="41"/>
      <c r="AM11" s="41"/>
      <c r="AN11" s="41" t="s">
        <v>102</v>
      </c>
      <c r="AO11" s="41" t="s">
        <v>102</v>
      </c>
      <c r="AP11" s="41" t="s">
        <v>102</v>
      </c>
    </row>
    <row r="12" spans="1:42" ht="112.5" customHeight="1" x14ac:dyDescent="0.25">
      <c r="A12" s="192" t="s">
        <v>156</v>
      </c>
      <c r="B12" s="192" t="s">
        <v>982</v>
      </c>
      <c r="C12" s="192" t="s">
        <v>983</v>
      </c>
      <c r="D12" s="192">
        <v>222310000</v>
      </c>
      <c r="E12" s="220">
        <v>2012050000047</v>
      </c>
      <c r="F12" s="192" t="s">
        <v>986</v>
      </c>
      <c r="G12" s="192" t="s">
        <v>987</v>
      </c>
      <c r="H12" s="216">
        <v>5162511608</v>
      </c>
      <c r="I12" s="216">
        <v>9960978745</v>
      </c>
      <c r="J12" s="144">
        <v>9960978745</v>
      </c>
      <c r="K12" s="216">
        <v>0</v>
      </c>
      <c r="L12" s="219"/>
      <c r="M12" s="217"/>
      <c r="N12" s="216">
        <f t="shared" si="0"/>
        <v>5162511608</v>
      </c>
      <c r="O12" s="216">
        <f t="shared" si="0"/>
        <v>9960978745</v>
      </c>
      <c r="P12" s="216">
        <f t="shared" si="0"/>
        <v>9960978745</v>
      </c>
      <c r="Q12" s="144">
        <v>9777059948</v>
      </c>
      <c r="R12" s="219"/>
      <c r="S12" s="216">
        <f t="shared" si="1"/>
        <v>9777059948</v>
      </c>
      <c r="T12" s="194" t="s">
        <v>1104</v>
      </c>
      <c r="U12" s="194" t="s">
        <v>316</v>
      </c>
      <c r="V12" s="41">
        <v>2</v>
      </c>
      <c r="W12" s="41">
        <v>2</v>
      </c>
      <c r="X12" s="41"/>
      <c r="Y12" s="41">
        <v>0</v>
      </c>
      <c r="Z12" s="41">
        <v>2</v>
      </c>
      <c r="AA12" s="41">
        <v>270</v>
      </c>
      <c r="AB12" s="41">
        <v>110</v>
      </c>
      <c r="AC12" s="41">
        <v>270</v>
      </c>
      <c r="AD12" s="58" t="s">
        <v>1105</v>
      </c>
      <c r="AE12" s="41"/>
      <c r="AF12" s="41"/>
      <c r="AG12" s="41" t="s">
        <v>102</v>
      </c>
      <c r="AH12" s="41" t="s">
        <v>102</v>
      </c>
      <c r="AI12" s="41" t="s">
        <v>102</v>
      </c>
      <c r="AJ12" s="41" t="s">
        <v>102</v>
      </c>
      <c r="AK12" s="41" t="s">
        <v>102</v>
      </c>
      <c r="AL12" s="41" t="s">
        <v>102</v>
      </c>
      <c r="AM12" s="41" t="s">
        <v>102</v>
      </c>
      <c r="AN12" s="41" t="s">
        <v>102</v>
      </c>
      <c r="AO12" s="41" t="s">
        <v>102</v>
      </c>
      <c r="AP12" s="41"/>
    </row>
    <row r="13" spans="1:42" ht="66.75" customHeight="1" x14ac:dyDescent="0.25">
      <c r="A13" s="192"/>
      <c r="B13" s="192"/>
      <c r="C13" s="192"/>
      <c r="D13" s="206"/>
      <c r="E13" s="218"/>
      <c r="F13" s="206"/>
      <c r="G13" s="192"/>
      <c r="H13" s="217"/>
      <c r="I13" s="219"/>
      <c r="J13" s="219"/>
      <c r="K13" s="217"/>
      <c r="L13" s="219"/>
      <c r="M13" s="219"/>
      <c r="N13" s="216">
        <f t="shared" si="0"/>
        <v>0</v>
      </c>
      <c r="O13" s="216">
        <f t="shared" si="0"/>
        <v>0</v>
      </c>
      <c r="P13" s="216">
        <f t="shared" si="0"/>
        <v>0</v>
      </c>
      <c r="Q13" s="219"/>
      <c r="R13" s="219"/>
      <c r="S13" s="217">
        <f t="shared" si="1"/>
        <v>0</v>
      </c>
      <c r="T13" s="194"/>
      <c r="U13" s="194" t="s">
        <v>1106</v>
      </c>
      <c r="V13" s="41">
        <v>0</v>
      </c>
      <c r="W13" s="41"/>
      <c r="X13" s="41"/>
      <c r="Y13" s="41"/>
      <c r="Z13" s="41">
        <v>1</v>
      </c>
      <c r="AA13" s="41">
        <v>60</v>
      </c>
      <c r="AB13" s="41">
        <v>60</v>
      </c>
      <c r="AC13" s="27">
        <v>60</v>
      </c>
      <c r="AD13" s="58" t="s">
        <v>1107</v>
      </c>
      <c r="AE13" s="41" t="s">
        <v>102</v>
      </c>
      <c r="AF13" s="41"/>
      <c r="AG13" s="41"/>
      <c r="AH13" s="41"/>
      <c r="AI13" s="41"/>
      <c r="AJ13" s="41"/>
      <c r="AK13" s="41"/>
      <c r="AL13" s="41"/>
      <c r="AM13" s="41"/>
      <c r="AN13" s="41"/>
      <c r="AO13" s="41"/>
      <c r="AP13" s="41"/>
    </row>
    <row r="14" spans="1:42" ht="30" x14ac:dyDescent="0.25">
      <c r="A14" s="192"/>
      <c r="B14" s="192"/>
      <c r="C14" s="192"/>
      <c r="D14" s="206"/>
      <c r="E14" s="218"/>
      <c r="F14" s="206"/>
      <c r="G14" s="192"/>
      <c r="H14" s="217"/>
      <c r="I14" s="219"/>
      <c r="J14" s="219"/>
      <c r="K14" s="217"/>
      <c r="L14" s="219"/>
      <c r="M14" s="219"/>
      <c r="N14" s="216">
        <f t="shared" si="0"/>
        <v>0</v>
      </c>
      <c r="O14" s="216">
        <f t="shared" si="0"/>
        <v>0</v>
      </c>
      <c r="P14" s="216">
        <f t="shared" si="0"/>
        <v>0</v>
      </c>
      <c r="Q14" s="219"/>
      <c r="R14" s="219"/>
      <c r="S14" s="217">
        <f t="shared" si="1"/>
        <v>0</v>
      </c>
      <c r="T14" s="194"/>
      <c r="U14" s="194" t="s">
        <v>1108</v>
      </c>
      <c r="V14" s="41">
        <v>0</v>
      </c>
      <c r="W14" s="41">
        <v>2</v>
      </c>
      <c r="X14" s="41"/>
      <c r="Y14" s="41">
        <v>2</v>
      </c>
      <c r="Z14" s="41">
        <v>2</v>
      </c>
      <c r="AA14" s="41">
        <v>10</v>
      </c>
      <c r="AB14" s="41">
        <v>10</v>
      </c>
      <c r="AC14" s="41">
        <v>10</v>
      </c>
      <c r="AD14" s="41"/>
      <c r="AE14" s="41"/>
      <c r="AF14" s="41" t="s">
        <v>102</v>
      </c>
      <c r="AG14" s="41"/>
      <c r="AH14" s="41"/>
      <c r="AI14" s="41"/>
      <c r="AJ14" s="41"/>
      <c r="AK14" s="41"/>
      <c r="AL14" s="41"/>
      <c r="AM14" s="41"/>
      <c r="AN14" s="41"/>
      <c r="AO14" s="41"/>
      <c r="AP14" s="41"/>
    </row>
    <row r="15" spans="1:42" ht="30" x14ac:dyDescent="0.25">
      <c r="A15" s="192"/>
      <c r="B15" s="192"/>
      <c r="C15" s="192"/>
      <c r="D15" s="206"/>
      <c r="E15" s="218"/>
      <c r="F15" s="206"/>
      <c r="G15" s="192"/>
      <c r="H15" s="217"/>
      <c r="I15" s="219"/>
      <c r="J15" s="219"/>
      <c r="K15" s="217"/>
      <c r="L15" s="219"/>
      <c r="M15" s="219"/>
      <c r="N15" s="216">
        <f t="shared" si="0"/>
        <v>0</v>
      </c>
      <c r="O15" s="216">
        <f t="shared" si="0"/>
        <v>0</v>
      </c>
      <c r="P15" s="216">
        <f t="shared" si="0"/>
        <v>0</v>
      </c>
      <c r="Q15" s="219"/>
      <c r="R15" s="219"/>
      <c r="S15" s="217">
        <f t="shared" si="1"/>
        <v>0</v>
      </c>
      <c r="T15" s="194"/>
      <c r="U15" s="194" t="s">
        <v>1109</v>
      </c>
      <c r="V15" s="41">
        <v>2</v>
      </c>
      <c r="W15" s="41"/>
      <c r="X15" s="41"/>
      <c r="Y15" s="41">
        <v>1</v>
      </c>
      <c r="Z15" s="41">
        <v>2</v>
      </c>
      <c r="AA15" s="41">
        <v>270</v>
      </c>
      <c r="AB15" s="41">
        <v>120</v>
      </c>
      <c r="AC15" s="41">
        <v>270</v>
      </c>
      <c r="AD15" s="41"/>
      <c r="AE15" s="41"/>
      <c r="AF15" s="41"/>
      <c r="AG15" s="41" t="s">
        <v>102</v>
      </c>
      <c r="AH15" s="41" t="s">
        <v>102</v>
      </c>
      <c r="AI15" s="41" t="s">
        <v>102</v>
      </c>
      <c r="AJ15" s="41" t="s">
        <v>102</v>
      </c>
      <c r="AK15" s="41" t="s">
        <v>102</v>
      </c>
      <c r="AL15" s="41" t="s">
        <v>102</v>
      </c>
      <c r="AM15" s="41" t="s">
        <v>102</v>
      </c>
      <c r="AN15" s="41" t="s">
        <v>102</v>
      </c>
      <c r="AO15" s="41" t="s">
        <v>102</v>
      </c>
      <c r="AP15" s="41"/>
    </row>
    <row r="16" spans="1:42" ht="105" x14ac:dyDescent="0.25">
      <c r="A16" s="192"/>
      <c r="B16" s="192"/>
      <c r="C16" s="192"/>
      <c r="D16" s="206"/>
      <c r="E16" s="218"/>
      <c r="F16" s="206"/>
      <c r="G16" s="192"/>
      <c r="H16" s="217"/>
      <c r="I16" s="219"/>
      <c r="J16" s="219"/>
      <c r="K16" s="217"/>
      <c r="L16" s="219"/>
      <c r="M16" s="219"/>
      <c r="N16" s="216">
        <f t="shared" si="0"/>
        <v>0</v>
      </c>
      <c r="O16" s="216">
        <f t="shared" si="0"/>
        <v>0</v>
      </c>
      <c r="P16" s="216">
        <f t="shared" si="0"/>
        <v>0</v>
      </c>
      <c r="Q16" s="219"/>
      <c r="R16" s="219"/>
      <c r="S16" s="217">
        <f t="shared" si="1"/>
        <v>0</v>
      </c>
      <c r="T16" s="194" t="s">
        <v>1110</v>
      </c>
      <c r="U16" s="194" t="s">
        <v>316</v>
      </c>
      <c r="V16" s="41">
        <v>4</v>
      </c>
      <c r="W16" s="41"/>
      <c r="X16" s="41"/>
      <c r="Y16" s="41">
        <v>0</v>
      </c>
      <c r="Z16" s="41">
        <v>4</v>
      </c>
      <c r="AA16" s="41">
        <v>180</v>
      </c>
      <c r="AB16" s="41">
        <v>110</v>
      </c>
      <c r="AC16" s="41">
        <v>180</v>
      </c>
      <c r="AD16" s="58" t="s">
        <v>1111</v>
      </c>
      <c r="AE16" s="41"/>
      <c r="AF16" s="41"/>
      <c r="AG16" s="41"/>
      <c r="AH16" s="41"/>
      <c r="AI16" s="41"/>
      <c r="AJ16" s="41"/>
      <c r="AK16" s="41"/>
      <c r="AL16" s="41"/>
      <c r="AM16" s="41"/>
      <c r="AN16" s="41"/>
      <c r="AO16" s="41"/>
      <c r="AP16" s="41"/>
    </row>
    <row r="17" spans="1:42" ht="66" customHeight="1" x14ac:dyDescent="0.25">
      <c r="A17" s="192"/>
      <c r="B17" s="192"/>
      <c r="C17" s="192"/>
      <c r="D17" s="206"/>
      <c r="E17" s="218"/>
      <c r="F17" s="206"/>
      <c r="G17" s="192"/>
      <c r="H17" s="217"/>
      <c r="I17" s="219"/>
      <c r="J17" s="219"/>
      <c r="K17" s="217"/>
      <c r="L17" s="219"/>
      <c r="M17" s="219"/>
      <c r="N17" s="216">
        <f t="shared" si="0"/>
        <v>0</v>
      </c>
      <c r="O17" s="217">
        <f t="shared" si="0"/>
        <v>0</v>
      </c>
      <c r="P17" s="217">
        <f t="shared" si="0"/>
        <v>0</v>
      </c>
      <c r="Q17" s="219"/>
      <c r="R17" s="219"/>
      <c r="S17" s="217">
        <f t="shared" si="1"/>
        <v>0</v>
      </c>
      <c r="T17" s="194"/>
      <c r="U17" s="194" t="s">
        <v>1106</v>
      </c>
      <c r="V17" s="41">
        <v>0</v>
      </c>
      <c r="W17" s="41"/>
      <c r="X17" s="41"/>
      <c r="Y17" s="41">
        <v>0</v>
      </c>
      <c r="Z17" s="41">
        <v>1</v>
      </c>
      <c r="AA17" s="41">
        <v>60</v>
      </c>
      <c r="AB17" s="41">
        <v>60</v>
      </c>
      <c r="AC17" s="41">
        <v>60</v>
      </c>
      <c r="AD17" s="58" t="s">
        <v>1107</v>
      </c>
      <c r="AE17" s="41" t="s">
        <v>218</v>
      </c>
      <c r="AF17" s="41"/>
      <c r="AG17" s="41"/>
      <c r="AH17" s="41"/>
      <c r="AI17" s="41"/>
      <c r="AJ17" s="41"/>
      <c r="AK17" s="41"/>
      <c r="AL17" s="41"/>
      <c r="AM17" s="41"/>
      <c r="AN17" s="41"/>
      <c r="AO17" s="41"/>
      <c r="AP17" s="41"/>
    </row>
    <row r="18" spans="1:42" ht="30" x14ac:dyDescent="0.25">
      <c r="A18" s="192"/>
      <c r="B18" s="192"/>
      <c r="C18" s="192"/>
      <c r="D18" s="206"/>
      <c r="E18" s="218"/>
      <c r="F18" s="206"/>
      <c r="G18" s="192"/>
      <c r="H18" s="217"/>
      <c r="I18" s="219"/>
      <c r="J18" s="219"/>
      <c r="K18" s="217"/>
      <c r="L18" s="219"/>
      <c r="M18" s="219"/>
      <c r="N18" s="216">
        <f t="shared" si="0"/>
        <v>0</v>
      </c>
      <c r="O18" s="217">
        <f t="shared" si="0"/>
        <v>0</v>
      </c>
      <c r="P18" s="217">
        <f t="shared" si="0"/>
        <v>0</v>
      </c>
      <c r="Q18" s="219"/>
      <c r="R18" s="219"/>
      <c r="S18" s="217">
        <f t="shared" si="1"/>
        <v>0</v>
      </c>
      <c r="T18" s="194"/>
      <c r="U18" s="194" t="s">
        <v>1108</v>
      </c>
      <c r="V18" s="41">
        <v>0</v>
      </c>
      <c r="W18" s="41"/>
      <c r="X18" s="41"/>
      <c r="Y18" s="41"/>
      <c r="Z18" s="41">
        <v>1</v>
      </c>
      <c r="AA18" s="41">
        <v>10</v>
      </c>
      <c r="AB18" s="41">
        <v>10</v>
      </c>
      <c r="AC18" s="41">
        <v>10</v>
      </c>
      <c r="AD18" s="41"/>
      <c r="AE18" s="41"/>
      <c r="AF18" s="41" t="s">
        <v>218</v>
      </c>
      <c r="AG18" s="41"/>
      <c r="AH18" s="41"/>
      <c r="AI18" s="41"/>
      <c r="AJ18" s="41"/>
      <c r="AK18" s="41"/>
      <c r="AL18" s="41"/>
      <c r="AM18" s="41"/>
      <c r="AN18" s="41"/>
      <c r="AO18" s="41"/>
      <c r="AP18" s="41"/>
    </row>
    <row r="19" spans="1:42" ht="30" x14ac:dyDescent="0.25">
      <c r="A19" s="192"/>
      <c r="B19" s="192"/>
      <c r="C19" s="192"/>
      <c r="D19" s="206"/>
      <c r="E19" s="218"/>
      <c r="F19" s="206"/>
      <c r="G19" s="192"/>
      <c r="H19" s="217"/>
      <c r="I19" s="219"/>
      <c r="J19" s="219"/>
      <c r="K19" s="217"/>
      <c r="L19" s="219"/>
      <c r="M19" s="219"/>
      <c r="N19" s="216">
        <f t="shared" si="0"/>
        <v>0</v>
      </c>
      <c r="O19" s="217">
        <f t="shared" si="0"/>
        <v>0</v>
      </c>
      <c r="P19" s="217">
        <f t="shared" si="0"/>
        <v>0</v>
      </c>
      <c r="Q19" s="219"/>
      <c r="R19" s="219"/>
      <c r="S19" s="217">
        <f t="shared" si="1"/>
        <v>0</v>
      </c>
      <c r="T19" s="194"/>
      <c r="U19" s="194" t="s">
        <v>1109</v>
      </c>
      <c r="V19" s="41">
        <v>0</v>
      </c>
      <c r="W19" s="41">
        <v>6</v>
      </c>
      <c r="X19" s="41"/>
      <c r="Y19" s="41"/>
      <c r="Z19" s="41">
        <v>4</v>
      </c>
      <c r="AA19" s="41">
        <v>180</v>
      </c>
      <c r="AB19" s="41">
        <v>80</v>
      </c>
      <c r="AC19" s="41">
        <v>180</v>
      </c>
      <c r="AD19" s="41"/>
      <c r="AE19" s="41"/>
      <c r="AF19" s="41"/>
      <c r="AG19" s="41" t="s">
        <v>102</v>
      </c>
      <c r="AH19" s="41" t="s">
        <v>102</v>
      </c>
      <c r="AI19" s="41" t="s">
        <v>102</v>
      </c>
      <c r="AJ19" s="41" t="s">
        <v>102</v>
      </c>
      <c r="AK19" s="41" t="s">
        <v>102</v>
      </c>
      <c r="AL19" s="41" t="s">
        <v>102</v>
      </c>
      <c r="AM19" s="41"/>
      <c r="AN19" s="41"/>
      <c r="AO19" s="41"/>
      <c r="AP19" s="41"/>
    </row>
    <row r="20" spans="1:42" ht="65.25" customHeight="1" x14ac:dyDescent="0.25">
      <c r="A20" s="192"/>
      <c r="B20" s="192"/>
      <c r="C20" s="192"/>
      <c r="D20" s="206"/>
      <c r="E20" s="218"/>
      <c r="F20" s="206"/>
      <c r="G20" s="192"/>
      <c r="H20" s="217"/>
      <c r="I20" s="219"/>
      <c r="J20" s="219"/>
      <c r="K20" s="217"/>
      <c r="L20" s="219"/>
      <c r="M20" s="219"/>
      <c r="N20" s="216">
        <f t="shared" si="0"/>
        <v>0</v>
      </c>
      <c r="O20" s="217">
        <f t="shared" si="0"/>
        <v>0</v>
      </c>
      <c r="P20" s="217">
        <f t="shared" si="0"/>
        <v>0</v>
      </c>
      <c r="Q20" s="219"/>
      <c r="R20" s="219"/>
      <c r="S20" s="217">
        <f t="shared" si="1"/>
        <v>0</v>
      </c>
      <c r="T20" s="194" t="s">
        <v>1112</v>
      </c>
      <c r="U20" s="194" t="s">
        <v>316</v>
      </c>
      <c r="V20" s="41">
        <v>1</v>
      </c>
      <c r="W20" s="41"/>
      <c r="X20" s="41"/>
      <c r="Y20" s="41">
        <v>0</v>
      </c>
      <c r="Z20" s="41">
        <v>1</v>
      </c>
      <c r="AA20" s="41">
        <v>60</v>
      </c>
      <c r="AB20" s="41">
        <v>60</v>
      </c>
      <c r="AC20" s="41">
        <v>60</v>
      </c>
      <c r="AD20" s="58" t="s">
        <v>1111</v>
      </c>
      <c r="AE20" s="41"/>
      <c r="AF20" s="41"/>
      <c r="AG20" s="41" t="s">
        <v>218</v>
      </c>
      <c r="AH20" s="41" t="s">
        <v>218</v>
      </c>
      <c r="AI20" s="41"/>
      <c r="AJ20" s="41"/>
      <c r="AK20" s="41"/>
      <c r="AL20" s="41"/>
      <c r="AM20" s="41"/>
      <c r="AN20" s="41"/>
      <c r="AO20" s="41"/>
      <c r="AP20" s="41"/>
    </row>
    <row r="21" spans="1:42" ht="63.75" customHeight="1" x14ac:dyDescent="0.25">
      <c r="A21" s="192"/>
      <c r="B21" s="192"/>
      <c r="C21" s="192"/>
      <c r="D21" s="206"/>
      <c r="E21" s="218"/>
      <c r="F21" s="206"/>
      <c r="G21" s="192"/>
      <c r="H21" s="217"/>
      <c r="I21" s="219"/>
      <c r="J21" s="219"/>
      <c r="K21" s="217"/>
      <c r="L21" s="219"/>
      <c r="M21" s="219"/>
      <c r="N21" s="216">
        <f t="shared" si="0"/>
        <v>0</v>
      </c>
      <c r="O21" s="217">
        <f t="shared" si="0"/>
        <v>0</v>
      </c>
      <c r="P21" s="217">
        <f t="shared" si="0"/>
        <v>0</v>
      </c>
      <c r="Q21" s="219"/>
      <c r="R21" s="219"/>
      <c r="S21" s="217">
        <f t="shared" si="1"/>
        <v>0</v>
      </c>
      <c r="T21" s="194"/>
      <c r="U21" s="194" t="s">
        <v>1106</v>
      </c>
      <c r="V21" s="41">
        <v>0</v>
      </c>
      <c r="W21" s="41"/>
      <c r="X21" s="41"/>
      <c r="Y21" s="41">
        <v>0</v>
      </c>
      <c r="Z21" s="41">
        <v>1</v>
      </c>
      <c r="AA21" s="41">
        <v>60</v>
      </c>
      <c r="AB21" s="41">
        <v>60</v>
      </c>
      <c r="AC21" s="41">
        <v>60</v>
      </c>
      <c r="AD21" s="58" t="s">
        <v>1107</v>
      </c>
      <c r="AE21" s="41" t="s">
        <v>218</v>
      </c>
      <c r="AF21" s="41"/>
      <c r="AG21" s="41"/>
      <c r="AH21" s="41"/>
      <c r="AI21" s="41"/>
      <c r="AJ21" s="41"/>
      <c r="AK21" s="41"/>
      <c r="AL21" s="41"/>
      <c r="AM21" s="41"/>
      <c r="AN21" s="41"/>
      <c r="AO21" s="41"/>
      <c r="AP21" s="41"/>
    </row>
    <row r="22" spans="1:42" ht="30" x14ac:dyDescent="0.25">
      <c r="A22" s="192"/>
      <c r="B22" s="192"/>
      <c r="C22" s="192"/>
      <c r="D22" s="206"/>
      <c r="E22" s="218"/>
      <c r="F22" s="206"/>
      <c r="G22" s="192"/>
      <c r="H22" s="217"/>
      <c r="I22" s="219"/>
      <c r="J22" s="219"/>
      <c r="K22" s="217"/>
      <c r="L22" s="219"/>
      <c r="M22" s="219"/>
      <c r="N22" s="216">
        <f t="shared" si="0"/>
        <v>0</v>
      </c>
      <c r="O22" s="217">
        <f t="shared" si="0"/>
        <v>0</v>
      </c>
      <c r="P22" s="217">
        <f t="shared" si="0"/>
        <v>0</v>
      </c>
      <c r="Q22" s="219"/>
      <c r="R22" s="219"/>
      <c r="S22" s="217">
        <f t="shared" si="1"/>
        <v>0</v>
      </c>
      <c r="T22" s="194"/>
      <c r="U22" s="194" t="s">
        <v>1108</v>
      </c>
      <c r="V22" s="41">
        <v>0</v>
      </c>
      <c r="W22" s="41"/>
      <c r="X22" s="41"/>
      <c r="Y22" s="41"/>
      <c r="Z22" s="41">
        <v>1</v>
      </c>
      <c r="AA22" s="41">
        <v>10</v>
      </c>
      <c r="AB22" s="41">
        <v>10</v>
      </c>
      <c r="AC22" s="41">
        <v>10</v>
      </c>
      <c r="AD22" s="41"/>
      <c r="AE22" s="41"/>
      <c r="AF22" s="41"/>
      <c r="AG22" s="41" t="s">
        <v>218</v>
      </c>
      <c r="AH22" s="41"/>
      <c r="AI22" s="41"/>
      <c r="AJ22" s="41"/>
      <c r="AK22" s="41"/>
      <c r="AL22" s="41"/>
      <c r="AM22" s="41"/>
      <c r="AN22" s="41"/>
      <c r="AO22" s="41"/>
      <c r="AP22" s="41"/>
    </row>
    <row r="23" spans="1:42" ht="30" x14ac:dyDescent="0.25">
      <c r="A23" s="192"/>
      <c r="B23" s="192"/>
      <c r="C23" s="192"/>
      <c r="D23" s="206"/>
      <c r="E23" s="218"/>
      <c r="F23" s="206"/>
      <c r="G23" s="192"/>
      <c r="H23" s="217"/>
      <c r="I23" s="219"/>
      <c r="J23" s="219"/>
      <c r="K23" s="217"/>
      <c r="L23" s="219"/>
      <c r="M23" s="219"/>
      <c r="N23" s="216">
        <f t="shared" si="0"/>
        <v>0</v>
      </c>
      <c r="O23" s="217">
        <f t="shared" si="0"/>
        <v>0</v>
      </c>
      <c r="P23" s="217">
        <f t="shared" si="0"/>
        <v>0</v>
      </c>
      <c r="Q23" s="219"/>
      <c r="R23" s="219"/>
      <c r="S23" s="217">
        <f t="shared" si="1"/>
        <v>0</v>
      </c>
      <c r="T23" s="194"/>
      <c r="U23" s="194" t="s">
        <v>1109</v>
      </c>
      <c r="V23" s="41">
        <v>0</v>
      </c>
      <c r="W23" s="41">
        <v>2</v>
      </c>
      <c r="X23" s="41"/>
      <c r="Y23" s="41"/>
      <c r="Z23" s="41">
        <v>1</v>
      </c>
      <c r="AA23" s="41">
        <v>60</v>
      </c>
      <c r="AB23" s="41">
        <v>52</v>
      </c>
      <c r="AC23" s="41">
        <v>60</v>
      </c>
      <c r="AD23" s="58" t="s">
        <v>1111</v>
      </c>
      <c r="AE23" s="41"/>
      <c r="AF23" s="41"/>
      <c r="AG23" s="41" t="s">
        <v>218</v>
      </c>
      <c r="AH23" s="41" t="s">
        <v>218</v>
      </c>
      <c r="AI23" s="41"/>
      <c r="AJ23" s="41"/>
      <c r="AK23" s="41"/>
      <c r="AL23" s="41"/>
      <c r="AM23" s="41"/>
      <c r="AN23" s="41"/>
      <c r="AO23" s="41"/>
      <c r="AP23" s="41"/>
    </row>
    <row r="24" spans="1:42" ht="137.25" customHeight="1" x14ac:dyDescent="0.25">
      <c r="A24" s="192"/>
      <c r="B24" s="192"/>
      <c r="C24" s="192"/>
      <c r="D24" s="206"/>
      <c r="E24" s="218"/>
      <c r="F24" s="206"/>
      <c r="G24" s="192"/>
      <c r="H24" s="217"/>
      <c r="I24" s="219"/>
      <c r="J24" s="219"/>
      <c r="K24" s="217"/>
      <c r="L24" s="219"/>
      <c r="M24" s="219"/>
      <c r="N24" s="216">
        <f t="shared" si="0"/>
        <v>0</v>
      </c>
      <c r="O24" s="217">
        <f t="shared" si="0"/>
        <v>0</v>
      </c>
      <c r="P24" s="217">
        <f t="shared" si="0"/>
        <v>0</v>
      </c>
      <c r="Q24" s="219"/>
      <c r="R24" s="219"/>
      <c r="S24" s="217">
        <f t="shared" si="1"/>
        <v>0</v>
      </c>
      <c r="T24" s="194" t="s">
        <v>1113</v>
      </c>
      <c r="U24" s="194" t="s">
        <v>316</v>
      </c>
      <c r="V24" s="41">
        <v>0</v>
      </c>
      <c r="W24" s="41">
        <v>2</v>
      </c>
      <c r="X24" s="41"/>
      <c r="Y24" s="41">
        <v>0</v>
      </c>
      <c r="Z24" s="41">
        <v>1</v>
      </c>
      <c r="AA24" s="41">
        <v>270</v>
      </c>
      <c r="AB24" s="41">
        <v>110</v>
      </c>
      <c r="AC24" s="41">
        <v>270</v>
      </c>
      <c r="AD24" s="58" t="s">
        <v>1111</v>
      </c>
      <c r="AE24" s="41"/>
      <c r="AF24" s="41"/>
      <c r="AG24" s="41" t="s">
        <v>218</v>
      </c>
      <c r="AH24" s="41" t="s">
        <v>218</v>
      </c>
      <c r="AI24" s="41" t="s">
        <v>218</v>
      </c>
      <c r="AJ24" s="41" t="s">
        <v>218</v>
      </c>
      <c r="AK24" s="41" t="s">
        <v>218</v>
      </c>
      <c r="AL24" s="41" t="s">
        <v>218</v>
      </c>
      <c r="AM24" s="41" t="s">
        <v>218</v>
      </c>
      <c r="AN24" s="41" t="s">
        <v>218</v>
      </c>
      <c r="AO24" s="41" t="s">
        <v>218</v>
      </c>
      <c r="AP24" s="41"/>
    </row>
    <row r="25" spans="1:42" ht="154.5" customHeight="1" x14ac:dyDescent="0.25">
      <c r="A25" s="192"/>
      <c r="B25" s="192"/>
      <c r="C25" s="192"/>
      <c r="D25" s="206"/>
      <c r="E25" s="218"/>
      <c r="F25" s="206"/>
      <c r="G25" s="192"/>
      <c r="H25" s="217"/>
      <c r="I25" s="219"/>
      <c r="J25" s="219"/>
      <c r="K25" s="217"/>
      <c r="L25" s="219"/>
      <c r="M25" s="219"/>
      <c r="N25" s="216">
        <f t="shared" si="0"/>
        <v>0</v>
      </c>
      <c r="O25" s="217">
        <f t="shared" si="0"/>
        <v>0</v>
      </c>
      <c r="P25" s="217">
        <f t="shared" si="0"/>
        <v>0</v>
      </c>
      <c r="Q25" s="219"/>
      <c r="R25" s="219"/>
      <c r="S25" s="217">
        <f t="shared" si="1"/>
        <v>0</v>
      </c>
      <c r="T25" s="194" t="s">
        <v>1114</v>
      </c>
      <c r="U25" s="194" t="s">
        <v>316</v>
      </c>
      <c r="V25" s="41">
        <v>0</v>
      </c>
      <c r="W25" s="41">
        <v>1</v>
      </c>
      <c r="X25" s="41"/>
      <c r="Y25" s="41">
        <v>0</v>
      </c>
      <c r="Z25" s="41">
        <v>1</v>
      </c>
      <c r="AA25" s="41">
        <v>180</v>
      </c>
      <c r="AB25" s="41">
        <v>110</v>
      </c>
      <c r="AC25" s="41">
        <v>180</v>
      </c>
      <c r="AD25" s="58" t="s">
        <v>1111</v>
      </c>
      <c r="AE25" s="41"/>
      <c r="AF25" s="41"/>
      <c r="AG25" s="41" t="s">
        <v>102</v>
      </c>
      <c r="AH25" s="41" t="s">
        <v>102</v>
      </c>
      <c r="AI25" s="41" t="s">
        <v>102</v>
      </c>
      <c r="AJ25" s="41" t="s">
        <v>102</v>
      </c>
      <c r="AK25" s="41" t="s">
        <v>102</v>
      </c>
      <c r="AL25" s="41" t="s">
        <v>102</v>
      </c>
      <c r="AM25" s="41"/>
      <c r="AN25" s="41"/>
      <c r="AO25" s="41"/>
      <c r="AP25" s="41"/>
    </row>
    <row r="26" spans="1:42" ht="114.75" customHeight="1" x14ac:dyDescent="0.25">
      <c r="A26" s="192"/>
      <c r="B26" s="192"/>
      <c r="C26" s="192"/>
      <c r="D26" s="206"/>
      <c r="E26" s="218"/>
      <c r="F26" s="206"/>
      <c r="G26" s="192"/>
      <c r="H26" s="217"/>
      <c r="I26" s="219"/>
      <c r="J26" s="219"/>
      <c r="K26" s="217"/>
      <c r="L26" s="219"/>
      <c r="M26" s="219"/>
      <c r="N26" s="216">
        <f t="shared" si="0"/>
        <v>0</v>
      </c>
      <c r="O26" s="217">
        <f t="shared" si="0"/>
        <v>0</v>
      </c>
      <c r="P26" s="217">
        <f t="shared" si="0"/>
        <v>0</v>
      </c>
      <c r="Q26" s="219"/>
      <c r="R26" s="219"/>
      <c r="S26" s="217">
        <f t="shared" si="1"/>
        <v>0</v>
      </c>
      <c r="T26" s="194" t="s">
        <v>1115</v>
      </c>
      <c r="U26" s="194" t="s">
        <v>316</v>
      </c>
      <c r="V26" s="194">
        <v>1</v>
      </c>
      <c r="W26" s="41"/>
      <c r="X26" s="41"/>
      <c r="Y26" s="194">
        <v>0</v>
      </c>
      <c r="Z26" s="41">
        <v>1</v>
      </c>
      <c r="AA26" s="194">
        <v>60</v>
      </c>
      <c r="AB26" s="194">
        <v>52</v>
      </c>
      <c r="AC26" s="93">
        <v>60</v>
      </c>
      <c r="AD26" s="58" t="s">
        <v>1111</v>
      </c>
      <c r="AE26" s="41"/>
      <c r="AF26" s="41"/>
      <c r="AG26" s="41" t="s">
        <v>218</v>
      </c>
      <c r="AH26" s="41" t="s">
        <v>218</v>
      </c>
      <c r="AI26" s="41"/>
      <c r="AJ26" s="41"/>
      <c r="AK26" s="41"/>
      <c r="AL26" s="41"/>
      <c r="AM26" s="41"/>
      <c r="AN26" s="41"/>
      <c r="AO26" s="41"/>
      <c r="AP26" s="41"/>
    </row>
    <row r="27" spans="1:42" ht="110.25" customHeight="1" x14ac:dyDescent="0.25">
      <c r="A27" s="192" t="s">
        <v>156</v>
      </c>
      <c r="B27" s="192" t="s">
        <v>982</v>
      </c>
      <c r="C27" s="192" t="s">
        <v>983</v>
      </c>
      <c r="D27" s="192">
        <v>222310000</v>
      </c>
      <c r="E27" s="220">
        <v>2012050000100</v>
      </c>
      <c r="F27" s="192" t="s">
        <v>991</v>
      </c>
      <c r="G27" s="192" t="s">
        <v>992</v>
      </c>
      <c r="H27" s="216">
        <v>359175000</v>
      </c>
      <c r="I27" s="216">
        <v>1757175000</v>
      </c>
      <c r="J27" s="144">
        <v>1937175000</v>
      </c>
      <c r="K27" s="216">
        <v>0</v>
      </c>
      <c r="L27" s="216">
        <v>92000000</v>
      </c>
      <c r="M27" s="216"/>
      <c r="N27" s="216">
        <f t="shared" si="0"/>
        <v>359175000</v>
      </c>
      <c r="O27" s="216">
        <f t="shared" si="0"/>
        <v>1849175000</v>
      </c>
      <c r="P27" s="216">
        <f t="shared" si="0"/>
        <v>1937175000</v>
      </c>
      <c r="Q27" s="144">
        <v>1919602250</v>
      </c>
      <c r="R27" s="216">
        <v>403927069</v>
      </c>
      <c r="S27" s="216">
        <f t="shared" si="1"/>
        <v>2323529319</v>
      </c>
      <c r="T27" s="194">
        <v>0</v>
      </c>
      <c r="U27" s="194" t="s">
        <v>1116</v>
      </c>
      <c r="V27" s="194">
        <v>32</v>
      </c>
      <c r="W27" s="41"/>
      <c r="X27" s="41"/>
      <c r="Y27" s="194">
        <v>20</v>
      </c>
      <c r="Z27" s="41">
        <v>32</v>
      </c>
      <c r="AA27" s="194">
        <v>32</v>
      </c>
      <c r="AB27" s="194">
        <v>32</v>
      </c>
      <c r="AC27" s="41">
        <v>32</v>
      </c>
      <c r="AD27" s="41"/>
      <c r="AE27" s="41"/>
      <c r="AF27" s="41"/>
      <c r="AG27" s="41"/>
      <c r="AH27" s="41" t="s">
        <v>218</v>
      </c>
      <c r="AI27" s="41" t="s">
        <v>218</v>
      </c>
      <c r="AJ27" s="41" t="s">
        <v>218</v>
      </c>
      <c r="AK27" s="41"/>
      <c r="AL27" s="41"/>
      <c r="AM27" s="41"/>
      <c r="AN27" s="41"/>
      <c r="AO27" s="41"/>
      <c r="AP27" s="41"/>
    </row>
    <row r="28" spans="1:42" ht="30" x14ac:dyDescent="0.25">
      <c r="A28" s="192"/>
      <c r="B28" s="192"/>
      <c r="C28" s="192"/>
      <c r="D28" s="206"/>
      <c r="E28" s="218"/>
      <c r="F28" s="206"/>
      <c r="G28" s="192"/>
      <c r="H28" s="217"/>
      <c r="I28" s="219"/>
      <c r="J28" s="219"/>
      <c r="K28" s="217"/>
      <c r="L28" s="219"/>
      <c r="M28" s="219"/>
      <c r="N28" s="216">
        <f t="shared" si="0"/>
        <v>0</v>
      </c>
      <c r="O28" s="217">
        <f t="shared" si="0"/>
        <v>0</v>
      </c>
      <c r="P28" s="217">
        <f t="shared" si="0"/>
        <v>0</v>
      </c>
      <c r="Q28" s="219"/>
      <c r="R28" s="219"/>
      <c r="S28" s="217">
        <f t="shared" si="1"/>
        <v>0</v>
      </c>
      <c r="T28" s="194" t="s">
        <v>1117</v>
      </c>
      <c r="U28" s="194" t="s">
        <v>1118</v>
      </c>
      <c r="V28" s="194">
        <v>96</v>
      </c>
      <c r="W28" s="41"/>
      <c r="X28" s="41"/>
      <c r="Y28" s="194">
        <v>50</v>
      </c>
      <c r="Z28" s="41">
        <v>96</v>
      </c>
      <c r="AA28" s="194">
        <v>0</v>
      </c>
      <c r="AB28" s="194">
        <v>6</v>
      </c>
      <c r="AC28" s="41">
        <v>6</v>
      </c>
      <c r="AD28" s="41"/>
      <c r="AE28" s="41"/>
      <c r="AF28" s="41"/>
      <c r="AG28" s="41"/>
      <c r="AH28" s="41"/>
      <c r="AI28" s="41"/>
      <c r="AJ28" s="41"/>
      <c r="AK28" s="41" t="s">
        <v>102</v>
      </c>
      <c r="AL28" s="41" t="s">
        <v>102</v>
      </c>
      <c r="AM28" s="41" t="s">
        <v>102</v>
      </c>
      <c r="AN28" s="41" t="s">
        <v>102</v>
      </c>
      <c r="AO28" s="41"/>
      <c r="AP28" s="41"/>
    </row>
    <row r="29" spans="1:42" ht="30" x14ac:dyDescent="0.25">
      <c r="A29" s="192"/>
      <c r="B29" s="192"/>
      <c r="C29" s="192"/>
      <c r="D29" s="206"/>
      <c r="E29" s="218"/>
      <c r="F29" s="206"/>
      <c r="G29" s="192"/>
      <c r="H29" s="217"/>
      <c r="I29" s="219"/>
      <c r="J29" s="219"/>
      <c r="K29" s="217"/>
      <c r="L29" s="219"/>
      <c r="M29" s="219"/>
      <c r="N29" s="216">
        <f t="shared" si="0"/>
        <v>0</v>
      </c>
      <c r="O29" s="217">
        <f t="shared" si="0"/>
        <v>0</v>
      </c>
      <c r="P29" s="217">
        <f t="shared" si="0"/>
        <v>0</v>
      </c>
      <c r="Q29" s="219"/>
      <c r="R29" s="219"/>
      <c r="S29" s="217">
        <f t="shared" si="1"/>
        <v>0</v>
      </c>
      <c r="T29" s="194" t="s">
        <v>1119</v>
      </c>
      <c r="U29" s="194" t="s">
        <v>99</v>
      </c>
      <c r="V29" s="194">
        <v>4</v>
      </c>
      <c r="W29" s="41"/>
      <c r="X29" s="41"/>
      <c r="Y29" s="194">
        <v>0</v>
      </c>
      <c r="Z29" s="41">
        <v>4</v>
      </c>
      <c r="AA29" s="194">
        <v>4</v>
      </c>
      <c r="AB29" s="41">
        <v>2</v>
      </c>
      <c r="AC29" s="41">
        <v>4</v>
      </c>
      <c r="AD29" s="221" t="s">
        <v>1120</v>
      </c>
      <c r="AE29" s="41"/>
      <c r="AF29" s="41"/>
      <c r="AG29" s="41"/>
      <c r="AH29" s="41"/>
      <c r="AI29" s="41" t="s">
        <v>218</v>
      </c>
      <c r="AJ29" s="41" t="s">
        <v>218</v>
      </c>
      <c r="AK29" s="41" t="s">
        <v>218</v>
      </c>
      <c r="AL29" s="41"/>
      <c r="AM29" s="41"/>
      <c r="AN29" s="41"/>
      <c r="AO29" s="41"/>
      <c r="AP29" s="41"/>
    </row>
    <row r="30" spans="1:42" ht="64.5" customHeight="1" x14ac:dyDescent="0.25">
      <c r="A30" s="192"/>
      <c r="B30" s="192"/>
      <c r="C30" s="192"/>
      <c r="D30" s="206"/>
      <c r="E30" s="218"/>
      <c r="F30" s="206"/>
      <c r="G30" s="192"/>
      <c r="H30" s="217"/>
      <c r="I30" s="219"/>
      <c r="J30" s="219"/>
      <c r="K30" s="217"/>
      <c r="L30" s="219"/>
      <c r="M30" s="219"/>
      <c r="N30" s="216">
        <f t="shared" si="0"/>
        <v>0</v>
      </c>
      <c r="O30" s="217">
        <f t="shared" si="0"/>
        <v>0</v>
      </c>
      <c r="P30" s="217">
        <f t="shared" si="0"/>
        <v>0</v>
      </c>
      <c r="Q30" s="219"/>
      <c r="R30" s="219"/>
      <c r="S30" s="217">
        <f t="shared" si="1"/>
        <v>0</v>
      </c>
      <c r="T30" s="194" t="s">
        <v>1121</v>
      </c>
      <c r="U30" s="194" t="s">
        <v>316</v>
      </c>
      <c r="V30" s="194">
        <v>1</v>
      </c>
      <c r="W30" s="41"/>
      <c r="X30" s="41"/>
      <c r="Y30" s="194">
        <v>1</v>
      </c>
      <c r="Z30" s="41">
        <v>1</v>
      </c>
      <c r="AA30" s="194">
        <v>240</v>
      </c>
      <c r="AB30" s="194">
        <v>120</v>
      </c>
      <c r="AC30" s="41">
        <v>240</v>
      </c>
      <c r="AD30" s="221" t="s">
        <v>1122</v>
      </c>
      <c r="AE30" s="41"/>
      <c r="AF30" s="41"/>
      <c r="AG30" s="41"/>
      <c r="AH30" s="41" t="s">
        <v>218</v>
      </c>
      <c r="AI30" s="41" t="s">
        <v>218</v>
      </c>
      <c r="AJ30" s="41" t="s">
        <v>218</v>
      </c>
      <c r="AK30" s="41" t="s">
        <v>218</v>
      </c>
      <c r="AL30" s="41" t="s">
        <v>218</v>
      </c>
      <c r="AM30" s="41" t="s">
        <v>218</v>
      </c>
      <c r="AN30" s="41" t="s">
        <v>218</v>
      </c>
      <c r="AO30" s="41" t="s">
        <v>218</v>
      </c>
      <c r="AP30" s="41"/>
    </row>
    <row r="31" spans="1:42" ht="82.5" customHeight="1" x14ac:dyDescent="0.25">
      <c r="A31" s="192"/>
      <c r="B31" s="192"/>
      <c r="C31" s="192"/>
      <c r="D31" s="206"/>
      <c r="E31" s="218"/>
      <c r="F31" s="206"/>
      <c r="G31" s="192"/>
      <c r="H31" s="217"/>
      <c r="I31" s="219"/>
      <c r="J31" s="219"/>
      <c r="K31" s="217"/>
      <c r="L31" s="219"/>
      <c r="M31" s="219"/>
      <c r="N31" s="216">
        <f t="shared" si="0"/>
        <v>0</v>
      </c>
      <c r="O31" s="217">
        <f t="shared" si="0"/>
        <v>0</v>
      </c>
      <c r="P31" s="217">
        <f t="shared" si="0"/>
        <v>0</v>
      </c>
      <c r="Q31" s="219"/>
      <c r="R31" s="219"/>
      <c r="S31" s="217">
        <f t="shared" si="1"/>
        <v>0</v>
      </c>
      <c r="T31" s="194" t="s">
        <v>1123</v>
      </c>
      <c r="U31" s="194" t="s">
        <v>316</v>
      </c>
      <c r="V31" s="194">
        <v>4</v>
      </c>
      <c r="W31" s="41"/>
      <c r="X31" s="41"/>
      <c r="Y31" s="194">
        <v>4</v>
      </c>
      <c r="Z31" s="41">
        <v>4</v>
      </c>
      <c r="AA31" s="194">
        <v>4</v>
      </c>
      <c r="AB31" s="194">
        <v>4</v>
      </c>
      <c r="AC31" s="41">
        <v>4</v>
      </c>
      <c r="AD31" s="41"/>
      <c r="AE31" s="41"/>
      <c r="AF31" s="41"/>
      <c r="AG31" s="41"/>
      <c r="AH31" s="41" t="s">
        <v>218</v>
      </c>
      <c r="AI31" s="41" t="s">
        <v>218</v>
      </c>
      <c r="AJ31" s="41"/>
      <c r="AK31" s="41"/>
      <c r="AL31" s="41"/>
      <c r="AM31" s="41" t="s">
        <v>218</v>
      </c>
      <c r="AN31" s="41" t="s">
        <v>218</v>
      </c>
      <c r="AO31" s="41"/>
      <c r="AP31" s="41"/>
    </row>
    <row r="32" spans="1:42" ht="97.5" customHeight="1" x14ac:dyDescent="0.25">
      <c r="A32" s="192"/>
      <c r="B32" s="192"/>
      <c r="C32" s="192"/>
      <c r="D32" s="206"/>
      <c r="E32" s="218"/>
      <c r="F32" s="206"/>
      <c r="G32" s="192"/>
      <c r="H32" s="217"/>
      <c r="I32" s="219"/>
      <c r="J32" s="219"/>
      <c r="K32" s="217"/>
      <c r="L32" s="219"/>
      <c r="M32" s="219"/>
      <c r="N32" s="216">
        <f t="shared" si="0"/>
        <v>0</v>
      </c>
      <c r="O32" s="217">
        <f t="shared" si="0"/>
        <v>0</v>
      </c>
      <c r="P32" s="217">
        <f t="shared" si="0"/>
        <v>0</v>
      </c>
      <c r="Q32" s="219"/>
      <c r="R32" s="219"/>
      <c r="S32" s="217">
        <f t="shared" si="1"/>
        <v>0</v>
      </c>
      <c r="T32" s="194" t="s">
        <v>1124</v>
      </c>
      <c r="U32" s="194" t="s">
        <v>225</v>
      </c>
      <c r="V32" s="194">
        <v>1</v>
      </c>
      <c r="W32" s="41"/>
      <c r="X32" s="41"/>
      <c r="Y32" s="194">
        <v>0</v>
      </c>
      <c r="Z32" s="41">
        <v>1</v>
      </c>
      <c r="AA32" s="194">
        <v>0</v>
      </c>
      <c r="AB32" s="41">
        <v>0</v>
      </c>
      <c r="AC32" s="41">
        <v>1</v>
      </c>
      <c r="AD32" s="194" t="s">
        <v>1120</v>
      </c>
      <c r="AE32" s="41"/>
      <c r="AF32" s="41"/>
      <c r="AG32" s="41"/>
      <c r="AH32" s="41"/>
      <c r="AI32" s="41"/>
      <c r="AJ32" s="41"/>
      <c r="AK32" s="41"/>
      <c r="AL32" s="41"/>
      <c r="AM32" s="41"/>
      <c r="AN32" s="41"/>
      <c r="AO32" s="41"/>
      <c r="AP32" s="41"/>
    </row>
    <row r="33" spans="1:42" ht="328.5" customHeight="1" x14ac:dyDescent="0.25">
      <c r="A33" s="192"/>
      <c r="B33" s="192"/>
      <c r="C33" s="192"/>
      <c r="D33" s="206"/>
      <c r="E33" s="218"/>
      <c r="F33" s="206"/>
      <c r="G33" s="192"/>
      <c r="H33" s="217"/>
      <c r="I33" s="219"/>
      <c r="J33" s="219"/>
      <c r="K33" s="217"/>
      <c r="L33" s="219"/>
      <c r="M33" s="219"/>
      <c r="N33" s="216">
        <f t="shared" si="0"/>
        <v>0</v>
      </c>
      <c r="O33" s="217">
        <f t="shared" si="0"/>
        <v>0</v>
      </c>
      <c r="P33" s="217">
        <f t="shared" si="0"/>
        <v>0</v>
      </c>
      <c r="Q33" s="219"/>
      <c r="R33" s="219"/>
      <c r="S33" s="217">
        <f t="shared" si="1"/>
        <v>0</v>
      </c>
      <c r="T33" s="194" t="s">
        <v>1125</v>
      </c>
      <c r="U33" s="194" t="s">
        <v>1126</v>
      </c>
      <c r="V33" s="194">
        <v>2000</v>
      </c>
      <c r="W33" s="194"/>
      <c r="X33" s="41"/>
      <c r="Y33" s="194">
        <v>2000</v>
      </c>
      <c r="Z33" s="41">
        <v>2000</v>
      </c>
      <c r="AA33" s="194">
        <v>180</v>
      </c>
      <c r="AB33" s="194">
        <v>180</v>
      </c>
      <c r="AC33" s="41">
        <v>180</v>
      </c>
      <c r="AD33" s="41"/>
      <c r="AE33" s="41" t="s">
        <v>102</v>
      </c>
      <c r="AF33" s="41" t="s">
        <v>102</v>
      </c>
      <c r="AG33" s="41" t="s">
        <v>102</v>
      </c>
      <c r="AH33" s="41" t="s">
        <v>102</v>
      </c>
      <c r="AI33" s="41" t="s">
        <v>102</v>
      </c>
      <c r="AJ33" s="41" t="s">
        <v>102</v>
      </c>
      <c r="AK33" s="41"/>
      <c r="AL33" s="41"/>
      <c r="AM33" s="41"/>
      <c r="AN33" s="41"/>
      <c r="AO33" s="41"/>
      <c r="AP33" s="41"/>
    </row>
    <row r="34" spans="1:42" ht="84" x14ac:dyDescent="0.25">
      <c r="A34" s="192" t="s">
        <v>156</v>
      </c>
      <c r="B34" s="192" t="s">
        <v>982</v>
      </c>
      <c r="C34" s="192" t="s">
        <v>994</v>
      </c>
      <c r="D34" s="192">
        <v>222420000</v>
      </c>
      <c r="E34" s="195" t="s">
        <v>996</v>
      </c>
      <c r="F34" s="192" t="s">
        <v>997</v>
      </c>
      <c r="G34" s="192" t="s">
        <v>998</v>
      </c>
      <c r="H34" s="216">
        <v>500000000</v>
      </c>
      <c r="I34" s="216">
        <v>0</v>
      </c>
      <c r="J34" s="144">
        <v>500000000</v>
      </c>
      <c r="K34" s="216">
        <v>0</v>
      </c>
      <c r="L34" s="219"/>
      <c r="M34" s="219"/>
      <c r="N34" s="216">
        <f t="shared" si="0"/>
        <v>500000000</v>
      </c>
      <c r="O34" s="217">
        <f t="shared" si="0"/>
        <v>0</v>
      </c>
      <c r="P34" s="217">
        <f t="shared" si="0"/>
        <v>500000000</v>
      </c>
      <c r="Q34" s="144">
        <v>500000000</v>
      </c>
      <c r="R34" s="219">
        <v>0</v>
      </c>
      <c r="S34" s="217">
        <f t="shared" si="1"/>
        <v>500000000</v>
      </c>
      <c r="T34" s="194">
        <v>0</v>
      </c>
      <c r="U34" s="194">
        <v>0</v>
      </c>
      <c r="V34" s="194">
        <v>0</v>
      </c>
      <c r="W34" s="41"/>
      <c r="X34" s="41"/>
      <c r="Y34" s="41"/>
      <c r="Z34" s="41"/>
      <c r="AA34" s="194">
        <v>0</v>
      </c>
      <c r="AB34" s="41"/>
      <c r="AC34" s="41"/>
      <c r="AD34" s="41"/>
      <c r="AE34" s="41"/>
      <c r="AF34" s="41"/>
      <c r="AG34" s="41"/>
      <c r="AH34" s="41"/>
      <c r="AI34" s="41"/>
      <c r="AJ34" s="41"/>
      <c r="AK34" s="41"/>
      <c r="AL34" s="41"/>
      <c r="AM34" s="41"/>
      <c r="AN34" s="41"/>
      <c r="AO34" s="41"/>
      <c r="AP34" s="41"/>
    </row>
    <row r="35" spans="1:42" ht="30" x14ac:dyDescent="0.25">
      <c r="A35" s="192">
        <v>0</v>
      </c>
      <c r="B35" s="192">
        <v>0</v>
      </c>
      <c r="C35" s="192">
        <v>0</v>
      </c>
      <c r="D35" s="206">
        <v>0</v>
      </c>
      <c r="E35" s="218">
        <v>0</v>
      </c>
      <c r="F35" s="206">
        <v>0</v>
      </c>
      <c r="G35" s="192">
        <v>0</v>
      </c>
      <c r="H35" s="217">
        <v>0</v>
      </c>
      <c r="I35" s="219"/>
      <c r="J35" s="219"/>
      <c r="K35" s="222">
        <v>500000000</v>
      </c>
      <c r="L35" s="223"/>
      <c r="M35" s="223"/>
      <c r="N35" s="224">
        <f t="shared" si="0"/>
        <v>500000000</v>
      </c>
      <c r="O35" s="217">
        <f t="shared" si="0"/>
        <v>0</v>
      </c>
      <c r="P35" s="217">
        <f t="shared" si="0"/>
        <v>0</v>
      </c>
      <c r="Q35" s="219"/>
      <c r="R35" s="219"/>
      <c r="S35" s="217">
        <f t="shared" si="1"/>
        <v>0</v>
      </c>
      <c r="T35" s="194" t="s">
        <v>1127</v>
      </c>
      <c r="U35" s="194" t="s">
        <v>1128</v>
      </c>
      <c r="V35" s="194">
        <v>0</v>
      </c>
      <c r="W35" s="194">
        <v>706</v>
      </c>
      <c r="X35" s="41"/>
      <c r="Y35" s="194">
        <v>706</v>
      </c>
      <c r="Z35" s="41"/>
      <c r="AA35" s="194">
        <v>240</v>
      </c>
      <c r="AB35" s="194">
        <v>90</v>
      </c>
      <c r="AC35" s="41">
        <v>240</v>
      </c>
      <c r="AD35" s="41"/>
      <c r="AE35" s="41"/>
      <c r="AF35" s="41"/>
      <c r="AG35" s="41" t="s">
        <v>102</v>
      </c>
      <c r="AH35" s="41" t="s">
        <v>102</v>
      </c>
      <c r="AI35" s="41" t="s">
        <v>102</v>
      </c>
      <c r="AJ35" s="41"/>
      <c r="AK35" s="41" t="s">
        <v>102</v>
      </c>
      <c r="AL35" s="41" t="s">
        <v>102</v>
      </c>
      <c r="AM35" s="41" t="s">
        <v>102</v>
      </c>
      <c r="AN35" s="41" t="s">
        <v>102</v>
      </c>
      <c r="AO35" s="41" t="s">
        <v>102</v>
      </c>
      <c r="AP35" s="41"/>
    </row>
    <row r="36" spans="1:42" ht="120" x14ac:dyDescent="0.25">
      <c r="A36" s="192"/>
      <c r="B36" s="192"/>
      <c r="C36" s="192"/>
      <c r="D36" s="206"/>
      <c r="E36" s="218"/>
      <c r="F36" s="206"/>
      <c r="G36" s="192"/>
      <c r="H36" s="217"/>
      <c r="I36" s="219"/>
      <c r="J36" s="219"/>
      <c r="K36" s="217"/>
      <c r="L36" s="219"/>
      <c r="M36" s="219"/>
      <c r="N36" s="216">
        <f t="shared" si="0"/>
        <v>0</v>
      </c>
      <c r="O36" s="217">
        <f t="shared" si="0"/>
        <v>0</v>
      </c>
      <c r="P36" s="217">
        <f t="shared" si="0"/>
        <v>0</v>
      </c>
      <c r="Q36" s="219"/>
      <c r="R36" s="219"/>
      <c r="S36" s="217">
        <f t="shared" si="1"/>
        <v>0</v>
      </c>
      <c r="T36" s="194" t="s">
        <v>1129</v>
      </c>
      <c r="U36" s="194" t="s">
        <v>1130</v>
      </c>
      <c r="V36" s="196">
        <v>10000000000</v>
      </c>
      <c r="W36" s="41"/>
      <c r="X36" s="41">
        <f>62029000-6214000000</f>
        <v>-6151971000</v>
      </c>
      <c r="Y36" s="196">
        <v>6214000000</v>
      </c>
      <c r="Z36" s="41">
        <v>62029000000</v>
      </c>
      <c r="AA36" s="194">
        <v>360</v>
      </c>
      <c r="AB36" s="194">
        <v>90</v>
      </c>
      <c r="AC36" s="41">
        <v>360</v>
      </c>
      <c r="AD36" s="41">
        <v>90</v>
      </c>
      <c r="AE36" s="41" t="s">
        <v>218</v>
      </c>
      <c r="AF36" s="41" t="s">
        <v>102</v>
      </c>
      <c r="AG36" s="41" t="s">
        <v>102</v>
      </c>
      <c r="AH36" s="41" t="s">
        <v>102</v>
      </c>
      <c r="AI36" s="41" t="s">
        <v>102</v>
      </c>
      <c r="AJ36" s="41" t="s">
        <v>102</v>
      </c>
      <c r="AK36" s="41" t="s">
        <v>102</v>
      </c>
      <c r="AL36" s="41" t="s">
        <v>102</v>
      </c>
      <c r="AM36" s="41" t="s">
        <v>102</v>
      </c>
      <c r="AN36" s="41" t="s">
        <v>102</v>
      </c>
      <c r="AO36" s="41" t="s">
        <v>102</v>
      </c>
      <c r="AP36" s="41" t="s">
        <v>102</v>
      </c>
    </row>
    <row r="37" spans="1:42" ht="84" x14ac:dyDescent="0.25">
      <c r="A37" s="192" t="s">
        <v>156</v>
      </c>
      <c r="B37" s="192" t="s">
        <v>982</v>
      </c>
      <c r="C37" s="192" t="s">
        <v>994</v>
      </c>
      <c r="D37" s="192">
        <v>222420000</v>
      </c>
      <c r="E37" s="192" t="s">
        <v>1001</v>
      </c>
      <c r="F37" s="192" t="s">
        <v>1002</v>
      </c>
      <c r="G37" s="192" t="s">
        <v>1003</v>
      </c>
      <c r="H37" s="216">
        <v>100085000</v>
      </c>
      <c r="I37" s="216">
        <v>0</v>
      </c>
      <c r="J37" s="144">
        <v>100085000</v>
      </c>
      <c r="K37" s="216">
        <v>0</v>
      </c>
      <c r="L37" s="219"/>
      <c r="M37" s="219"/>
      <c r="N37" s="216">
        <f t="shared" si="0"/>
        <v>100085000</v>
      </c>
      <c r="O37" s="216">
        <f t="shared" si="0"/>
        <v>0</v>
      </c>
      <c r="P37" s="216">
        <f t="shared" si="0"/>
        <v>100085000</v>
      </c>
      <c r="Q37" s="144">
        <v>100085000</v>
      </c>
      <c r="R37" s="219"/>
      <c r="S37" s="216">
        <f t="shared" si="1"/>
        <v>100085000</v>
      </c>
      <c r="T37" s="194" t="s">
        <v>1004</v>
      </c>
      <c r="U37" s="194" t="s">
        <v>316</v>
      </c>
      <c r="V37" s="194">
        <v>360</v>
      </c>
      <c r="W37" s="41"/>
      <c r="X37" s="41"/>
      <c r="Y37" s="194">
        <v>0</v>
      </c>
      <c r="Z37" s="41">
        <v>1675</v>
      </c>
      <c r="AA37" s="194">
        <v>300</v>
      </c>
      <c r="AB37" s="194">
        <v>0</v>
      </c>
      <c r="AC37" s="41">
        <v>300</v>
      </c>
      <c r="AD37" s="196" t="s">
        <v>1131</v>
      </c>
      <c r="AE37" s="41"/>
      <c r="AF37" s="41"/>
      <c r="AG37" s="41"/>
      <c r="AH37" s="41"/>
      <c r="AI37" s="41"/>
      <c r="AJ37" s="41"/>
      <c r="AK37" s="41"/>
      <c r="AL37" s="41"/>
      <c r="AM37" s="41"/>
      <c r="AN37" s="41"/>
      <c r="AO37" s="41"/>
      <c r="AP37" s="41"/>
    </row>
    <row r="38" spans="1:42" ht="84" x14ac:dyDescent="0.25">
      <c r="A38" s="192" t="s">
        <v>156</v>
      </c>
      <c r="B38" s="192" t="s">
        <v>982</v>
      </c>
      <c r="C38" s="192" t="s">
        <v>1006</v>
      </c>
      <c r="D38" s="192">
        <v>222720000</v>
      </c>
      <c r="E38" s="192" t="s">
        <v>1008</v>
      </c>
      <c r="F38" s="192" t="s">
        <v>1009</v>
      </c>
      <c r="G38" s="192" t="s">
        <v>1010</v>
      </c>
      <c r="H38" s="216">
        <v>635350000</v>
      </c>
      <c r="I38" s="216">
        <v>651350000</v>
      </c>
      <c r="J38" s="144">
        <v>651350000</v>
      </c>
      <c r="K38" s="217">
        <v>0</v>
      </c>
      <c r="L38" s="216">
        <v>153133462</v>
      </c>
      <c r="M38" s="219"/>
      <c r="N38" s="216">
        <f t="shared" si="0"/>
        <v>635350000</v>
      </c>
      <c r="O38" s="216">
        <f t="shared" si="0"/>
        <v>804483462</v>
      </c>
      <c r="P38" s="216">
        <f t="shared" si="0"/>
        <v>651350000</v>
      </c>
      <c r="Q38" s="144">
        <v>628847800</v>
      </c>
      <c r="R38" s="216">
        <v>4023783462</v>
      </c>
      <c r="S38" s="216">
        <f t="shared" si="1"/>
        <v>4652631262</v>
      </c>
      <c r="T38" s="194"/>
      <c r="U38" s="194">
        <v>0</v>
      </c>
      <c r="V38" s="194">
        <v>0</v>
      </c>
      <c r="W38" s="41"/>
      <c r="X38" s="41"/>
      <c r="Y38" s="41"/>
      <c r="Z38" s="41"/>
      <c r="AA38" s="194">
        <v>0</v>
      </c>
      <c r="AB38" s="41"/>
      <c r="AC38" s="41">
        <v>0</v>
      </c>
      <c r="AD38" s="41"/>
      <c r="AE38" s="41"/>
      <c r="AF38" s="41"/>
      <c r="AG38" s="41"/>
      <c r="AH38" s="41"/>
      <c r="AI38" s="41"/>
      <c r="AJ38" s="41"/>
      <c r="AK38" s="41"/>
      <c r="AL38" s="41"/>
      <c r="AM38" s="41"/>
      <c r="AN38" s="41"/>
      <c r="AO38" s="41"/>
      <c r="AP38" s="41"/>
    </row>
    <row r="39" spans="1:42" ht="190.5" customHeight="1" x14ac:dyDescent="0.25">
      <c r="A39" s="192"/>
      <c r="B39" s="192"/>
      <c r="C39" s="192"/>
      <c r="D39" s="206"/>
      <c r="E39" s="218"/>
      <c r="F39" s="206"/>
      <c r="G39" s="192"/>
      <c r="H39" s="217"/>
      <c r="I39" s="219"/>
      <c r="J39" s="219"/>
      <c r="K39" s="217"/>
      <c r="L39" s="219"/>
      <c r="M39" s="219"/>
      <c r="N39" s="216">
        <f t="shared" si="0"/>
        <v>0</v>
      </c>
      <c r="O39" s="217">
        <f t="shared" si="0"/>
        <v>0</v>
      </c>
      <c r="P39" s="217">
        <f t="shared" si="0"/>
        <v>0</v>
      </c>
      <c r="Q39" s="219"/>
      <c r="R39" s="219"/>
      <c r="S39" s="217">
        <f t="shared" si="1"/>
        <v>0</v>
      </c>
      <c r="T39" s="194" t="s">
        <v>1132</v>
      </c>
      <c r="U39" s="194">
        <v>0</v>
      </c>
      <c r="V39" s="10">
        <v>0</v>
      </c>
      <c r="W39" s="41"/>
      <c r="X39" s="41"/>
      <c r="Y39" s="10">
        <v>0</v>
      </c>
      <c r="Z39" s="41">
        <v>1</v>
      </c>
      <c r="AA39" s="10">
        <v>0</v>
      </c>
      <c r="AB39" s="10">
        <v>0</v>
      </c>
      <c r="AC39" s="41">
        <v>180</v>
      </c>
      <c r="AD39" s="10" t="s">
        <v>1131</v>
      </c>
      <c r="AE39" s="41"/>
      <c r="AF39" s="41"/>
      <c r="AG39" s="41"/>
      <c r="AH39" s="41"/>
      <c r="AI39" s="41"/>
      <c r="AJ39" s="41"/>
      <c r="AK39" s="41"/>
      <c r="AL39" s="41"/>
      <c r="AM39" s="41"/>
      <c r="AN39" s="41"/>
      <c r="AO39" s="41"/>
      <c r="AP39" s="41"/>
    </row>
    <row r="40" spans="1:42" ht="30" x14ac:dyDescent="0.25">
      <c r="A40" s="192"/>
      <c r="B40" s="192"/>
      <c r="C40" s="192"/>
      <c r="D40" s="206"/>
      <c r="E40" s="218"/>
      <c r="F40" s="206"/>
      <c r="G40" s="192"/>
      <c r="H40" s="217"/>
      <c r="I40" s="219"/>
      <c r="J40" s="219"/>
      <c r="K40" s="217"/>
      <c r="L40" s="219"/>
      <c r="M40" s="219"/>
      <c r="N40" s="216">
        <f t="shared" si="0"/>
        <v>0</v>
      </c>
      <c r="O40" s="217">
        <f t="shared" si="0"/>
        <v>0</v>
      </c>
      <c r="P40" s="217">
        <f t="shared" si="0"/>
        <v>0</v>
      </c>
      <c r="Q40" s="219"/>
      <c r="R40" s="219"/>
      <c r="S40" s="217">
        <f t="shared" si="1"/>
        <v>0</v>
      </c>
      <c r="T40" s="194" t="s">
        <v>1133</v>
      </c>
      <c r="U40" s="194" t="s">
        <v>1134</v>
      </c>
      <c r="V40" s="10">
        <v>200</v>
      </c>
      <c r="W40" s="41"/>
      <c r="X40" s="41"/>
      <c r="Y40" s="10">
        <v>0</v>
      </c>
      <c r="Z40" s="41">
        <v>200</v>
      </c>
      <c r="AA40" s="10">
        <v>300</v>
      </c>
      <c r="AB40" s="10">
        <v>0</v>
      </c>
      <c r="AC40" s="41">
        <v>300</v>
      </c>
      <c r="AD40" s="10" t="s">
        <v>1135</v>
      </c>
      <c r="AE40" s="41"/>
      <c r="AF40" s="41"/>
      <c r="AG40" s="41" t="s">
        <v>102</v>
      </c>
      <c r="AH40" s="41" t="s">
        <v>102</v>
      </c>
      <c r="AI40" s="41" t="s">
        <v>102</v>
      </c>
      <c r="AJ40" s="41" t="s">
        <v>102</v>
      </c>
      <c r="AK40" s="41" t="s">
        <v>102</v>
      </c>
      <c r="AL40" s="41" t="s">
        <v>102</v>
      </c>
      <c r="AM40" s="41" t="s">
        <v>102</v>
      </c>
      <c r="AN40" s="41" t="s">
        <v>102</v>
      </c>
      <c r="AO40" s="41" t="s">
        <v>102</v>
      </c>
      <c r="AP40" s="41" t="s">
        <v>102</v>
      </c>
    </row>
    <row r="41" spans="1:42" ht="45" x14ac:dyDescent="0.25">
      <c r="A41" s="192"/>
      <c r="B41" s="192"/>
      <c r="C41" s="192"/>
      <c r="D41" s="206"/>
      <c r="E41" s="218"/>
      <c r="F41" s="206"/>
      <c r="G41" s="192"/>
      <c r="H41" s="217"/>
      <c r="I41" s="219"/>
      <c r="J41" s="219"/>
      <c r="K41" s="217"/>
      <c r="L41" s="219"/>
      <c r="M41" s="219"/>
      <c r="N41" s="216">
        <f t="shared" si="0"/>
        <v>0</v>
      </c>
      <c r="O41" s="217">
        <f t="shared" si="0"/>
        <v>0</v>
      </c>
      <c r="P41" s="217">
        <f t="shared" si="0"/>
        <v>0</v>
      </c>
      <c r="Q41" s="219"/>
      <c r="R41" s="219"/>
      <c r="S41" s="217">
        <f t="shared" si="1"/>
        <v>0</v>
      </c>
      <c r="T41" s="194" t="s">
        <v>1136</v>
      </c>
      <c r="U41" s="194" t="s">
        <v>1134</v>
      </c>
      <c r="V41" s="10">
        <v>1</v>
      </c>
      <c r="W41" s="41"/>
      <c r="X41" s="41"/>
      <c r="Y41" s="10">
        <v>0</v>
      </c>
      <c r="Z41" s="41">
        <v>1</v>
      </c>
      <c r="AA41" s="10">
        <v>210</v>
      </c>
      <c r="AB41" s="10">
        <v>0</v>
      </c>
      <c r="AC41" s="41">
        <v>210</v>
      </c>
      <c r="AD41" s="10" t="s">
        <v>1135</v>
      </c>
      <c r="AE41" s="41"/>
      <c r="AF41" s="41"/>
      <c r="AG41" s="41"/>
      <c r="AH41" s="41"/>
      <c r="AI41" s="41" t="s">
        <v>102</v>
      </c>
      <c r="AJ41" s="41" t="s">
        <v>102</v>
      </c>
      <c r="AK41" s="41" t="s">
        <v>102</v>
      </c>
      <c r="AL41" s="41" t="s">
        <v>102</v>
      </c>
      <c r="AM41" s="41" t="s">
        <v>102</v>
      </c>
      <c r="AN41" s="41" t="s">
        <v>102</v>
      </c>
      <c r="AO41" s="41" t="s">
        <v>102</v>
      </c>
      <c r="AP41" s="41"/>
    </row>
    <row r="42" spans="1:42" ht="30" x14ac:dyDescent="0.25">
      <c r="A42" s="192"/>
      <c r="B42" s="192"/>
      <c r="C42" s="192"/>
      <c r="D42" s="206"/>
      <c r="E42" s="218"/>
      <c r="F42" s="206"/>
      <c r="G42" s="192"/>
      <c r="H42" s="217"/>
      <c r="I42" s="219"/>
      <c r="J42" s="219"/>
      <c r="K42" s="217"/>
      <c r="L42" s="219"/>
      <c r="M42" s="219"/>
      <c r="N42" s="216">
        <f t="shared" si="0"/>
        <v>0</v>
      </c>
      <c r="O42" s="217">
        <f t="shared" si="0"/>
        <v>0</v>
      </c>
      <c r="P42" s="217">
        <f t="shared" si="0"/>
        <v>0</v>
      </c>
      <c r="Q42" s="219"/>
      <c r="R42" s="219"/>
      <c r="S42" s="217">
        <f t="shared" si="1"/>
        <v>0</v>
      </c>
      <c r="T42" s="194" t="s">
        <v>1137</v>
      </c>
      <c r="U42" s="194" t="s">
        <v>316</v>
      </c>
      <c r="V42" s="10">
        <v>200</v>
      </c>
      <c r="W42" s="41"/>
      <c r="X42" s="41"/>
      <c r="Y42" s="10">
        <v>0</v>
      </c>
      <c r="Z42" s="41">
        <v>200</v>
      </c>
      <c r="AA42" s="10">
        <v>240</v>
      </c>
      <c r="AB42" s="10">
        <v>0</v>
      </c>
      <c r="AC42" s="41">
        <v>240</v>
      </c>
      <c r="AD42" s="10" t="s">
        <v>1135</v>
      </c>
      <c r="AE42" s="41"/>
      <c r="AF42" s="41"/>
      <c r="AG42" s="41"/>
      <c r="AH42" s="41"/>
      <c r="AI42" s="41" t="s">
        <v>102</v>
      </c>
      <c r="AJ42" s="41" t="s">
        <v>102</v>
      </c>
      <c r="AK42" s="41" t="s">
        <v>102</v>
      </c>
      <c r="AL42" s="41" t="s">
        <v>102</v>
      </c>
      <c r="AM42" s="41" t="s">
        <v>102</v>
      </c>
      <c r="AN42" s="41" t="s">
        <v>102</v>
      </c>
      <c r="AO42" s="41" t="s">
        <v>102</v>
      </c>
      <c r="AP42" s="41" t="s">
        <v>102</v>
      </c>
    </row>
    <row r="43" spans="1:42" ht="30" x14ac:dyDescent="0.25">
      <c r="A43" s="192"/>
      <c r="B43" s="192"/>
      <c r="C43" s="192"/>
      <c r="D43" s="206"/>
      <c r="E43" s="218"/>
      <c r="F43" s="206"/>
      <c r="G43" s="192"/>
      <c r="H43" s="217"/>
      <c r="I43" s="219"/>
      <c r="J43" s="219"/>
      <c r="K43" s="217"/>
      <c r="L43" s="219"/>
      <c r="M43" s="219"/>
      <c r="N43" s="216">
        <f t="shared" si="0"/>
        <v>0</v>
      </c>
      <c r="O43" s="217">
        <f t="shared" si="0"/>
        <v>0</v>
      </c>
      <c r="P43" s="217">
        <f t="shared" si="0"/>
        <v>0</v>
      </c>
      <c r="Q43" s="219"/>
      <c r="R43" s="219"/>
      <c r="S43" s="217">
        <f t="shared" si="1"/>
        <v>0</v>
      </c>
      <c r="T43" s="194" t="s">
        <v>1138</v>
      </c>
      <c r="U43" s="194" t="s">
        <v>316</v>
      </c>
      <c r="V43" s="10">
        <v>4</v>
      </c>
      <c r="W43" s="41"/>
      <c r="X43" s="41"/>
      <c r="Y43" s="41"/>
      <c r="Z43" s="41">
        <v>4</v>
      </c>
      <c r="AA43" s="10">
        <v>240</v>
      </c>
      <c r="AB43" s="41"/>
      <c r="AC43" s="41">
        <v>240</v>
      </c>
      <c r="AD43" s="10" t="s">
        <v>1139</v>
      </c>
      <c r="AE43" s="41"/>
      <c r="AF43" s="41"/>
      <c r="AG43" s="41"/>
      <c r="AH43" s="41"/>
      <c r="AI43" s="41" t="s">
        <v>102</v>
      </c>
      <c r="AJ43" s="41" t="s">
        <v>102</v>
      </c>
      <c r="AK43" s="41" t="s">
        <v>102</v>
      </c>
      <c r="AL43" s="41" t="s">
        <v>102</v>
      </c>
      <c r="AM43" s="41" t="s">
        <v>102</v>
      </c>
      <c r="AN43" s="41" t="s">
        <v>102</v>
      </c>
      <c r="AO43" s="41" t="s">
        <v>102</v>
      </c>
      <c r="AP43" s="41" t="s">
        <v>102</v>
      </c>
    </row>
    <row r="44" spans="1:42" ht="132.75" customHeight="1" x14ac:dyDescent="0.25">
      <c r="A44" s="192"/>
      <c r="B44" s="192"/>
      <c r="C44" s="192"/>
      <c r="D44" s="206"/>
      <c r="E44" s="218"/>
      <c r="F44" s="206"/>
      <c r="G44" s="192"/>
      <c r="H44" s="217"/>
      <c r="I44" s="219"/>
      <c r="J44" s="219"/>
      <c r="K44" s="217"/>
      <c r="L44" s="219"/>
      <c r="M44" s="219"/>
      <c r="N44" s="216">
        <f t="shared" si="0"/>
        <v>0</v>
      </c>
      <c r="O44" s="217">
        <f t="shared" si="0"/>
        <v>0</v>
      </c>
      <c r="P44" s="217">
        <f t="shared" si="0"/>
        <v>0</v>
      </c>
      <c r="Q44" s="219"/>
      <c r="R44" s="219"/>
      <c r="S44" s="217">
        <f t="shared" si="1"/>
        <v>0</v>
      </c>
      <c r="T44" s="194" t="s">
        <v>1140</v>
      </c>
      <c r="U44" s="194" t="s">
        <v>316</v>
      </c>
      <c r="V44" s="10">
        <v>700</v>
      </c>
      <c r="W44" s="10">
        <v>2306</v>
      </c>
      <c r="X44" s="41"/>
      <c r="Y44" s="10">
        <v>0</v>
      </c>
      <c r="Z44" s="41">
        <v>700</v>
      </c>
      <c r="AA44" s="10">
        <v>200</v>
      </c>
      <c r="AB44" s="10">
        <v>120</v>
      </c>
      <c r="AC44" s="41">
        <v>200</v>
      </c>
      <c r="AD44" s="194" t="s">
        <v>1141</v>
      </c>
      <c r="AE44" s="41"/>
      <c r="AF44" s="41"/>
      <c r="AG44" s="41" t="s">
        <v>102</v>
      </c>
      <c r="AH44" s="41" t="s">
        <v>102</v>
      </c>
      <c r="AI44" s="41" t="s">
        <v>102</v>
      </c>
      <c r="AJ44" s="41" t="s">
        <v>102</v>
      </c>
      <c r="AK44" s="41" t="s">
        <v>102</v>
      </c>
      <c r="AL44" s="41" t="s">
        <v>102</v>
      </c>
      <c r="AM44" s="41" t="s">
        <v>102</v>
      </c>
      <c r="AN44" s="41" t="s">
        <v>102</v>
      </c>
      <c r="AO44" s="41" t="s">
        <v>102</v>
      </c>
      <c r="AP44" s="41"/>
    </row>
    <row r="45" spans="1:42" ht="85.5" customHeight="1" x14ac:dyDescent="0.25">
      <c r="A45" s="192"/>
      <c r="B45" s="192"/>
      <c r="C45" s="192"/>
      <c r="D45" s="206"/>
      <c r="E45" s="218"/>
      <c r="F45" s="206"/>
      <c r="G45" s="192"/>
      <c r="H45" s="217"/>
      <c r="I45" s="219"/>
      <c r="J45" s="219"/>
      <c r="K45" s="217"/>
      <c r="L45" s="219"/>
      <c r="M45" s="219"/>
      <c r="N45" s="216">
        <f t="shared" si="0"/>
        <v>0</v>
      </c>
      <c r="O45" s="217">
        <f t="shared" si="0"/>
        <v>0</v>
      </c>
      <c r="P45" s="217">
        <f t="shared" si="0"/>
        <v>0</v>
      </c>
      <c r="Q45" s="219"/>
      <c r="R45" s="219"/>
      <c r="S45" s="217">
        <f t="shared" si="1"/>
        <v>0</v>
      </c>
      <c r="T45" s="194" t="s">
        <v>1142</v>
      </c>
      <c r="U45" s="194" t="s">
        <v>316</v>
      </c>
      <c r="V45" s="10">
        <v>57</v>
      </c>
      <c r="W45" s="41"/>
      <c r="X45" s="41"/>
      <c r="Y45" s="10">
        <v>0</v>
      </c>
      <c r="Z45" s="41">
        <v>57</v>
      </c>
      <c r="AA45" s="10">
        <v>120</v>
      </c>
      <c r="AB45" s="10">
        <v>0</v>
      </c>
      <c r="AC45" s="41">
        <v>120</v>
      </c>
      <c r="AD45" s="194" t="s">
        <v>1143</v>
      </c>
      <c r="AE45" s="41"/>
      <c r="AF45" s="41"/>
      <c r="AG45" s="41"/>
      <c r="AH45" s="41"/>
      <c r="AI45" s="41"/>
      <c r="AJ45" s="41"/>
      <c r="AK45" s="41" t="s">
        <v>102</v>
      </c>
      <c r="AL45" s="41" t="s">
        <v>102</v>
      </c>
      <c r="AM45" s="41" t="s">
        <v>102</v>
      </c>
      <c r="AN45" s="41" t="s">
        <v>102</v>
      </c>
      <c r="AO45" s="41"/>
      <c r="AP45" s="41"/>
    </row>
    <row r="46" spans="1:42" ht="118.5" customHeight="1" x14ac:dyDescent="0.25">
      <c r="A46" s="192"/>
      <c r="B46" s="192"/>
      <c r="C46" s="192"/>
      <c r="D46" s="206"/>
      <c r="E46" s="218"/>
      <c r="F46" s="206"/>
      <c r="G46" s="192"/>
      <c r="H46" s="217"/>
      <c r="I46" s="219"/>
      <c r="J46" s="219"/>
      <c r="K46" s="217"/>
      <c r="L46" s="219"/>
      <c r="M46" s="219"/>
      <c r="N46" s="216">
        <f t="shared" si="0"/>
        <v>0</v>
      </c>
      <c r="O46" s="217">
        <f t="shared" si="0"/>
        <v>0</v>
      </c>
      <c r="P46" s="217">
        <f t="shared" si="0"/>
        <v>0</v>
      </c>
      <c r="Q46" s="219"/>
      <c r="R46" s="219"/>
      <c r="S46" s="217">
        <f t="shared" si="1"/>
        <v>0</v>
      </c>
      <c r="T46" s="194" t="s">
        <v>1144</v>
      </c>
      <c r="U46" s="194" t="s">
        <v>316</v>
      </c>
      <c r="V46" s="10">
        <v>9</v>
      </c>
      <c r="W46" s="10">
        <v>4</v>
      </c>
      <c r="X46" s="41"/>
      <c r="Y46" s="10">
        <v>0</v>
      </c>
      <c r="Z46" s="41">
        <v>9</v>
      </c>
      <c r="AA46" s="10">
        <v>200</v>
      </c>
      <c r="AB46" s="10">
        <v>0</v>
      </c>
      <c r="AC46" s="41">
        <v>200</v>
      </c>
      <c r="AD46" s="194" t="s">
        <v>1141</v>
      </c>
      <c r="AE46" s="41"/>
      <c r="AF46" s="41"/>
      <c r="AG46" s="41"/>
      <c r="AH46" s="41" t="s">
        <v>102</v>
      </c>
      <c r="AI46" s="41" t="s">
        <v>102</v>
      </c>
      <c r="AJ46" s="41" t="s">
        <v>102</v>
      </c>
      <c r="AK46" s="41" t="s">
        <v>102</v>
      </c>
      <c r="AL46" s="41" t="s">
        <v>102</v>
      </c>
      <c r="AM46" s="41" t="s">
        <v>102</v>
      </c>
      <c r="AN46" s="41" t="s">
        <v>102</v>
      </c>
      <c r="AO46" s="41" t="s">
        <v>102</v>
      </c>
      <c r="AP46" s="41"/>
    </row>
    <row r="47" spans="1:42" ht="110.25" customHeight="1" x14ac:dyDescent="0.25">
      <c r="A47" s="192"/>
      <c r="B47" s="192"/>
      <c r="C47" s="192"/>
      <c r="D47" s="206"/>
      <c r="E47" s="218"/>
      <c r="F47" s="206"/>
      <c r="G47" s="192"/>
      <c r="H47" s="217"/>
      <c r="I47" s="219"/>
      <c r="J47" s="219"/>
      <c r="K47" s="217"/>
      <c r="L47" s="219"/>
      <c r="M47" s="219"/>
      <c r="N47" s="216">
        <f t="shared" si="0"/>
        <v>0</v>
      </c>
      <c r="O47" s="217">
        <f t="shared" si="0"/>
        <v>0</v>
      </c>
      <c r="P47" s="217">
        <f t="shared" si="0"/>
        <v>0</v>
      </c>
      <c r="Q47" s="219"/>
      <c r="R47" s="219"/>
      <c r="S47" s="217">
        <f t="shared" si="1"/>
        <v>0</v>
      </c>
      <c r="T47" s="194" t="s">
        <v>1145</v>
      </c>
      <c r="U47" s="194" t="s">
        <v>316</v>
      </c>
      <c r="V47" s="10">
        <v>4</v>
      </c>
      <c r="W47" s="10"/>
      <c r="X47" s="41"/>
      <c r="Y47" s="10">
        <v>0</v>
      </c>
      <c r="Z47" s="41">
        <v>4</v>
      </c>
      <c r="AA47" s="10">
        <v>240</v>
      </c>
      <c r="AB47" s="10">
        <v>120</v>
      </c>
      <c r="AC47" s="41">
        <v>240</v>
      </c>
      <c r="AD47" s="194" t="s">
        <v>1141</v>
      </c>
      <c r="AE47" s="41"/>
      <c r="AF47" s="41"/>
      <c r="AG47" s="41" t="s">
        <v>102</v>
      </c>
      <c r="AH47" s="41" t="s">
        <v>102</v>
      </c>
      <c r="AI47" s="41" t="s">
        <v>102</v>
      </c>
      <c r="AJ47" s="41" t="s">
        <v>102</v>
      </c>
      <c r="AK47" s="41" t="s">
        <v>102</v>
      </c>
      <c r="AL47" s="41" t="s">
        <v>102</v>
      </c>
      <c r="AM47" s="41" t="s">
        <v>102</v>
      </c>
      <c r="AN47" s="41" t="s">
        <v>102</v>
      </c>
      <c r="AO47" s="41" t="s">
        <v>102</v>
      </c>
      <c r="AP47" s="41"/>
    </row>
    <row r="48" spans="1:42" ht="60" customHeight="1" x14ac:dyDescent="0.25">
      <c r="A48" s="192"/>
      <c r="B48" s="192"/>
      <c r="C48" s="192"/>
      <c r="D48" s="206"/>
      <c r="E48" s="218"/>
      <c r="F48" s="206"/>
      <c r="G48" s="192"/>
      <c r="H48" s="217"/>
      <c r="I48" s="219"/>
      <c r="J48" s="219"/>
      <c r="K48" s="217"/>
      <c r="L48" s="219"/>
      <c r="M48" s="219"/>
      <c r="N48" s="216">
        <f t="shared" si="0"/>
        <v>0</v>
      </c>
      <c r="O48" s="217">
        <f t="shared" si="0"/>
        <v>0</v>
      </c>
      <c r="P48" s="217">
        <f t="shared" si="0"/>
        <v>0</v>
      </c>
      <c r="Q48" s="219"/>
      <c r="R48" s="219"/>
      <c r="S48" s="217">
        <f t="shared" si="1"/>
        <v>0</v>
      </c>
      <c r="T48" s="194" t="s">
        <v>1146</v>
      </c>
      <c r="U48" s="194" t="s">
        <v>1147</v>
      </c>
      <c r="V48" s="10">
        <v>1</v>
      </c>
      <c r="W48" s="10"/>
      <c r="X48" s="41"/>
      <c r="Y48" s="10">
        <v>0</v>
      </c>
      <c r="Z48" s="41">
        <v>1</v>
      </c>
      <c r="AA48" s="10">
        <v>300</v>
      </c>
      <c r="AB48" s="10">
        <v>120</v>
      </c>
      <c r="AC48" s="41">
        <v>300</v>
      </c>
      <c r="AD48" s="194" t="s">
        <v>1135</v>
      </c>
      <c r="AE48" s="41"/>
      <c r="AF48" s="41"/>
      <c r="AG48" s="41" t="s">
        <v>102</v>
      </c>
      <c r="AH48" s="41" t="s">
        <v>102</v>
      </c>
      <c r="AI48" s="41" t="s">
        <v>102</v>
      </c>
      <c r="AJ48" s="41" t="s">
        <v>102</v>
      </c>
      <c r="AK48" s="41" t="s">
        <v>102</v>
      </c>
      <c r="AL48" s="41" t="s">
        <v>102</v>
      </c>
      <c r="AM48" s="41" t="s">
        <v>102</v>
      </c>
      <c r="AN48" s="41" t="s">
        <v>102</v>
      </c>
      <c r="AO48" s="41" t="s">
        <v>102</v>
      </c>
      <c r="AP48" s="41" t="s">
        <v>102</v>
      </c>
    </row>
    <row r="49" spans="1:42" ht="126.75" customHeight="1" x14ac:dyDescent="0.25">
      <c r="A49" s="192"/>
      <c r="B49" s="192"/>
      <c r="C49" s="192"/>
      <c r="D49" s="206"/>
      <c r="E49" s="218"/>
      <c r="F49" s="206"/>
      <c r="G49" s="192"/>
      <c r="H49" s="217"/>
      <c r="I49" s="219"/>
      <c r="J49" s="219"/>
      <c r="K49" s="217"/>
      <c r="L49" s="219"/>
      <c r="M49" s="219"/>
      <c r="N49" s="216">
        <f t="shared" si="0"/>
        <v>0</v>
      </c>
      <c r="O49" s="217">
        <f t="shared" si="0"/>
        <v>0</v>
      </c>
      <c r="P49" s="217">
        <f t="shared" si="0"/>
        <v>0</v>
      </c>
      <c r="Q49" s="219"/>
      <c r="R49" s="219"/>
      <c r="S49" s="217">
        <f t="shared" si="1"/>
        <v>0</v>
      </c>
      <c r="T49" s="194" t="s">
        <v>1148</v>
      </c>
      <c r="U49" s="194" t="s">
        <v>1149</v>
      </c>
      <c r="V49" s="10">
        <v>1</v>
      </c>
      <c r="W49" s="10"/>
      <c r="X49" s="41"/>
      <c r="Y49" s="10"/>
      <c r="Z49" s="41">
        <v>1</v>
      </c>
      <c r="AA49" s="10">
        <v>300</v>
      </c>
      <c r="AB49" s="10">
        <v>120</v>
      </c>
      <c r="AC49" s="41">
        <v>300</v>
      </c>
      <c r="AD49" s="194" t="s">
        <v>1150</v>
      </c>
      <c r="AE49" s="41"/>
      <c r="AF49" s="41"/>
      <c r="AG49" s="41"/>
      <c r="AH49" s="41"/>
      <c r="AI49" s="41"/>
      <c r="AJ49" s="41"/>
      <c r="AK49" s="41"/>
      <c r="AL49" s="41"/>
      <c r="AM49" s="41"/>
      <c r="AN49" s="41"/>
      <c r="AO49" s="41"/>
      <c r="AP49" s="41"/>
    </row>
    <row r="50" spans="1:42" ht="75" x14ac:dyDescent="0.25">
      <c r="A50" s="192"/>
      <c r="B50" s="192"/>
      <c r="C50" s="192"/>
      <c r="D50" s="206"/>
      <c r="E50" s="218"/>
      <c r="F50" s="206"/>
      <c r="G50" s="192"/>
      <c r="H50" s="217"/>
      <c r="I50" s="219"/>
      <c r="J50" s="219"/>
      <c r="K50" s="217"/>
      <c r="L50" s="219"/>
      <c r="M50" s="219"/>
      <c r="N50" s="216">
        <f t="shared" si="0"/>
        <v>0</v>
      </c>
      <c r="O50" s="217">
        <f t="shared" si="0"/>
        <v>0</v>
      </c>
      <c r="P50" s="217">
        <f t="shared" si="0"/>
        <v>0</v>
      </c>
      <c r="Q50" s="219"/>
      <c r="R50" s="219"/>
      <c r="S50" s="217">
        <f t="shared" si="1"/>
        <v>0</v>
      </c>
      <c r="T50" s="194" t="s">
        <v>1151</v>
      </c>
      <c r="U50" s="194" t="s">
        <v>1152</v>
      </c>
      <c r="V50" s="10">
        <v>1</v>
      </c>
      <c r="W50" s="41"/>
      <c r="X50" s="41"/>
      <c r="Y50" s="10">
        <v>0</v>
      </c>
      <c r="Z50" s="41">
        <v>1</v>
      </c>
      <c r="AA50" s="10">
        <v>300</v>
      </c>
      <c r="AB50" s="10">
        <v>120</v>
      </c>
      <c r="AC50" s="41">
        <v>300</v>
      </c>
      <c r="AD50" s="194" t="s">
        <v>1153</v>
      </c>
      <c r="AE50" s="41"/>
      <c r="AF50" s="41"/>
      <c r="AG50" s="41" t="s">
        <v>102</v>
      </c>
      <c r="AH50" s="41" t="s">
        <v>102</v>
      </c>
      <c r="AI50" s="41" t="s">
        <v>102</v>
      </c>
      <c r="AJ50" s="41" t="s">
        <v>102</v>
      </c>
      <c r="AK50" s="41" t="s">
        <v>102</v>
      </c>
      <c r="AL50" s="41" t="s">
        <v>102</v>
      </c>
      <c r="AM50" s="41" t="s">
        <v>102</v>
      </c>
      <c r="AN50" s="41" t="s">
        <v>102</v>
      </c>
      <c r="AO50" s="41" t="s">
        <v>102</v>
      </c>
      <c r="AP50" s="41" t="s">
        <v>102</v>
      </c>
    </row>
    <row r="51" spans="1:42" ht="47.25" customHeight="1" x14ac:dyDescent="0.25">
      <c r="A51" s="192"/>
      <c r="B51" s="192"/>
      <c r="C51" s="192"/>
      <c r="D51" s="206"/>
      <c r="E51" s="218"/>
      <c r="F51" s="206"/>
      <c r="G51" s="192"/>
      <c r="H51" s="217"/>
      <c r="I51" s="219"/>
      <c r="J51" s="219"/>
      <c r="K51" s="217"/>
      <c r="L51" s="219"/>
      <c r="M51" s="219"/>
      <c r="N51" s="216">
        <f t="shared" si="0"/>
        <v>0</v>
      </c>
      <c r="O51" s="217">
        <f t="shared" si="0"/>
        <v>0</v>
      </c>
      <c r="P51" s="217">
        <f t="shared" si="0"/>
        <v>0</v>
      </c>
      <c r="Q51" s="219"/>
      <c r="R51" s="219"/>
      <c r="S51" s="217">
        <f t="shared" si="1"/>
        <v>0</v>
      </c>
      <c r="T51" s="194" t="s">
        <v>1154</v>
      </c>
      <c r="U51" s="194" t="s">
        <v>1155</v>
      </c>
      <c r="V51" s="10">
        <v>1</v>
      </c>
      <c r="W51" s="41"/>
      <c r="X51" s="41"/>
      <c r="Y51" s="10">
        <v>0</v>
      </c>
      <c r="Z51" s="41">
        <v>1</v>
      </c>
      <c r="AA51" s="10">
        <v>300</v>
      </c>
      <c r="AB51" s="10">
        <v>120</v>
      </c>
      <c r="AC51" s="41">
        <v>300</v>
      </c>
      <c r="AD51" s="194" t="s">
        <v>1135</v>
      </c>
      <c r="AE51" s="41"/>
      <c r="AF51" s="41"/>
      <c r="AG51" s="41" t="s">
        <v>102</v>
      </c>
      <c r="AH51" s="41" t="s">
        <v>102</v>
      </c>
      <c r="AI51" s="41" t="s">
        <v>102</v>
      </c>
      <c r="AJ51" s="41" t="s">
        <v>102</v>
      </c>
      <c r="AK51" s="41" t="s">
        <v>102</v>
      </c>
      <c r="AL51" s="41" t="s">
        <v>102</v>
      </c>
      <c r="AM51" s="41" t="s">
        <v>102</v>
      </c>
      <c r="AN51" s="41" t="s">
        <v>102</v>
      </c>
      <c r="AO51" s="41" t="s">
        <v>102</v>
      </c>
      <c r="AP51" s="41" t="s">
        <v>102</v>
      </c>
    </row>
    <row r="52" spans="1:42" ht="45" x14ac:dyDescent="0.25">
      <c r="A52" s="192"/>
      <c r="B52" s="192"/>
      <c r="C52" s="192"/>
      <c r="D52" s="206"/>
      <c r="E52" s="218"/>
      <c r="F52" s="206"/>
      <c r="G52" s="192"/>
      <c r="H52" s="217"/>
      <c r="I52" s="219"/>
      <c r="J52" s="219"/>
      <c r="K52" s="217"/>
      <c r="L52" s="219"/>
      <c r="M52" s="219"/>
      <c r="N52" s="216">
        <f t="shared" si="0"/>
        <v>0</v>
      </c>
      <c r="O52" s="217">
        <f t="shared" si="0"/>
        <v>0</v>
      </c>
      <c r="P52" s="217">
        <f t="shared" si="0"/>
        <v>0</v>
      </c>
      <c r="Q52" s="219"/>
      <c r="R52" s="219"/>
      <c r="S52" s="217">
        <f t="shared" si="1"/>
        <v>0</v>
      </c>
      <c r="T52" s="194" t="s">
        <v>1156</v>
      </c>
      <c r="U52" s="194" t="s">
        <v>1155</v>
      </c>
      <c r="V52" s="10">
        <v>1</v>
      </c>
      <c r="W52" s="41"/>
      <c r="X52" s="41"/>
      <c r="Y52" s="10">
        <v>0</v>
      </c>
      <c r="Z52" s="41">
        <v>1</v>
      </c>
      <c r="AA52" s="10">
        <v>300</v>
      </c>
      <c r="AB52" s="10">
        <v>120</v>
      </c>
      <c r="AC52" s="41">
        <v>300</v>
      </c>
      <c r="AD52" s="194" t="s">
        <v>1135</v>
      </c>
      <c r="AE52" s="41"/>
      <c r="AF52" s="41"/>
      <c r="AG52" s="41" t="s">
        <v>102</v>
      </c>
      <c r="AH52" s="41" t="s">
        <v>102</v>
      </c>
      <c r="AI52" s="41" t="s">
        <v>102</v>
      </c>
      <c r="AJ52" s="41" t="s">
        <v>102</v>
      </c>
      <c r="AK52" s="41" t="s">
        <v>102</v>
      </c>
      <c r="AL52" s="41" t="s">
        <v>102</v>
      </c>
      <c r="AM52" s="41" t="s">
        <v>102</v>
      </c>
      <c r="AN52" s="41" t="s">
        <v>102</v>
      </c>
      <c r="AO52" s="41" t="s">
        <v>102</v>
      </c>
      <c r="AP52" s="41" t="s">
        <v>102</v>
      </c>
    </row>
    <row r="53" spans="1:42" ht="74.25" customHeight="1" x14ac:dyDescent="0.25">
      <c r="A53" s="192"/>
      <c r="B53" s="192"/>
      <c r="C53" s="192"/>
      <c r="D53" s="206"/>
      <c r="E53" s="218"/>
      <c r="F53" s="206"/>
      <c r="G53" s="192"/>
      <c r="H53" s="217"/>
      <c r="I53" s="219"/>
      <c r="J53" s="219"/>
      <c r="K53" s="217"/>
      <c r="L53" s="219"/>
      <c r="M53" s="219"/>
      <c r="N53" s="216">
        <f t="shared" si="0"/>
        <v>0</v>
      </c>
      <c r="O53" s="217">
        <f t="shared" si="0"/>
        <v>0</v>
      </c>
      <c r="P53" s="217">
        <f t="shared" si="0"/>
        <v>0</v>
      </c>
      <c r="Q53" s="219"/>
      <c r="R53" s="219"/>
      <c r="S53" s="217">
        <f t="shared" si="1"/>
        <v>0</v>
      </c>
      <c r="T53" s="194" t="s">
        <v>1157</v>
      </c>
      <c r="U53" s="194" t="s">
        <v>1155</v>
      </c>
      <c r="V53" s="10">
        <v>1</v>
      </c>
      <c r="W53" s="41"/>
      <c r="X53" s="41"/>
      <c r="Y53" s="10">
        <v>0</v>
      </c>
      <c r="Z53" s="41">
        <v>1</v>
      </c>
      <c r="AA53" s="10">
        <v>300</v>
      </c>
      <c r="AB53" s="10">
        <v>120</v>
      </c>
      <c r="AC53" s="41">
        <v>300</v>
      </c>
      <c r="AD53" s="194" t="s">
        <v>1135</v>
      </c>
      <c r="AE53" s="41"/>
      <c r="AF53" s="41"/>
      <c r="AG53" s="41" t="s">
        <v>102</v>
      </c>
      <c r="AH53" s="41" t="s">
        <v>102</v>
      </c>
      <c r="AI53" s="41" t="s">
        <v>102</v>
      </c>
      <c r="AJ53" s="41" t="s">
        <v>102</v>
      </c>
      <c r="AK53" s="41" t="s">
        <v>102</v>
      </c>
      <c r="AL53" s="41" t="s">
        <v>102</v>
      </c>
      <c r="AM53" s="41" t="s">
        <v>102</v>
      </c>
      <c r="AN53" s="41" t="s">
        <v>102</v>
      </c>
      <c r="AO53" s="41" t="s">
        <v>102</v>
      </c>
      <c r="AP53" s="41" t="s">
        <v>102</v>
      </c>
    </row>
    <row r="54" spans="1:42" ht="75" x14ac:dyDescent="0.25">
      <c r="A54" s="192"/>
      <c r="B54" s="192"/>
      <c r="C54" s="192"/>
      <c r="D54" s="206"/>
      <c r="E54" s="218"/>
      <c r="F54" s="206"/>
      <c r="G54" s="192"/>
      <c r="H54" s="217"/>
      <c r="I54" s="219"/>
      <c r="J54" s="219"/>
      <c r="K54" s="217"/>
      <c r="L54" s="219"/>
      <c r="M54" s="219"/>
      <c r="N54" s="216">
        <f t="shared" si="0"/>
        <v>0</v>
      </c>
      <c r="O54" s="217">
        <f t="shared" si="0"/>
        <v>0</v>
      </c>
      <c r="P54" s="217">
        <f t="shared" si="0"/>
        <v>0</v>
      </c>
      <c r="Q54" s="219"/>
      <c r="R54" s="219"/>
      <c r="S54" s="217">
        <f t="shared" si="1"/>
        <v>0</v>
      </c>
      <c r="T54" s="194" t="s">
        <v>1158</v>
      </c>
      <c r="U54" s="194" t="s">
        <v>1155</v>
      </c>
      <c r="V54" s="10">
        <v>1</v>
      </c>
      <c r="W54" s="41"/>
      <c r="X54" s="41"/>
      <c r="Y54" s="10">
        <v>0</v>
      </c>
      <c r="Z54" s="41">
        <v>1</v>
      </c>
      <c r="AA54" s="10">
        <v>300</v>
      </c>
      <c r="AB54" s="10">
        <v>120</v>
      </c>
      <c r="AC54" s="41">
        <v>300</v>
      </c>
      <c r="AD54" s="194" t="s">
        <v>1135</v>
      </c>
      <c r="AE54" s="41"/>
      <c r="AF54" s="41"/>
      <c r="AG54" s="41"/>
      <c r="AH54" s="41"/>
      <c r="AI54" s="41"/>
      <c r="AJ54" s="41"/>
      <c r="AK54" s="41"/>
      <c r="AL54" s="41"/>
      <c r="AM54" s="41"/>
      <c r="AN54" s="41"/>
      <c r="AO54" s="41"/>
      <c r="AP54" s="41"/>
    </row>
    <row r="55" spans="1:42" ht="60" x14ac:dyDescent="0.25">
      <c r="A55" s="192"/>
      <c r="B55" s="192"/>
      <c r="C55" s="192"/>
      <c r="D55" s="206"/>
      <c r="E55" s="218"/>
      <c r="F55" s="206"/>
      <c r="G55" s="192"/>
      <c r="H55" s="217"/>
      <c r="I55" s="219"/>
      <c r="J55" s="219"/>
      <c r="K55" s="217"/>
      <c r="L55" s="219"/>
      <c r="M55" s="219"/>
      <c r="N55" s="216">
        <f t="shared" si="0"/>
        <v>0</v>
      </c>
      <c r="O55" s="217">
        <f t="shared" si="0"/>
        <v>0</v>
      </c>
      <c r="P55" s="217">
        <f t="shared" si="0"/>
        <v>0</v>
      </c>
      <c r="Q55" s="219"/>
      <c r="R55" s="219"/>
      <c r="S55" s="217">
        <f t="shared" si="1"/>
        <v>0</v>
      </c>
      <c r="T55" s="194" t="s">
        <v>1159</v>
      </c>
      <c r="U55" s="194" t="s">
        <v>1155</v>
      </c>
      <c r="V55" s="10">
        <v>1</v>
      </c>
      <c r="W55" s="41"/>
      <c r="X55" s="41"/>
      <c r="Y55" s="10">
        <v>0</v>
      </c>
      <c r="Z55" s="41">
        <v>1</v>
      </c>
      <c r="AA55" s="10">
        <v>300</v>
      </c>
      <c r="AB55" s="10">
        <v>120</v>
      </c>
      <c r="AC55" s="41">
        <v>300</v>
      </c>
      <c r="AD55" s="194" t="s">
        <v>1135</v>
      </c>
      <c r="AE55" s="41"/>
      <c r="AF55" s="41"/>
      <c r="AG55" s="41"/>
      <c r="AH55" s="41"/>
      <c r="AI55" s="41"/>
      <c r="AJ55" s="41"/>
      <c r="AK55" s="41"/>
      <c r="AL55" s="41"/>
      <c r="AM55" s="41"/>
      <c r="AN55" s="41"/>
      <c r="AO55" s="41"/>
      <c r="AP55" s="41"/>
    </row>
    <row r="56" spans="1:42" ht="60" x14ac:dyDescent="0.25">
      <c r="A56" s="192"/>
      <c r="B56" s="192"/>
      <c r="C56" s="192"/>
      <c r="D56" s="206"/>
      <c r="E56" s="218"/>
      <c r="F56" s="206"/>
      <c r="G56" s="192"/>
      <c r="H56" s="217"/>
      <c r="I56" s="219"/>
      <c r="J56" s="219"/>
      <c r="K56" s="217"/>
      <c r="L56" s="219"/>
      <c r="M56" s="219"/>
      <c r="N56" s="216">
        <f t="shared" si="0"/>
        <v>0</v>
      </c>
      <c r="O56" s="217">
        <f t="shared" si="0"/>
        <v>0</v>
      </c>
      <c r="P56" s="217">
        <f t="shared" si="0"/>
        <v>0</v>
      </c>
      <c r="Q56" s="219"/>
      <c r="R56" s="219"/>
      <c r="S56" s="217">
        <f t="shared" si="1"/>
        <v>0</v>
      </c>
      <c r="T56" s="194" t="s">
        <v>1160</v>
      </c>
      <c r="U56" s="194" t="s">
        <v>1155</v>
      </c>
      <c r="V56" s="10">
        <v>1</v>
      </c>
      <c r="W56" s="41"/>
      <c r="X56" s="41"/>
      <c r="Y56" s="10">
        <v>0</v>
      </c>
      <c r="Z56" s="41">
        <v>1</v>
      </c>
      <c r="AA56" s="10">
        <v>300</v>
      </c>
      <c r="AB56" s="10">
        <v>120</v>
      </c>
      <c r="AC56" s="41">
        <v>300</v>
      </c>
      <c r="AD56" s="194" t="s">
        <v>1135</v>
      </c>
      <c r="AE56" s="41"/>
      <c r="AF56" s="41"/>
      <c r="AG56" s="41"/>
      <c r="AH56" s="41"/>
      <c r="AI56" s="41"/>
      <c r="AJ56" s="41"/>
      <c r="AK56" s="41"/>
      <c r="AL56" s="41"/>
      <c r="AM56" s="41"/>
      <c r="AN56" s="41"/>
      <c r="AO56" s="41"/>
      <c r="AP56" s="41"/>
    </row>
    <row r="57" spans="1:42" ht="126.75" customHeight="1" x14ac:dyDescent="0.25">
      <c r="A57" s="192"/>
      <c r="B57" s="192"/>
      <c r="C57" s="192"/>
      <c r="D57" s="206"/>
      <c r="E57" s="218"/>
      <c r="F57" s="206"/>
      <c r="G57" s="192"/>
      <c r="H57" s="217"/>
      <c r="I57" s="219"/>
      <c r="J57" s="219"/>
      <c r="K57" s="217"/>
      <c r="L57" s="219"/>
      <c r="M57" s="219"/>
      <c r="N57" s="216">
        <f t="shared" si="0"/>
        <v>0</v>
      </c>
      <c r="O57" s="217">
        <f t="shared" si="0"/>
        <v>0</v>
      </c>
      <c r="P57" s="217">
        <f t="shared" si="0"/>
        <v>0</v>
      </c>
      <c r="Q57" s="219"/>
      <c r="R57" s="219"/>
      <c r="S57" s="217"/>
      <c r="T57" s="194" t="s">
        <v>1161</v>
      </c>
      <c r="U57" s="194" t="s">
        <v>1155</v>
      </c>
      <c r="V57" s="10">
        <v>1</v>
      </c>
      <c r="W57" s="41"/>
      <c r="X57" s="41"/>
      <c r="Y57" s="10"/>
      <c r="Z57" s="41">
        <v>1</v>
      </c>
      <c r="AA57" s="10">
        <v>300</v>
      </c>
      <c r="AB57" s="10">
        <v>0</v>
      </c>
      <c r="AC57" s="41">
        <v>300</v>
      </c>
      <c r="AD57" s="194" t="s">
        <v>1162</v>
      </c>
      <c r="AE57" s="41"/>
      <c r="AF57" s="41"/>
      <c r="AG57" s="41"/>
      <c r="AH57" s="41"/>
      <c r="AI57" s="41"/>
      <c r="AJ57" s="41"/>
      <c r="AK57" s="41"/>
      <c r="AL57" s="41"/>
      <c r="AM57" s="41"/>
      <c r="AN57" s="41"/>
      <c r="AO57" s="41"/>
      <c r="AP57" s="41"/>
    </row>
    <row r="58" spans="1:42" ht="126.75" customHeight="1" x14ac:dyDescent="0.25">
      <c r="A58" s="192"/>
      <c r="B58" s="192"/>
      <c r="C58" s="192"/>
      <c r="D58" s="206"/>
      <c r="E58" s="218"/>
      <c r="F58" s="206"/>
      <c r="G58" s="192"/>
      <c r="H58" s="217"/>
      <c r="I58" s="219"/>
      <c r="J58" s="219"/>
      <c r="K58" s="217"/>
      <c r="L58" s="219"/>
      <c r="M58" s="219"/>
      <c r="N58" s="216"/>
      <c r="O58" s="217"/>
      <c r="P58" s="217"/>
      <c r="Q58" s="219"/>
      <c r="R58" s="219"/>
      <c r="S58" s="217"/>
      <c r="T58" s="194" t="s">
        <v>1163</v>
      </c>
      <c r="U58" s="194" t="s">
        <v>1155</v>
      </c>
      <c r="V58" s="10">
        <v>1</v>
      </c>
      <c r="W58" s="41"/>
      <c r="X58" s="41"/>
      <c r="Y58" s="10">
        <v>0</v>
      </c>
      <c r="Z58" s="10">
        <v>1</v>
      </c>
      <c r="AA58" s="10">
        <v>300</v>
      </c>
      <c r="AB58" s="10">
        <v>120</v>
      </c>
      <c r="AC58" s="41">
        <v>300</v>
      </c>
      <c r="AD58" s="194" t="s">
        <v>1135</v>
      </c>
      <c r="AE58" s="41"/>
      <c r="AF58" s="41"/>
      <c r="AG58" s="41"/>
      <c r="AH58" s="41"/>
      <c r="AI58" s="41"/>
      <c r="AJ58" s="41"/>
      <c r="AK58" s="41"/>
      <c r="AL58" s="41"/>
      <c r="AM58" s="41"/>
      <c r="AN58" s="41"/>
      <c r="AO58" s="41"/>
      <c r="AP58" s="41"/>
    </row>
    <row r="59" spans="1:42" ht="126.75" customHeight="1" x14ac:dyDescent="0.25">
      <c r="A59" s="192"/>
      <c r="B59" s="192"/>
      <c r="C59" s="192"/>
      <c r="D59" s="206"/>
      <c r="E59" s="218"/>
      <c r="F59" s="206"/>
      <c r="G59" s="192"/>
      <c r="H59" s="217"/>
      <c r="I59" s="219"/>
      <c r="J59" s="219"/>
      <c r="K59" s="217"/>
      <c r="L59" s="219"/>
      <c r="M59" s="219"/>
      <c r="N59" s="216"/>
      <c r="O59" s="217"/>
      <c r="P59" s="217"/>
      <c r="Q59" s="219"/>
      <c r="R59" s="219"/>
      <c r="S59" s="217"/>
      <c r="T59" s="194" t="s">
        <v>1164</v>
      </c>
      <c r="U59" s="194" t="s">
        <v>1155</v>
      </c>
      <c r="V59" s="10">
        <v>1</v>
      </c>
      <c r="W59" s="41"/>
      <c r="X59" s="41"/>
      <c r="Y59" s="10">
        <v>0</v>
      </c>
      <c r="Z59" s="10">
        <v>1</v>
      </c>
      <c r="AA59" s="10">
        <v>300</v>
      </c>
      <c r="AB59" s="10">
        <v>120</v>
      </c>
      <c r="AC59" s="41">
        <v>300</v>
      </c>
      <c r="AD59" s="194" t="s">
        <v>1135</v>
      </c>
      <c r="AE59" s="41"/>
      <c r="AF59" s="41"/>
      <c r="AG59" s="41"/>
      <c r="AH59" s="41"/>
      <c r="AI59" s="41"/>
      <c r="AJ59" s="41"/>
      <c r="AK59" s="41"/>
      <c r="AL59" s="41"/>
      <c r="AM59" s="41"/>
      <c r="AN59" s="41"/>
      <c r="AO59" s="41"/>
      <c r="AP59" s="41"/>
    </row>
    <row r="60" spans="1:42" ht="45" x14ac:dyDescent="0.25">
      <c r="A60" s="192"/>
      <c r="B60" s="192"/>
      <c r="C60" s="192"/>
      <c r="D60" s="206"/>
      <c r="E60" s="218"/>
      <c r="F60" s="206"/>
      <c r="G60" s="192"/>
      <c r="H60" s="217"/>
      <c r="I60" s="219"/>
      <c r="J60" s="219"/>
      <c r="K60" s="217"/>
      <c r="L60" s="219"/>
      <c r="M60" s="219"/>
      <c r="N60" s="216">
        <f t="shared" si="0"/>
        <v>0</v>
      </c>
      <c r="O60" s="217">
        <f t="shared" si="0"/>
        <v>0</v>
      </c>
      <c r="P60" s="217">
        <f t="shared" si="0"/>
        <v>0</v>
      </c>
      <c r="Q60" s="219"/>
      <c r="R60" s="219"/>
      <c r="S60" s="217">
        <f t="shared" si="1"/>
        <v>0</v>
      </c>
      <c r="T60" s="194" t="s">
        <v>1165</v>
      </c>
      <c r="U60" s="194" t="s">
        <v>1155</v>
      </c>
      <c r="V60" s="10">
        <v>1</v>
      </c>
      <c r="W60" s="41"/>
      <c r="X60" s="41"/>
      <c r="Y60" s="10">
        <v>0</v>
      </c>
      <c r="Z60" s="10">
        <v>1</v>
      </c>
      <c r="AA60" s="10">
        <v>300</v>
      </c>
      <c r="AB60" s="10">
        <v>120</v>
      </c>
      <c r="AC60" s="41">
        <v>300</v>
      </c>
      <c r="AD60" s="194" t="s">
        <v>1135</v>
      </c>
      <c r="AE60" s="41"/>
      <c r="AF60" s="41"/>
      <c r="AG60" s="41"/>
      <c r="AH60" s="41"/>
      <c r="AI60" s="41"/>
      <c r="AJ60" s="41"/>
      <c r="AK60" s="41"/>
      <c r="AL60" s="41"/>
      <c r="AM60" s="41"/>
      <c r="AN60" s="41"/>
      <c r="AO60" s="41"/>
      <c r="AP60" s="41"/>
    </row>
    <row r="61" spans="1:42" ht="97.5" customHeight="1" x14ac:dyDescent="0.25">
      <c r="A61" s="192"/>
      <c r="B61" s="192"/>
      <c r="C61" s="192"/>
      <c r="D61" s="206"/>
      <c r="E61" s="218"/>
      <c r="F61" s="206"/>
      <c r="G61" s="192"/>
      <c r="H61" s="217"/>
      <c r="I61" s="219"/>
      <c r="J61" s="219"/>
      <c r="K61" s="217"/>
      <c r="L61" s="219"/>
      <c r="M61" s="219"/>
      <c r="N61" s="216">
        <f t="shared" si="0"/>
        <v>0</v>
      </c>
      <c r="O61" s="217">
        <f t="shared" si="0"/>
        <v>0</v>
      </c>
      <c r="P61" s="217">
        <f t="shared" si="0"/>
        <v>0</v>
      </c>
      <c r="Q61" s="219"/>
      <c r="R61" s="219"/>
      <c r="S61" s="217">
        <f t="shared" si="1"/>
        <v>0</v>
      </c>
      <c r="T61" s="194" t="s">
        <v>1166</v>
      </c>
      <c r="U61" s="194" t="s">
        <v>1155</v>
      </c>
      <c r="V61" s="10">
        <v>1</v>
      </c>
      <c r="W61" s="41"/>
      <c r="X61" s="41"/>
      <c r="Y61" s="10">
        <v>0</v>
      </c>
      <c r="Z61" s="10">
        <v>1</v>
      </c>
      <c r="AA61" s="10">
        <v>300</v>
      </c>
      <c r="AB61" s="10">
        <v>180</v>
      </c>
      <c r="AC61" s="41">
        <v>300</v>
      </c>
      <c r="AD61" s="194" t="s">
        <v>1167</v>
      </c>
      <c r="AE61" s="41"/>
      <c r="AF61" s="41" t="s">
        <v>102</v>
      </c>
      <c r="AG61" s="41" t="s">
        <v>102</v>
      </c>
      <c r="AH61" s="41" t="s">
        <v>102</v>
      </c>
      <c r="AI61" s="41" t="s">
        <v>102</v>
      </c>
      <c r="AJ61" s="41" t="s">
        <v>102</v>
      </c>
      <c r="AK61" s="41" t="s">
        <v>102</v>
      </c>
      <c r="AL61" s="41" t="s">
        <v>102</v>
      </c>
      <c r="AM61" s="41" t="s">
        <v>102</v>
      </c>
      <c r="AN61" s="41" t="s">
        <v>102</v>
      </c>
      <c r="AO61" s="41" t="s">
        <v>102</v>
      </c>
      <c r="AP61" s="41" t="s">
        <v>102</v>
      </c>
    </row>
    <row r="62" spans="1:42" ht="75" x14ac:dyDescent="0.25">
      <c r="A62" s="192"/>
      <c r="B62" s="192"/>
      <c r="C62" s="192"/>
      <c r="D62" s="206"/>
      <c r="E62" s="218"/>
      <c r="F62" s="206"/>
      <c r="G62" s="192"/>
      <c r="H62" s="217"/>
      <c r="I62" s="219"/>
      <c r="J62" s="219"/>
      <c r="K62" s="217"/>
      <c r="L62" s="219"/>
      <c r="M62" s="219"/>
      <c r="N62" s="216">
        <f t="shared" si="0"/>
        <v>0</v>
      </c>
      <c r="O62" s="217">
        <f t="shared" si="0"/>
        <v>0</v>
      </c>
      <c r="P62" s="217">
        <f t="shared" si="0"/>
        <v>0</v>
      </c>
      <c r="Q62" s="219"/>
      <c r="R62" s="219"/>
      <c r="S62" s="217">
        <f t="shared" si="1"/>
        <v>0</v>
      </c>
      <c r="T62" s="194" t="s">
        <v>1168</v>
      </c>
      <c r="U62" s="194" t="s">
        <v>1155</v>
      </c>
      <c r="V62" s="10">
        <v>1</v>
      </c>
      <c r="W62" s="10"/>
      <c r="X62" s="10"/>
      <c r="Y62" s="10">
        <v>0</v>
      </c>
      <c r="Z62" s="10">
        <v>1</v>
      </c>
      <c r="AA62" s="10">
        <v>300</v>
      </c>
      <c r="AB62" s="10">
        <v>180</v>
      </c>
      <c r="AC62" s="41">
        <v>300</v>
      </c>
      <c r="AD62" s="194" t="s">
        <v>1135</v>
      </c>
      <c r="AE62" s="41"/>
      <c r="AF62" s="41"/>
      <c r="AG62" s="41" t="s">
        <v>102</v>
      </c>
      <c r="AH62" s="41" t="s">
        <v>102</v>
      </c>
      <c r="AI62" s="41" t="s">
        <v>102</v>
      </c>
      <c r="AJ62" s="41" t="s">
        <v>102</v>
      </c>
      <c r="AK62" s="41" t="s">
        <v>102</v>
      </c>
      <c r="AL62" s="41" t="s">
        <v>102</v>
      </c>
      <c r="AM62" s="41" t="s">
        <v>102</v>
      </c>
      <c r="AN62" s="41" t="s">
        <v>102</v>
      </c>
      <c r="AO62" s="41" t="s">
        <v>102</v>
      </c>
      <c r="AP62" s="41" t="s">
        <v>102</v>
      </c>
    </row>
    <row r="63" spans="1:42" ht="101.25" customHeight="1" x14ac:dyDescent="0.25">
      <c r="A63" s="192"/>
      <c r="B63" s="192"/>
      <c r="C63" s="192"/>
      <c r="D63" s="206"/>
      <c r="E63" s="218"/>
      <c r="F63" s="206"/>
      <c r="G63" s="192"/>
      <c r="H63" s="217"/>
      <c r="I63" s="219"/>
      <c r="J63" s="219"/>
      <c r="K63" s="217"/>
      <c r="L63" s="219"/>
      <c r="M63" s="219"/>
      <c r="N63" s="216">
        <f t="shared" si="0"/>
        <v>0</v>
      </c>
      <c r="O63" s="217">
        <f t="shared" si="0"/>
        <v>0</v>
      </c>
      <c r="P63" s="217">
        <f t="shared" si="0"/>
        <v>0</v>
      </c>
      <c r="Q63" s="219"/>
      <c r="R63" s="219"/>
      <c r="S63" s="217">
        <f t="shared" si="1"/>
        <v>0</v>
      </c>
      <c r="T63" s="194" t="s">
        <v>1169</v>
      </c>
      <c r="U63" s="194">
        <v>0</v>
      </c>
      <c r="V63" s="10">
        <v>0</v>
      </c>
      <c r="W63" s="10"/>
      <c r="X63" s="10"/>
      <c r="Y63" s="10">
        <v>0</v>
      </c>
      <c r="Z63" s="10"/>
      <c r="AA63" s="10">
        <v>0</v>
      </c>
      <c r="AB63" s="10">
        <v>0</v>
      </c>
      <c r="AC63" s="41">
        <v>0</v>
      </c>
      <c r="AD63" s="194" t="s">
        <v>1170</v>
      </c>
      <c r="AE63" s="41"/>
      <c r="AF63" s="41"/>
      <c r="AG63" s="41"/>
      <c r="AH63" s="41"/>
      <c r="AI63" s="41"/>
      <c r="AJ63" s="41"/>
      <c r="AK63" s="41"/>
      <c r="AL63" s="41"/>
      <c r="AM63" s="41"/>
      <c r="AN63" s="41"/>
      <c r="AO63" s="41"/>
      <c r="AP63" s="41"/>
    </row>
    <row r="64" spans="1:42" ht="75" x14ac:dyDescent="0.25">
      <c r="A64" s="192"/>
      <c r="B64" s="192"/>
      <c r="C64" s="192"/>
      <c r="D64" s="206"/>
      <c r="E64" s="218"/>
      <c r="F64" s="206"/>
      <c r="G64" s="192"/>
      <c r="H64" s="217"/>
      <c r="I64" s="219"/>
      <c r="J64" s="219"/>
      <c r="K64" s="217"/>
      <c r="L64" s="219"/>
      <c r="M64" s="219"/>
      <c r="N64" s="216">
        <f t="shared" si="0"/>
        <v>0</v>
      </c>
      <c r="O64" s="217">
        <f t="shared" si="0"/>
        <v>0</v>
      </c>
      <c r="P64" s="217">
        <f t="shared" si="0"/>
        <v>0</v>
      </c>
      <c r="Q64" s="219"/>
      <c r="R64" s="219"/>
      <c r="S64" s="217">
        <f t="shared" si="1"/>
        <v>0</v>
      </c>
      <c r="T64" s="194" t="s">
        <v>1171</v>
      </c>
      <c r="U64" s="194" t="s">
        <v>1172</v>
      </c>
      <c r="V64" s="10">
        <v>6</v>
      </c>
      <c r="W64" s="10">
        <v>0</v>
      </c>
      <c r="X64" s="10"/>
      <c r="Y64" s="10">
        <v>0</v>
      </c>
      <c r="Z64" s="10">
        <v>6</v>
      </c>
      <c r="AA64" s="10">
        <v>180</v>
      </c>
      <c r="AB64" s="10">
        <v>60</v>
      </c>
      <c r="AC64" s="41">
        <v>180</v>
      </c>
      <c r="AD64" s="194" t="s">
        <v>1135</v>
      </c>
      <c r="AE64" s="41"/>
      <c r="AF64" s="41"/>
      <c r="AG64" s="41"/>
      <c r="AH64" s="41"/>
      <c r="AI64" s="41"/>
      <c r="AJ64" s="41"/>
      <c r="AK64" s="41"/>
      <c r="AL64" s="41"/>
      <c r="AM64" s="41"/>
      <c r="AN64" s="41"/>
      <c r="AO64" s="41"/>
      <c r="AP64" s="41"/>
    </row>
    <row r="65" spans="1:42" ht="30" x14ac:dyDescent="0.25">
      <c r="A65" s="192"/>
      <c r="B65" s="192"/>
      <c r="C65" s="192"/>
      <c r="D65" s="206"/>
      <c r="E65" s="218"/>
      <c r="F65" s="206"/>
      <c r="G65" s="192"/>
      <c r="H65" s="217"/>
      <c r="I65" s="219"/>
      <c r="J65" s="219"/>
      <c r="K65" s="217"/>
      <c r="L65" s="219"/>
      <c r="M65" s="219"/>
      <c r="N65" s="216">
        <f t="shared" si="0"/>
        <v>0</v>
      </c>
      <c r="O65" s="217">
        <f t="shared" si="0"/>
        <v>0</v>
      </c>
      <c r="P65" s="217">
        <f t="shared" si="0"/>
        <v>0</v>
      </c>
      <c r="Q65" s="219"/>
      <c r="R65" s="219"/>
      <c r="S65" s="217">
        <f t="shared" si="1"/>
        <v>0</v>
      </c>
      <c r="T65" s="194" t="s">
        <v>1173</v>
      </c>
      <c r="U65" s="194" t="s">
        <v>316</v>
      </c>
      <c r="V65" s="10">
        <v>13</v>
      </c>
      <c r="W65" s="10"/>
      <c r="X65" s="10"/>
      <c r="Y65" s="10">
        <v>0</v>
      </c>
      <c r="Z65" s="10">
        <v>13</v>
      </c>
      <c r="AA65" s="10">
        <v>150</v>
      </c>
      <c r="AB65" s="10">
        <v>0</v>
      </c>
      <c r="AC65" s="41">
        <v>150</v>
      </c>
      <c r="AD65" s="194" t="s">
        <v>1135</v>
      </c>
      <c r="AE65" s="41"/>
      <c r="AF65" s="41"/>
      <c r="AG65" s="41"/>
      <c r="AH65" s="41"/>
      <c r="AI65" s="41"/>
      <c r="AJ65" s="41"/>
      <c r="AK65" s="41"/>
      <c r="AL65" s="41"/>
      <c r="AM65" s="41"/>
      <c r="AN65" s="41"/>
      <c r="AO65" s="41"/>
      <c r="AP65" s="41"/>
    </row>
    <row r="66" spans="1:42" ht="102" customHeight="1" x14ac:dyDescent="0.25">
      <c r="A66" s="192"/>
      <c r="B66" s="192"/>
      <c r="C66" s="192"/>
      <c r="D66" s="206"/>
      <c r="E66" s="218"/>
      <c r="F66" s="206"/>
      <c r="G66" s="192"/>
      <c r="H66" s="217"/>
      <c r="I66" s="219"/>
      <c r="J66" s="219"/>
      <c r="K66" s="217"/>
      <c r="L66" s="219"/>
      <c r="M66" s="219"/>
      <c r="N66" s="216">
        <f t="shared" si="0"/>
        <v>0</v>
      </c>
      <c r="O66" s="217">
        <f t="shared" si="0"/>
        <v>0</v>
      </c>
      <c r="P66" s="217">
        <f t="shared" si="0"/>
        <v>0</v>
      </c>
      <c r="Q66" s="219"/>
      <c r="R66" s="219"/>
      <c r="S66" s="217">
        <f t="shared" si="1"/>
        <v>0</v>
      </c>
      <c r="T66" s="194" t="s">
        <v>1174</v>
      </c>
      <c r="U66" s="194" t="s">
        <v>316</v>
      </c>
      <c r="V66" s="10">
        <v>1</v>
      </c>
      <c r="W66" s="10"/>
      <c r="X66" s="10"/>
      <c r="Y66" s="10">
        <v>1</v>
      </c>
      <c r="Z66" s="10">
        <v>1</v>
      </c>
      <c r="AA66" s="10">
        <v>60</v>
      </c>
      <c r="AB66" s="10">
        <v>60</v>
      </c>
      <c r="AC66" s="41">
        <v>60</v>
      </c>
      <c r="AD66" s="194" t="s">
        <v>1175</v>
      </c>
      <c r="AE66" s="41"/>
      <c r="AF66" s="41"/>
      <c r="AG66" s="41"/>
      <c r="AH66" s="41"/>
      <c r="AI66" s="41"/>
      <c r="AJ66" s="41"/>
      <c r="AK66" s="41"/>
      <c r="AL66" s="41"/>
      <c r="AM66" s="41"/>
      <c r="AN66" s="41"/>
      <c r="AO66" s="41"/>
      <c r="AP66" s="41"/>
    </row>
    <row r="67" spans="1:42" ht="117.75" customHeight="1" x14ac:dyDescent="0.25">
      <c r="A67" s="192"/>
      <c r="B67" s="192"/>
      <c r="C67" s="192"/>
      <c r="D67" s="206"/>
      <c r="E67" s="218"/>
      <c r="F67" s="206"/>
      <c r="G67" s="192"/>
      <c r="H67" s="217"/>
      <c r="I67" s="219"/>
      <c r="J67" s="219"/>
      <c r="K67" s="217"/>
      <c r="L67" s="219"/>
      <c r="M67" s="219"/>
      <c r="N67" s="216">
        <f t="shared" si="0"/>
        <v>0</v>
      </c>
      <c r="O67" s="217">
        <f t="shared" si="0"/>
        <v>0</v>
      </c>
      <c r="P67" s="217">
        <f t="shared" si="0"/>
        <v>0</v>
      </c>
      <c r="Q67" s="219"/>
      <c r="R67" s="219"/>
      <c r="S67" s="217">
        <f t="shared" si="1"/>
        <v>0</v>
      </c>
      <c r="T67" s="194" t="s">
        <v>1176</v>
      </c>
      <c r="U67" s="194" t="s">
        <v>1134</v>
      </c>
      <c r="V67" s="10">
        <v>2</v>
      </c>
      <c r="W67" s="10"/>
      <c r="X67" s="10"/>
      <c r="Y67" s="10">
        <v>0</v>
      </c>
      <c r="Z67" s="10">
        <v>2</v>
      </c>
      <c r="AA67" s="10">
        <v>90</v>
      </c>
      <c r="AB67" s="10">
        <v>0</v>
      </c>
      <c r="AC67" s="41">
        <v>90</v>
      </c>
      <c r="AD67" s="194" t="s">
        <v>1177</v>
      </c>
      <c r="AE67" s="41"/>
      <c r="AF67" s="41"/>
      <c r="AG67" s="41"/>
      <c r="AH67" s="41"/>
      <c r="AI67" s="41"/>
      <c r="AJ67" s="41"/>
      <c r="AK67" s="41"/>
      <c r="AL67" s="41"/>
      <c r="AM67" s="41"/>
      <c r="AN67" s="41"/>
      <c r="AO67" s="41"/>
      <c r="AP67" s="41"/>
    </row>
    <row r="68" spans="1:42" ht="84" x14ac:dyDescent="0.25">
      <c r="A68" s="192" t="s">
        <v>156</v>
      </c>
      <c r="B68" s="192" t="s">
        <v>982</v>
      </c>
      <c r="C68" s="192" t="s">
        <v>1015</v>
      </c>
      <c r="D68" s="192">
        <v>222810000</v>
      </c>
      <c r="E68" s="192" t="s">
        <v>1017</v>
      </c>
      <c r="F68" s="192" t="s">
        <v>1018</v>
      </c>
      <c r="G68" s="192" t="s">
        <v>1019</v>
      </c>
      <c r="H68" s="216">
        <v>200000000</v>
      </c>
      <c r="I68" s="216">
        <v>200000000</v>
      </c>
      <c r="J68" s="144">
        <v>200000000</v>
      </c>
      <c r="K68" s="216">
        <v>0</v>
      </c>
      <c r="L68" s="216">
        <v>50000000</v>
      </c>
      <c r="M68" s="216"/>
      <c r="N68" s="216">
        <f t="shared" si="0"/>
        <v>200000000</v>
      </c>
      <c r="O68" s="216">
        <f t="shared" si="0"/>
        <v>250000000</v>
      </c>
      <c r="P68" s="216">
        <f t="shared" si="0"/>
        <v>200000000</v>
      </c>
      <c r="Q68" s="144">
        <v>200000000</v>
      </c>
      <c r="R68" s="216">
        <v>50000000</v>
      </c>
      <c r="S68" s="216">
        <f t="shared" si="1"/>
        <v>250000000</v>
      </c>
      <c r="T68" s="194"/>
      <c r="U68" s="194"/>
      <c r="V68" s="10"/>
      <c r="W68" s="10"/>
      <c r="X68" s="10"/>
      <c r="Y68" s="10"/>
      <c r="Z68" s="10"/>
      <c r="AA68" s="10">
        <v>0</v>
      </c>
      <c r="AB68" s="10"/>
      <c r="AC68" s="41"/>
      <c r="AD68" s="41"/>
      <c r="AE68" s="41"/>
      <c r="AF68" s="41"/>
      <c r="AG68" s="41"/>
      <c r="AH68" s="41"/>
      <c r="AI68" s="41"/>
      <c r="AJ68" s="41"/>
      <c r="AK68" s="41"/>
      <c r="AL68" s="41"/>
      <c r="AM68" s="41"/>
      <c r="AN68" s="41"/>
      <c r="AO68" s="41"/>
      <c r="AP68" s="41"/>
    </row>
    <row r="69" spans="1:42" ht="85.5" customHeight="1" x14ac:dyDescent="0.25">
      <c r="A69" s="192"/>
      <c r="B69" s="192"/>
      <c r="C69" s="192"/>
      <c r="D69" s="206"/>
      <c r="E69" s="218"/>
      <c r="F69" s="206"/>
      <c r="G69" s="192"/>
      <c r="H69" s="217"/>
      <c r="I69" s="216"/>
      <c r="J69" s="216"/>
      <c r="K69" s="216"/>
      <c r="L69" s="216"/>
      <c r="M69" s="216"/>
      <c r="N69" s="216">
        <f t="shared" si="0"/>
        <v>0</v>
      </c>
      <c r="O69" s="216">
        <f t="shared" si="0"/>
        <v>0</v>
      </c>
      <c r="P69" s="216">
        <f t="shared" si="0"/>
        <v>0</v>
      </c>
      <c r="Q69" s="216"/>
      <c r="R69" s="216"/>
      <c r="S69" s="216">
        <f t="shared" si="1"/>
        <v>0</v>
      </c>
      <c r="T69" s="194" t="s">
        <v>1178</v>
      </c>
      <c r="U69" s="194" t="s">
        <v>316</v>
      </c>
      <c r="V69" s="41">
        <v>4</v>
      </c>
      <c r="W69" s="41"/>
      <c r="X69" s="41"/>
      <c r="Y69" s="41"/>
      <c r="Z69" s="41">
        <v>9</v>
      </c>
      <c r="AA69" s="41">
        <v>240</v>
      </c>
      <c r="AB69" s="41">
        <v>90</v>
      </c>
      <c r="AC69" s="41">
        <v>240</v>
      </c>
      <c r="AD69" s="221" t="s">
        <v>1179</v>
      </c>
      <c r="AE69" s="41"/>
      <c r="AF69" s="41"/>
      <c r="AG69" s="41" t="s">
        <v>102</v>
      </c>
      <c r="AH69" s="41" t="s">
        <v>102</v>
      </c>
      <c r="AI69" s="41" t="s">
        <v>102</v>
      </c>
      <c r="AJ69" s="41" t="s">
        <v>102</v>
      </c>
      <c r="AK69" s="41" t="s">
        <v>102</v>
      </c>
      <c r="AL69" s="41" t="s">
        <v>102</v>
      </c>
      <c r="AM69" s="41" t="s">
        <v>102</v>
      </c>
      <c r="AN69" s="41" t="s">
        <v>102</v>
      </c>
      <c r="AO69" s="41"/>
      <c r="AP69" s="41"/>
    </row>
    <row r="70" spans="1:42" x14ac:dyDescent="0.25">
      <c r="A70" s="192"/>
      <c r="B70" s="192"/>
      <c r="C70" s="192"/>
      <c r="D70" s="206"/>
      <c r="E70" s="218"/>
      <c r="F70" s="206"/>
      <c r="G70" s="192"/>
      <c r="H70" s="217"/>
      <c r="I70" s="216"/>
      <c r="J70" s="216"/>
      <c r="K70" s="216"/>
      <c r="L70" s="216"/>
      <c r="M70" s="216"/>
      <c r="N70" s="216">
        <f t="shared" si="0"/>
        <v>0</v>
      </c>
      <c r="O70" s="216">
        <f t="shared" si="0"/>
        <v>0</v>
      </c>
      <c r="P70" s="216">
        <f t="shared" si="0"/>
        <v>0</v>
      </c>
      <c r="Q70" s="216"/>
      <c r="R70" s="216"/>
      <c r="S70" s="216">
        <f t="shared" si="1"/>
        <v>0</v>
      </c>
      <c r="T70" s="194" t="s">
        <v>1180</v>
      </c>
      <c r="U70" s="194" t="s">
        <v>316</v>
      </c>
      <c r="V70" s="41">
        <v>1</v>
      </c>
      <c r="W70" s="41"/>
      <c r="X70" s="41"/>
      <c r="Y70" s="41">
        <v>1</v>
      </c>
      <c r="Z70" s="41">
        <v>1</v>
      </c>
      <c r="AA70" s="41">
        <v>0</v>
      </c>
      <c r="AB70" s="41">
        <v>15</v>
      </c>
      <c r="AC70" s="41">
        <v>15</v>
      </c>
      <c r="AD70" s="41"/>
      <c r="AE70" s="41" t="s">
        <v>102</v>
      </c>
      <c r="AF70" s="41"/>
      <c r="AG70" s="41"/>
      <c r="AH70" s="41"/>
      <c r="AI70" s="41"/>
      <c r="AJ70" s="41"/>
      <c r="AK70" s="41"/>
      <c r="AL70" s="41"/>
      <c r="AM70" s="41"/>
      <c r="AN70" s="41"/>
      <c r="AO70" s="41"/>
      <c r="AP70" s="41"/>
    </row>
    <row r="71" spans="1:42" x14ac:dyDescent="0.25">
      <c r="A71" s="192"/>
      <c r="B71" s="192"/>
      <c r="C71" s="192"/>
      <c r="D71" s="206"/>
      <c r="E71" s="218"/>
      <c r="F71" s="206"/>
      <c r="G71" s="192"/>
      <c r="H71" s="217"/>
      <c r="I71" s="216"/>
      <c r="J71" s="216"/>
      <c r="K71" s="216"/>
      <c r="L71" s="216"/>
      <c r="M71" s="216"/>
      <c r="N71" s="216">
        <f t="shared" ref="N71:P124" si="2">H71+K71</f>
        <v>0</v>
      </c>
      <c r="O71" s="216">
        <f t="shared" si="2"/>
        <v>0</v>
      </c>
      <c r="P71" s="216">
        <f t="shared" si="2"/>
        <v>0</v>
      </c>
      <c r="Q71" s="216"/>
      <c r="R71" s="216"/>
      <c r="S71" s="216">
        <f t="shared" si="1"/>
        <v>0</v>
      </c>
      <c r="T71" s="194" t="s">
        <v>1181</v>
      </c>
      <c r="U71" s="194" t="s">
        <v>316</v>
      </c>
      <c r="V71" s="41">
        <v>1</v>
      </c>
      <c r="W71" s="41"/>
      <c r="X71" s="41"/>
      <c r="Y71" s="41">
        <v>1</v>
      </c>
      <c r="Z71" s="41">
        <v>1</v>
      </c>
      <c r="AA71" s="41">
        <v>0</v>
      </c>
      <c r="AB71" s="41">
        <v>15</v>
      </c>
      <c r="AC71" s="41">
        <v>15</v>
      </c>
      <c r="AD71" s="41"/>
      <c r="AE71" s="41"/>
      <c r="AF71" s="41" t="s">
        <v>102</v>
      </c>
      <c r="AG71" s="41"/>
      <c r="AH71" s="41"/>
      <c r="AI71" s="41"/>
      <c r="AJ71" s="41"/>
      <c r="AK71" s="41"/>
      <c r="AL71" s="41"/>
      <c r="AM71" s="41"/>
      <c r="AN71" s="41"/>
      <c r="AO71" s="41"/>
      <c r="AP71" s="41"/>
    </row>
    <row r="72" spans="1:42" x14ac:dyDescent="0.25">
      <c r="A72" s="192"/>
      <c r="B72" s="192"/>
      <c r="C72" s="192"/>
      <c r="D72" s="206"/>
      <c r="E72" s="218"/>
      <c r="F72" s="206"/>
      <c r="G72" s="192"/>
      <c r="H72" s="217"/>
      <c r="I72" s="216"/>
      <c r="J72" s="216"/>
      <c r="K72" s="216"/>
      <c r="L72" s="216"/>
      <c r="M72" s="216"/>
      <c r="N72" s="216">
        <f t="shared" si="2"/>
        <v>0</v>
      </c>
      <c r="O72" s="216">
        <f t="shared" si="2"/>
        <v>0</v>
      </c>
      <c r="P72" s="216">
        <f t="shared" si="2"/>
        <v>0</v>
      </c>
      <c r="Q72" s="216"/>
      <c r="R72" s="216"/>
      <c r="S72" s="216">
        <f t="shared" si="1"/>
        <v>0</v>
      </c>
      <c r="T72" s="194"/>
      <c r="U72" s="194"/>
      <c r="V72" s="41"/>
      <c r="W72" s="41"/>
      <c r="X72" s="41"/>
      <c r="Y72" s="41"/>
      <c r="Z72" s="41"/>
      <c r="AA72" s="41">
        <v>0</v>
      </c>
      <c r="AB72" s="41"/>
      <c r="AC72" s="41">
        <v>0</v>
      </c>
      <c r="AD72" s="41"/>
      <c r="AE72" s="41"/>
      <c r="AF72" s="41"/>
      <c r="AG72" s="41"/>
      <c r="AH72" s="41"/>
      <c r="AI72" s="41"/>
      <c r="AJ72" s="41"/>
      <c r="AK72" s="41"/>
      <c r="AL72" s="41"/>
      <c r="AM72" s="41"/>
      <c r="AN72" s="41"/>
      <c r="AO72" s="41"/>
      <c r="AP72" s="41"/>
    </row>
    <row r="73" spans="1:42" x14ac:dyDescent="0.25">
      <c r="A73" s="192"/>
      <c r="B73" s="192"/>
      <c r="C73" s="192"/>
      <c r="D73" s="206"/>
      <c r="E73" s="218"/>
      <c r="F73" s="206"/>
      <c r="G73" s="192"/>
      <c r="H73" s="217"/>
      <c r="I73" s="216"/>
      <c r="J73" s="216"/>
      <c r="K73" s="216"/>
      <c r="L73" s="216"/>
      <c r="M73" s="216"/>
      <c r="N73" s="216">
        <f t="shared" si="2"/>
        <v>0</v>
      </c>
      <c r="O73" s="216">
        <f t="shared" si="2"/>
        <v>0</v>
      </c>
      <c r="P73" s="216">
        <f t="shared" si="2"/>
        <v>0</v>
      </c>
      <c r="Q73" s="216"/>
      <c r="R73" s="216"/>
      <c r="S73" s="216">
        <f t="shared" si="1"/>
        <v>0</v>
      </c>
      <c r="T73" s="194"/>
      <c r="U73" s="194"/>
      <c r="V73" s="41"/>
      <c r="W73" s="41"/>
      <c r="X73" s="41"/>
      <c r="Y73" s="41"/>
      <c r="Z73" s="41"/>
      <c r="AA73" s="41">
        <v>0</v>
      </c>
      <c r="AB73" s="41"/>
      <c r="AC73" s="41">
        <v>0</v>
      </c>
      <c r="AD73" s="41"/>
      <c r="AE73" s="41"/>
      <c r="AF73" s="41"/>
      <c r="AG73" s="41"/>
      <c r="AH73" s="41"/>
      <c r="AI73" s="41"/>
      <c r="AJ73" s="41"/>
      <c r="AK73" s="41"/>
      <c r="AL73" s="41"/>
      <c r="AM73" s="41"/>
      <c r="AN73" s="41"/>
      <c r="AO73" s="41"/>
      <c r="AP73" s="41"/>
    </row>
    <row r="74" spans="1:42" ht="84" x14ac:dyDescent="0.25">
      <c r="A74" s="192" t="s">
        <v>156</v>
      </c>
      <c r="B74" s="192" t="s">
        <v>982</v>
      </c>
      <c r="C74" s="192" t="s">
        <v>1015</v>
      </c>
      <c r="D74" s="192">
        <v>222810000</v>
      </c>
      <c r="E74" s="192" t="s">
        <v>1022</v>
      </c>
      <c r="F74" s="192" t="s">
        <v>1023</v>
      </c>
      <c r="G74" s="192" t="s">
        <v>1024</v>
      </c>
      <c r="H74" s="216">
        <v>8329300000</v>
      </c>
      <c r="I74" s="216">
        <v>10233065031</v>
      </c>
      <c r="J74" s="144">
        <v>10053065031</v>
      </c>
      <c r="K74" s="216">
        <v>0</v>
      </c>
      <c r="L74" s="216">
        <v>5494847300</v>
      </c>
      <c r="M74" s="216"/>
      <c r="N74" s="216">
        <f t="shared" si="2"/>
        <v>8329300000</v>
      </c>
      <c r="O74" s="216">
        <f t="shared" si="2"/>
        <v>15727912331</v>
      </c>
      <c r="P74" s="216">
        <f t="shared" si="2"/>
        <v>10053065031</v>
      </c>
      <c r="Q74" s="144">
        <v>9594409147</v>
      </c>
      <c r="R74" s="216">
        <v>21040035409</v>
      </c>
      <c r="S74" s="216">
        <f t="shared" ref="S74:S124" si="3">Q74+R74</f>
        <v>30634444556</v>
      </c>
      <c r="T74" s="194"/>
      <c r="U74" s="194"/>
      <c r="V74" s="41"/>
      <c r="W74" s="41"/>
      <c r="X74" s="41"/>
      <c r="Y74" s="41"/>
      <c r="Z74" s="41"/>
      <c r="AA74" s="41">
        <v>0</v>
      </c>
      <c r="AB74" s="41"/>
      <c r="AC74" s="41">
        <v>0</v>
      </c>
      <c r="AD74" s="41"/>
      <c r="AE74" s="41"/>
      <c r="AF74" s="41"/>
      <c r="AG74" s="41"/>
      <c r="AH74" s="41"/>
      <c r="AI74" s="41"/>
      <c r="AJ74" s="41"/>
      <c r="AK74" s="41"/>
      <c r="AL74" s="41"/>
      <c r="AM74" s="41"/>
      <c r="AN74" s="41"/>
      <c r="AO74" s="41"/>
      <c r="AP74" s="41"/>
    </row>
    <row r="75" spans="1:42" ht="179.25" customHeight="1" x14ac:dyDescent="0.25">
      <c r="A75" s="192"/>
      <c r="B75" s="192"/>
      <c r="C75" s="192"/>
      <c r="D75" s="206"/>
      <c r="E75" s="218"/>
      <c r="F75" s="206"/>
      <c r="G75" s="192"/>
      <c r="H75" s="217"/>
      <c r="I75" s="216"/>
      <c r="J75" s="216"/>
      <c r="K75" s="216"/>
      <c r="L75" s="216"/>
      <c r="M75" s="216"/>
      <c r="N75" s="216">
        <f t="shared" si="2"/>
        <v>0</v>
      </c>
      <c r="O75" s="216">
        <f t="shared" si="2"/>
        <v>0</v>
      </c>
      <c r="P75" s="216">
        <f t="shared" si="2"/>
        <v>0</v>
      </c>
      <c r="Q75" s="216"/>
      <c r="R75" s="216"/>
      <c r="S75" s="216">
        <f t="shared" si="3"/>
        <v>0</v>
      </c>
      <c r="T75" s="194" t="s">
        <v>1182</v>
      </c>
      <c r="U75" s="194" t="s">
        <v>316</v>
      </c>
      <c r="V75" s="216">
        <v>221</v>
      </c>
      <c r="W75" s="216">
        <v>192</v>
      </c>
      <c r="X75" s="216"/>
      <c r="Y75" s="216">
        <v>0</v>
      </c>
      <c r="Z75" s="216">
        <v>228</v>
      </c>
      <c r="AA75" s="216">
        <v>240</v>
      </c>
      <c r="AB75" s="216">
        <v>150</v>
      </c>
      <c r="AC75" s="41">
        <v>240</v>
      </c>
      <c r="AD75" s="194" t="s">
        <v>1183</v>
      </c>
      <c r="AE75" s="41"/>
      <c r="AF75" s="41"/>
      <c r="AG75" s="41" t="s">
        <v>102</v>
      </c>
      <c r="AH75" s="41" t="s">
        <v>102</v>
      </c>
      <c r="AI75" s="41" t="s">
        <v>102</v>
      </c>
      <c r="AJ75" s="41" t="s">
        <v>102</v>
      </c>
      <c r="AK75" s="41" t="s">
        <v>102</v>
      </c>
      <c r="AL75" s="41" t="s">
        <v>102</v>
      </c>
      <c r="AM75" s="41" t="s">
        <v>102</v>
      </c>
      <c r="AN75" s="41" t="s">
        <v>102</v>
      </c>
      <c r="AO75" s="41" t="s">
        <v>102</v>
      </c>
      <c r="AP75" s="41" t="s">
        <v>102</v>
      </c>
    </row>
    <row r="76" spans="1:42" x14ac:dyDescent="0.25">
      <c r="A76" s="192"/>
      <c r="B76" s="192"/>
      <c r="C76" s="192"/>
      <c r="D76" s="206"/>
      <c r="E76" s="218"/>
      <c r="F76" s="206"/>
      <c r="G76" s="192"/>
      <c r="H76" s="217"/>
      <c r="I76" s="219"/>
      <c r="J76" s="219"/>
      <c r="K76" s="217"/>
      <c r="L76" s="219"/>
      <c r="M76" s="219"/>
      <c r="N76" s="216">
        <f t="shared" si="2"/>
        <v>0</v>
      </c>
      <c r="O76" s="217">
        <f t="shared" si="2"/>
        <v>0</v>
      </c>
      <c r="P76" s="217">
        <f t="shared" si="2"/>
        <v>0</v>
      </c>
      <c r="Q76" s="219"/>
      <c r="R76" s="219"/>
      <c r="S76" s="217">
        <f t="shared" si="3"/>
        <v>0</v>
      </c>
      <c r="T76" s="194" t="s">
        <v>1180</v>
      </c>
      <c r="U76" s="194" t="s">
        <v>316</v>
      </c>
      <c r="V76" s="216">
        <v>1</v>
      </c>
      <c r="W76" s="216">
        <v>2</v>
      </c>
      <c r="X76" s="216"/>
      <c r="Y76" s="216">
        <v>2</v>
      </c>
      <c r="Z76" s="216">
        <v>2</v>
      </c>
      <c r="AA76" s="216">
        <v>20</v>
      </c>
      <c r="AB76" s="216">
        <v>40</v>
      </c>
      <c r="AC76" s="41">
        <v>40</v>
      </c>
      <c r="AD76" s="41"/>
      <c r="AE76" s="41" t="s">
        <v>102</v>
      </c>
      <c r="AF76" s="41"/>
      <c r="AG76" s="41"/>
      <c r="AH76" s="41"/>
      <c r="AI76" s="41"/>
      <c r="AJ76" s="41"/>
      <c r="AK76" s="41"/>
      <c r="AL76" s="41"/>
      <c r="AM76" s="41"/>
      <c r="AN76" s="41"/>
      <c r="AO76" s="41"/>
      <c r="AP76" s="41"/>
    </row>
    <row r="77" spans="1:42" x14ac:dyDescent="0.25">
      <c r="A77" s="192"/>
      <c r="B77" s="192"/>
      <c r="C77" s="192"/>
      <c r="D77" s="206"/>
      <c r="E77" s="218"/>
      <c r="F77" s="206"/>
      <c r="G77" s="192"/>
      <c r="H77" s="217"/>
      <c r="I77" s="219"/>
      <c r="J77" s="219"/>
      <c r="K77" s="217"/>
      <c r="L77" s="219"/>
      <c r="M77" s="219"/>
      <c r="N77" s="216">
        <f t="shared" si="2"/>
        <v>0</v>
      </c>
      <c r="O77" s="217">
        <f t="shared" si="2"/>
        <v>0</v>
      </c>
      <c r="P77" s="217">
        <f t="shared" si="2"/>
        <v>0</v>
      </c>
      <c r="Q77" s="219"/>
      <c r="R77" s="219"/>
      <c r="S77" s="217">
        <f t="shared" si="3"/>
        <v>0</v>
      </c>
      <c r="T77" s="194" t="s">
        <v>1181</v>
      </c>
      <c r="U77" s="194" t="s">
        <v>316</v>
      </c>
      <c r="V77" s="216">
        <v>1</v>
      </c>
      <c r="W77" s="216">
        <v>2</v>
      </c>
      <c r="X77" s="216"/>
      <c r="Y77" s="216">
        <v>2</v>
      </c>
      <c r="Z77" s="216">
        <v>2</v>
      </c>
      <c r="AA77" s="216">
        <v>30</v>
      </c>
      <c r="AB77" s="216">
        <v>30</v>
      </c>
      <c r="AC77" s="41">
        <v>30</v>
      </c>
      <c r="AD77" s="41"/>
      <c r="AE77" s="41"/>
      <c r="AF77" s="41" t="s">
        <v>102</v>
      </c>
      <c r="AG77" s="41"/>
      <c r="AH77" s="41"/>
      <c r="AI77" s="41"/>
      <c r="AJ77" s="41"/>
      <c r="AK77" s="41"/>
      <c r="AL77" s="41"/>
      <c r="AM77" s="41"/>
      <c r="AN77" s="41"/>
      <c r="AO77" s="41"/>
      <c r="AP77" s="41"/>
    </row>
    <row r="78" spans="1:42" ht="60" x14ac:dyDescent="0.25">
      <c r="A78" s="192"/>
      <c r="B78" s="192"/>
      <c r="C78" s="192"/>
      <c r="D78" s="206"/>
      <c r="E78" s="218"/>
      <c r="F78" s="206"/>
      <c r="G78" s="192"/>
      <c r="H78" s="217"/>
      <c r="I78" s="219"/>
      <c r="J78" s="219"/>
      <c r="K78" s="217"/>
      <c r="L78" s="219"/>
      <c r="M78" s="219"/>
      <c r="N78" s="216">
        <f t="shared" si="2"/>
        <v>0</v>
      </c>
      <c r="O78" s="217">
        <f t="shared" si="2"/>
        <v>0</v>
      </c>
      <c r="P78" s="217">
        <f t="shared" si="2"/>
        <v>0</v>
      </c>
      <c r="Q78" s="219"/>
      <c r="R78" s="225"/>
      <c r="S78" s="217">
        <f t="shared" si="3"/>
        <v>0</v>
      </c>
      <c r="T78" s="226" t="s">
        <v>1184</v>
      </c>
      <c r="U78" s="226">
        <v>0</v>
      </c>
      <c r="V78" s="216">
        <v>0</v>
      </c>
      <c r="W78" s="216"/>
      <c r="X78" s="216"/>
      <c r="Y78" s="216"/>
      <c r="Z78" s="216"/>
      <c r="AA78" s="216">
        <v>0</v>
      </c>
      <c r="AB78" s="216"/>
      <c r="AC78" s="41">
        <v>0</v>
      </c>
      <c r="AD78" s="194" t="s">
        <v>1185</v>
      </c>
      <c r="AE78" s="41"/>
      <c r="AF78" s="41"/>
      <c r="AG78" s="41"/>
      <c r="AH78" s="41"/>
      <c r="AI78" s="41"/>
      <c r="AJ78" s="41"/>
      <c r="AK78" s="41"/>
      <c r="AL78" s="41"/>
      <c r="AM78" s="41"/>
      <c r="AN78" s="41"/>
      <c r="AO78" s="41"/>
      <c r="AP78" s="41"/>
    </row>
    <row r="79" spans="1:42" ht="45" x14ac:dyDescent="0.25">
      <c r="A79" s="192"/>
      <c r="B79" s="192"/>
      <c r="C79" s="192"/>
      <c r="D79" s="206"/>
      <c r="E79" s="218"/>
      <c r="F79" s="206"/>
      <c r="G79" s="192"/>
      <c r="H79" s="217"/>
      <c r="I79" s="219"/>
      <c r="J79" s="219"/>
      <c r="K79" s="217"/>
      <c r="L79" s="219"/>
      <c r="M79" s="219"/>
      <c r="N79" s="216">
        <f t="shared" si="2"/>
        <v>0</v>
      </c>
      <c r="O79" s="217">
        <f t="shared" si="2"/>
        <v>0</v>
      </c>
      <c r="P79" s="217">
        <f t="shared" si="2"/>
        <v>0</v>
      </c>
      <c r="Q79" s="219"/>
      <c r="R79" s="219"/>
      <c r="S79" s="217">
        <f t="shared" si="3"/>
        <v>0</v>
      </c>
      <c r="T79" s="194" t="s">
        <v>1186</v>
      </c>
      <c r="U79" s="194" t="s">
        <v>316</v>
      </c>
      <c r="V79" s="216">
        <v>20</v>
      </c>
      <c r="W79" s="216"/>
      <c r="X79" s="216"/>
      <c r="Y79" s="216">
        <v>0</v>
      </c>
      <c r="Z79" s="216">
        <v>20</v>
      </c>
      <c r="AA79" s="216">
        <v>60</v>
      </c>
      <c r="AB79" s="216"/>
      <c r="AC79" s="41">
        <v>180</v>
      </c>
      <c r="AD79" s="194" t="s">
        <v>1120</v>
      </c>
      <c r="AE79" s="41"/>
      <c r="AF79" s="41"/>
      <c r="AG79" s="41"/>
      <c r="AH79" s="41"/>
      <c r="AI79" s="41"/>
      <c r="AJ79" s="41"/>
      <c r="AK79" s="41"/>
      <c r="AL79" s="41"/>
      <c r="AM79" s="41"/>
      <c r="AN79" s="41"/>
      <c r="AO79" s="41"/>
      <c r="AP79" s="41"/>
    </row>
    <row r="80" spans="1:42" ht="30" x14ac:dyDescent="0.25">
      <c r="A80" s="192"/>
      <c r="B80" s="192"/>
      <c r="C80" s="192"/>
      <c r="D80" s="206"/>
      <c r="E80" s="218"/>
      <c r="F80" s="206"/>
      <c r="G80" s="192"/>
      <c r="H80" s="217"/>
      <c r="I80" s="219"/>
      <c r="J80" s="219"/>
      <c r="K80" s="217"/>
      <c r="L80" s="219"/>
      <c r="M80" s="219"/>
      <c r="N80" s="216">
        <f t="shared" si="2"/>
        <v>0</v>
      </c>
      <c r="O80" s="217">
        <f t="shared" si="2"/>
        <v>0</v>
      </c>
      <c r="P80" s="217">
        <f t="shared" si="2"/>
        <v>0</v>
      </c>
      <c r="Q80" s="219"/>
      <c r="R80" s="219"/>
      <c r="S80" s="217">
        <f t="shared" si="3"/>
        <v>0</v>
      </c>
      <c r="T80" s="194" t="s">
        <v>1187</v>
      </c>
      <c r="U80" s="194" t="s">
        <v>316</v>
      </c>
      <c r="V80" s="216">
        <v>18</v>
      </c>
      <c r="W80" s="216"/>
      <c r="X80" s="216"/>
      <c r="Y80" s="216">
        <v>0</v>
      </c>
      <c r="Z80" s="216">
        <v>18</v>
      </c>
      <c r="AA80" s="216">
        <v>300</v>
      </c>
      <c r="AB80" s="216">
        <v>180</v>
      </c>
      <c r="AC80" s="41">
        <v>300</v>
      </c>
      <c r="AD80" s="194" t="s">
        <v>1120</v>
      </c>
      <c r="AE80" s="41"/>
      <c r="AF80" s="41"/>
      <c r="AG80" s="41"/>
      <c r="AH80" s="41"/>
      <c r="AI80" s="41"/>
      <c r="AJ80" s="41"/>
      <c r="AK80" s="41"/>
      <c r="AL80" s="41"/>
      <c r="AM80" s="41"/>
      <c r="AN80" s="41"/>
      <c r="AO80" s="41"/>
      <c r="AP80" s="41"/>
    </row>
    <row r="81" spans="1:42" ht="152.25" customHeight="1" x14ac:dyDescent="0.25">
      <c r="A81" s="192"/>
      <c r="B81" s="192"/>
      <c r="C81" s="192"/>
      <c r="D81" s="206"/>
      <c r="E81" s="218"/>
      <c r="F81" s="206"/>
      <c r="G81" s="192"/>
      <c r="H81" s="217"/>
      <c r="I81" s="219"/>
      <c r="J81" s="219"/>
      <c r="K81" s="217"/>
      <c r="L81" s="219"/>
      <c r="M81" s="219"/>
      <c r="N81" s="216">
        <f t="shared" si="2"/>
        <v>0</v>
      </c>
      <c r="O81" s="217">
        <f t="shared" si="2"/>
        <v>0</v>
      </c>
      <c r="P81" s="217">
        <f t="shared" si="2"/>
        <v>0</v>
      </c>
      <c r="Q81" s="219"/>
      <c r="R81" s="219"/>
      <c r="S81" s="217">
        <f t="shared" si="3"/>
        <v>0</v>
      </c>
      <c r="T81" s="194" t="s">
        <v>1188</v>
      </c>
      <c r="U81" s="194">
        <v>0</v>
      </c>
      <c r="V81" s="216">
        <v>1</v>
      </c>
      <c r="W81" s="216"/>
      <c r="X81" s="216"/>
      <c r="Y81" s="216">
        <v>1</v>
      </c>
      <c r="Z81" s="216">
        <v>1</v>
      </c>
      <c r="AA81" s="216">
        <v>90</v>
      </c>
      <c r="AB81" s="216">
        <v>90</v>
      </c>
      <c r="AC81" s="41">
        <v>90</v>
      </c>
      <c r="AD81" s="194" t="s">
        <v>1189</v>
      </c>
      <c r="AE81" s="41"/>
      <c r="AF81" s="41"/>
      <c r="AG81" s="41"/>
      <c r="AH81" s="41"/>
      <c r="AI81" s="41"/>
      <c r="AJ81" s="41"/>
      <c r="AK81" s="41"/>
      <c r="AL81" s="41"/>
      <c r="AM81" s="41"/>
      <c r="AN81" s="41"/>
      <c r="AO81" s="41"/>
      <c r="AP81" s="41"/>
    </row>
    <row r="82" spans="1:42" ht="45" x14ac:dyDescent="0.25">
      <c r="A82" s="192"/>
      <c r="B82" s="192"/>
      <c r="C82" s="192"/>
      <c r="D82" s="206"/>
      <c r="E82" s="218"/>
      <c r="F82" s="206"/>
      <c r="G82" s="192"/>
      <c r="H82" s="217"/>
      <c r="I82" s="219"/>
      <c r="J82" s="219"/>
      <c r="K82" s="217"/>
      <c r="L82" s="219"/>
      <c r="M82" s="219"/>
      <c r="N82" s="216">
        <f t="shared" si="2"/>
        <v>0</v>
      </c>
      <c r="O82" s="217">
        <f t="shared" si="2"/>
        <v>0</v>
      </c>
      <c r="P82" s="217">
        <f t="shared" si="2"/>
        <v>0</v>
      </c>
      <c r="Q82" s="219"/>
      <c r="R82" s="219"/>
      <c r="S82" s="217"/>
      <c r="T82" s="194" t="s">
        <v>1190</v>
      </c>
      <c r="U82" s="194" t="s">
        <v>316</v>
      </c>
      <c r="V82" s="216">
        <v>10</v>
      </c>
      <c r="W82" s="216"/>
      <c r="X82" s="216"/>
      <c r="Y82" s="216">
        <v>10</v>
      </c>
      <c r="Z82" s="216">
        <v>10</v>
      </c>
      <c r="AA82" s="216">
        <v>150</v>
      </c>
      <c r="AB82" s="216">
        <v>150</v>
      </c>
      <c r="AC82" s="41">
        <v>150</v>
      </c>
      <c r="AD82" s="41"/>
      <c r="AE82" s="41"/>
      <c r="AF82" s="41"/>
      <c r="AG82" s="41"/>
      <c r="AH82" s="41"/>
      <c r="AI82" s="41"/>
      <c r="AJ82" s="41"/>
      <c r="AK82" s="41"/>
      <c r="AL82" s="41"/>
      <c r="AM82" s="41"/>
      <c r="AN82" s="41"/>
      <c r="AO82" s="41"/>
      <c r="AP82" s="41"/>
    </row>
    <row r="83" spans="1:42" ht="168" customHeight="1" x14ac:dyDescent="0.25">
      <c r="A83" s="192"/>
      <c r="B83" s="192"/>
      <c r="C83" s="192"/>
      <c r="D83" s="206"/>
      <c r="E83" s="218"/>
      <c r="F83" s="206"/>
      <c r="G83" s="192"/>
      <c r="H83" s="217"/>
      <c r="I83" s="219"/>
      <c r="J83" s="219"/>
      <c r="K83" s="217"/>
      <c r="L83" s="219"/>
      <c r="M83" s="219"/>
      <c r="N83" s="216">
        <f t="shared" si="2"/>
        <v>0</v>
      </c>
      <c r="O83" s="217">
        <f t="shared" si="2"/>
        <v>0</v>
      </c>
      <c r="P83" s="217">
        <f t="shared" si="2"/>
        <v>0</v>
      </c>
      <c r="Q83" s="219"/>
      <c r="R83" s="219"/>
      <c r="S83" s="222">
        <f t="shared" si="3"/>
        <v>0</v>
      </c>
      <c r="T83" s="194" t="s">
        <v>1191</v>
      </c>
      <c r="U83" s="194" t="s">
        <v>316</v>
      </c>
      <c r="V83" s="216">
        <v>21</v>
      </c>
      <c r="W83" s="216"/>
      <c r="X83" s="216"/>
      <c r="Y83" s="216">
        <v>0</v>
      </c>
      <c r="Z83" s="216">
        <v>25</v>
      </c>
      <c r="AA83" s="216">
        <v>240</v>
      </c>
      <c r="AB83" s="216">
        <v>60</v>
      </c>
      <c r="AC83" s="41">
        <v>240</v>
      </c>
      <c r="AD83" s="221" t="s">
        <v>1192</v>
      </c>
      <c r="AE83" s="41"/>
      <c r="AF83" s="41"/>
      <c r="AG83" s="41"/>
      <c r="AH83" s="41"/>
      <c r="AI83" s="41"/>
      <c r="AJ83" s="41"/>
      <c r="AK83" s="41"/>
      <c r="AL83" s="41"/>
      <c r="AM83" s="41"/>
      <c r="AN83" s="41"/>
      <c r="AO83" s="41"/>
      <c r="AP83" s="41"/>
    </row>
    <row r="84" spans="1:42" ht="86.25" customHeight="1" x14ac:dyDescent="0.25">
      <c r="A84" s="192"/>
      <c r="B84" s="192"/>
      <c r="C84" s="192"/>
      <c r="D84" s="206"/>
      <c r="E84" s="218"/>
      <c r="F84" s="206"/>
      <c r="G84" s="192"/>
      <c r="H84" s="217"/>
      <c r="I84" s="219"/>
      <c r="J84" s="219"/>
      <c r="K84" s="217"/>
      <c r="L84" s="219"/>
      <c r="M84" s="219"/>
      <c r="N84" s="216">
        <f t="shared" si="2"/>
        <v>0</v>
      </c>
      <c r="O84" s="217">
        <f t="shared" si="2"/>
        <v>0</v>
      </c>
      <c r="P84" s="217">
        <f t="shared" si="2"/>
        <v>0</v>
      </c>
      <c r="Q84" s="219"/>
      <c r="R84" s="219"/>
      <c r="S84" s="217">
        <f t="shared" si="3"/>
        <v>0</v>
      </c>
      <c r="T84" s="194" t="s">
        <v>1193</v>
      </c>
      <c r="U84" s="194" t="s">
        <v>1194</v>
      </c>
      <c r="V84" s="216">
        <v>34</v>
      </c>
      <c r="W84" s="216"/>
      <c r="X84" s="216"/>
      <c r="Y84" s="216">
        <v>0</v>
      </c>
      <c r="Z84" s="216">
        <v>6</v>
      </c>
      <c r="AA84" s="216">
        <v>0</v>
      </c>
      <c r="AB84" s="216">
        <v>0</v>
      </c>
      <c r="AC84" s="41">
        <v>180</v>
      </c>
      <c r="AD84" s="221" t="s">
        <v>1195</v>
      </c>
      <c r="AE84" s="41"/>
      <c r="AF84" s="41"/>
      <c r="AG84" s="41"/>
      <c r="AH84" s="41"/>
      <c r="AI84" s="41"/>
      <c r="AJ84" s="41"/>
      <c r="AK84" s="41"/>
      <c r="AL84" s="41"/>
      <c r="AM84" s="41"/>
      <c r="AN84" s="41"/>
      <c r="AO84" s="41"/>
      <c r="AP84" s="41"/>
    </row>
    <row r="85" spans="1:42" ht="108" customHeight="1" x14ac:dyDescent="0.25">
      <c r="A85" s="192"/>
      <c r="B85" s="192"/>
      <c r="C85" s="192"/>
      <c r="D85" s="206"/>
      <c r="E85" s="218"/>
      <c r="F85" s="206"/>
      <c r="G85" s="192"/>
      <c r="H85" s="217"/>
      <c r="I85" s="219"/>
      <c r="J85" s="219"/>
      <c r="K85" s="217"/>
      <c r="L85" s="219"/>
      <c r="M85" s="219"/>
      <c r="N85" s="216">
        <f t="shared" si="2"/>
        <v>0</v>
      </c>
      <c r="O85" s="217">
        <f t="shared" si="2"/>
        <v>0</v>
      </c>
      <c r="P85" s="217">
        <f t="shared" si="2"/>
        <v>0</v>
      </c>
      <c r="Q85" s="219"/>
      <c r="R85" s="219"/>
      <c r="S85" s="217">
        <f t="shared" si="3"/>
        <v>0</v>
      </c>
      <c r="T85" s="194" t="s">
        <v>1196</v>
      </c>
      <c r="U85" s="194" t="s">
        <v>1134</v>
      </c>
      <c r="V85" s="216">
        <v>11</v>
      </c>
      <c r="W85" s="216"/>
      <c r="X85" s="216"/>
      <c r="Y85" s="216">
        <v>0</v>
      </c>
      <c r="Z85" s="216">
        <v>11</v>
      </c>
      <c r="AA85" s="216">
        <v>150</v>
      </c>
      <c r="AB85" s="216">
        <v>0</v>
      </c>
      <c r="AC85" s="41">
        <v>150</v>
      </c>
      <c r="AD85" s="221" t="s">
        <v>1197</v>
      </c>
      <c r="AE85" s="41"/>
      <c r="AF85" s="41"/>
      <c r="AG85" s="41"/>
      <c r="AH85" s="41"/>
      <c r="AI85" s="41"/>
      <c r="AJ85" s="41"/>
      <c r="AK85" s="41"/>
      <c r="AL85" s="41"/>
      <c r="AM85" s="41"/>
      <c r="AN85" s="41"/>
      <c r="AO85" s="41"/>
      <c r="AP85" s="41"/>
    </row>
    <row r="86" spans="1:42" ht="119.25" customHeight="1" x14ac:dyDescent="0.25">
      <c r="A86" s="192"/>
      <c r="B86" s="192"/>
      <c r="C86" s="192"/>
      <c r="D86" s="206"/>
      <c r="E86" s="218"/>
      <c r="F86" s="206"/>
      <c r="G86" s="192"/>
      <c r="H86" s="217"/>
      <c r="I86" s="219"/>
      <c r="J86" s="219"/>
      <c r="K86" s="217"/>
      <c r="L86" s="219"/>
      <c r="M86" s="219"/>
      <c r="N86" s="216">
        <f t="shared" si="2"/>
        <v>0</v>
      </c>
      <c r="O86" s="217">
        <f t="shared" si="2"/>
        <v>0</v>
      </c>
      <c r="P86" s="217">
        <f t="shared" si="2"/>
        <v>0</v>
      </c>
      <c r="Q86" s="219"/>
      <c r="R86" s="219"/>
      <c r="S86" s="217">
        <f t="shared" si="3"/>
        <v>0</v>
      </c>
      <c r="T86" s="194" t="s">
        <v>1198</v>
      </c>
      <c r="U86" s="194" t="s">
        <v>316</v>
      </c>
      <c r="V86" s="216">
        <v>6</v>
      </c>
      <c r="W86" s="216"/>
      <c r="X86" s="216"/>
      <c r="Y86" s="216">
        <v>0</v>
      </c>
      <c r="Z86" s="216">
        <v>6</v>
      </c>
      <c r="AA86" s="216">
        <v>150</v>
      </c>
      <c r="AB86" s="216">
        <v>0</v>
      </c>
      <c r="AC86" s="41">
        <v>150</v>
      </c>
      <c r="AD86" s="81" t="s">
        <v>1199</v>
      </c>
      <c r="AE86" s="41"/>
      <c r="AF86" s="41"/>
      <c r="AG86" s="41"/>
      <c r="AH86" s="41"/>
      <c r="AI86" s="41"/>
      <c r="AJ86" s="41"/>
      <c r="AK86" s="41"/>
      <c r="AL86" s="41"/>
      <c r="AM86" s="41"/>
      <c r="AN86" s="41"/>
      <c r="AO86" s="41"/>
      <c r="AP86" s="41"/>
    </row>
    <row r="87" spans="1:42" ht="75" x14ac:dyDescent="0.25">
      <c r="A87" s="192"/>
      <c r="B87" s="192"/>
      <c r="C87" s="192"/>
      <c r="D87" s="206"/>
      <c r="E87" s="218"/>
      <c r="F87" s="206"/>
      <c r="G87" s="192"/>
      <c r="H87" s="217"/>
      <c r="I87" s="219"/>
      <c r="J87" s="219"/>
      <c r="K87" s="217"/>
      <c r="L87" s="219"/>
      <c r="M87" s="219"/>
      <c r="N87" s="216">
        <f t="shared" si="2"/>
        <v>0</v>
      </c>
      <c r="O87" s="217">
        <f t="shared" si="2"/>
        <v>0</v>
      </c>
      <c r="P87" s="217">
        <f t="shared" si="2"/>
        <v>0</v>
      </c>
      <c r="Q87" s="219"/>
      <c r="R87" s="219"/>
      <c r="S87" s="217">
        <f t="shared" si="3"/>
        <v>0</v>
      </c>
      <c r="T87" s="194" t="s">
        <v>1200</v>
      </c>
      <c r="U87" s="194" t="s">
        <v>316</v>
      </c>
      <c r="V87" s="216">
        <v>20</v>
      </c>
      <c r="W87" s="216"/>
      <c r="X87" s="216"/>
      <c r="Y87" s="216">
        <v>0</v>
      </c>
      <c r="Z87" s="216">
        <v>9</v>
      </c>
      <c r="AA87" s="216">
        <v>180</v>
      </c>
      <c r="AB87" s="216">
        <v>60</v>
      </c>
      <c r="AC87" s="41">
        <v>180</v>
      </c>
      <c r="AD87" s="221" t="s">
        <v>1201</v>
      </c>
      <c r="AE87" s="41"/>
      <c r="AF87" s="41"/>
      <c r="AG87" s="41"/>
      <c r="AH87" s="41"/>
      <c r="AI87" s="41"/>
      <c r="AJ87" s="41"/>
      <c r="AK87" s="41"/>
      <c r="AL87" s="41"/>
      <c r="AM87" s="41"/>
      <c r="AN87" s="41"/>
      <c r="AO87" s="41"/>
      <c r="AP87" s="41"/>
    </row>
    <row r="88" spans="1:42" ht="84" x14ac:dyDescent="0.25">
      <c r="A88" s="192" t="s">
        <v>156</v>
      </c>
      <c r="B88" s="192" t="s">
        <v>982</v>
      </c>
      <c r="C88" s="192" t="s">
        <v>1015</v>
      </c>
      <c r="D88" s="192">
        <v>222810000</v>
      </c>
      <c r="E88" s="192" t="s">
        <v>1026</v>
      </c>
      <c r="F88" s="192" t="s">
        <v>1027</v>
      </c>
      <c r="G88" s="192" t="s">
        <v>1028</v>
      </c>
      <c r="H88" s="216">
        <v>600000000</v>
      </c>
      <c r="I88" s="216">
        <v>548000000</v>
      </c>
      <c r="J88" s="144">
        <v>548000000</v>
      </c>
      <c r="K88" s="216">
        <v>0</v>
      </c>
      <c r="L88" s="216">
        <v>38837396</v>
      </c>
      <c r="M88" s="216"/>
      <c r="N88" s="216">
        <f t="shared" si="2"/>
        <v>600000000</v>
      </c>
      <c r="O88" s="216">
        <f t="shared" si="2"/>
        <v>586837396</v>
      </c>
      <c r="P88" s="216">
        <f t="shared" si="2"/>
        <v>548000000</v>
      </c>
      <c r="Q88" s="144">
        <v>490233339</v>
      </c>
      <c r="R88" s="216">
        <v>24003820</v>
      </c>
      <c r="S88" s="216">
        <f t="shared" si="3"/>
        <v>514237159</v>
      </c>
      <c r="T88" s="194">
        <v>0</v>
      </c>
      <c r="U88" s="194">
        <v>0</v>
      </c>
      <c r="V88" s="216">
        <v>0</v>
      </c>
      <c r="W88" s="216"/>
      <c r="X88" s="216"/>
      <c r="Y88" s="216"/>
      <c r="Z88" s="216"/>
      <c r="AA88" s="216">
        <v>0</v>
      </c>
      <c r="AB88" s="216"/>
      <c r="AC88" s="41">
        <v>0</v>
      </c>
      <c r="AD88" s="41"/>
      <c r="AE88" s="41"/>
      <c r="AF88" s="41"/>
      <c r="AG88" s="41"/>
      <c r="AH88" s="41"/>
      <c r="AI88" s="41"/>
      <c r="AJ88" s="41"/>
      <c r="AK88" s="41"/>
      <c r="AL88" s="41"/>
      <c r="AM88" s="41"/>
      <c r="AN88" s="41"/>
      <c r="AO88" s="41"/>
      <c r="AP88" s="41"/>
    </row>
    <row r="89" spans="1:42" x14ac:dyDescent="0.25">
      <c r="A89" s="192"/>
      <c r="B89" s="192"/>
      <c r="C89" s="192"/>
      <c r="D89" s="206"/>
      <c r="E89" s="206"/>
      <c r="F89" s="206"/>
      <c r="G89" s="192"/>
      <c r="H89" s="217"/>
      <c r="I89" s="216"/>
      <c r="J89" s="216"/>
      <c r="K89" s="216"/>
      <c r="L89" s="216"/>
      <c r="M89" s="216"/>
      <c r="N89" s="216">
        <f t="shared" si="2"/>
        <v>0</v>
      </c>
      <c r="O89" s="216">
        <f t="shared" si="2"/>
        <v>0</v>
      </c>
      <c r="P89" s="216">
        <f t="shared" si="2"/>
        <v>0</v>
      </c>
      <c r="Q89" s="216"/>
      <c r="R89" s="216"/>
      <c r="S89" s="216">
        <f t="shared" si="3"/>
        <v>0</v>
      </c>
      <c r="T89" s="194" t="s">
        <v>1202</v>
      </c>
      <c r="U89" s="194" t="s">
        <v>316</v>
      </c>
      <c r="V89" s="216">
        <v>0</v>
      </c>
      <c r="W89" s="216">
        <v>20</v>
      </c>
      <c r="X89" s="216"/>
      <c r="Y89" s="216">
        <v>20</v>
      </c>
      <c r="Z89" s="216">
        <v>20</v>
      </c>
      <c r="AA89" s="216">
        <v>40</v>
      </c>
      <c r="AB89" s="216">
        <v>22</v>
      </c>
      <c r="AC89" s="41">
        <v>40</v>
      </c>
      <c r="AD89" s="41"/>
      <c r="AE89" s="41"/>
      <c r="AF89" s="41"/>
      <c r="AG89" s="41"/>
      <c r="AH89" s="41"/>
      <c r="AI89" s="41"/>
      <c r="AJ89" s="41"/>
      <c r="AK89" s="41"/>
      <c r="AL89" s="41"/>
      <c r="AM89" s="41"/>
      <c r="AN89" s="41"/>
      <c r="AO89" s="41"/>
      <c r="AP89" s="41"/>
    </row>
    <row r="90" spans="1:42" x14ac:dyDescent="0.25">
      <c r="A90" s="192"/>
      <c r="B90" s="192"/>
      <c r="C90" s="192"/>
      <c r="D90" s="206"/>
      <c r="E90" s="206"/>
      <c r="F90" s="206"/>
      <c r="G90" s="192"/>
      <c r="H90" s="217"/>
      <c r="I90" s="216"/>
      <c r="J90" s="216"/>
      <c r="K90" s="216"/>
      <c r="L90" s="216"/>
      <c r="M90" s="216"/>
      <c r="N90" s="216">
        <f t="shared" si="2"/>
        <v>0</v>
      </c>
      <c r="O90" s="216">
        <f t="shared" si="2"/>
        <v>0</v>
      </c>
      <c r="P90" s="216">
        <f t="shared" si="2"/>
        <v>0</v>
      </c>
      <c r="Q90" s="216"/>
      <c r="R90" s="216"/>
      <c r="S90" s="216">
        <f t="shared" si="3"/>
        <v>0</v>
      </c>
      <c r="T90" s="194" t="s">
        <v>1203</v>
      </c>
      <c r="U90" s="194" t="s">
        <v>316</v>
      </c>
      <c r="V90" s="216">
        <v>0</v>
      </c>
      <c r="W90" s="216">
        <v>37</v>
      </c>
      <c r="X90" s="216"/>
      <c r="Y90" s="216">
        <v>37</v>
      </c>
      <c r="Z90" s="216">
        <v>151</v>
      </c>
      <c r="AA90" s="216">
        <v>140</v>
      </c>
      <c r="AB90" s="216">
        <v>37</v>
      </c>
      <c r="AC90" s="41">
        <v>140</v>
      </c>
      <c r="AD90" s="41"/>
      <c r="AE90" s="41"/>
      <c r="AF90" s="41"/>
      <c r="AG90" s="41"/>
      <c r="AH90" s="41"/>
      <c r="AI90" s="41"/>
      <c r="AJ90" s="41"/>
      <c r="AK90" s="41"/>
      <c r="AL90" s="41"/>
      <c r="AM90" s="41"/>
      <c r="AN90" s="41"/>
      <c r="AO90" s="41"/>
      <c r="AP90" s="41"/>
    </row>
    <row r="91" spans="1:42" ht="30" x14ac:dyDescent="0.25">
      <c r="A91" s="192"/>
      <c r="B91" s="192"/>
      <c r="C91" s="192"/>
      <c r="D91" s="206"/>
      <c r="E91" s="206"/>
      <c r="F91" s="206"/>
      <c r="G91" s="192"/>
      <c r="H91" s="217"/>
      <c r="I91" s="216"/>
      <c r="J91" s="216"/>
      <c r="K91" s="216"/>
      <c r="L91" s="216"/>
      <c r="M91" s="216"/>
      <c r="N91" s="216">
        <f t="shared" si="2"/>
        <v>0</v>
      </c>
      <c r="O91" s="216">
        <f t="shared" si="2"/>
        <v>0</v>
      </c>
      <c r="P91" s="216">
        <f t="shared" si="2"/>
        <v>0</v>
      </c>
      <c r="Q91" s="216"/>
      <c r="R91" s="216"/>
      <c r="S91" s="216">
        <f t="shared" si="3"/>
        <v>0</v>
      </c>
      <c r="T91" s="194" t="s">
        <v>1204</v>
      </c>
      <c r="U91" s="194" t="s">
        <v>1205</v>
      </c>
      <c r="V91" s="216">
        <v>0</v>
      </c>
      <c r="W91" s="216">
        <v>15</v>
      </c>
      <c r="X91" s="216"/>
      <c r="Y91" s="216">
        <v>15</v>
      </c>
      <c r="Z91" s="216">
        <v>30</v>
      </c>
      <c r="AA91" s="216">
        <v>30</v>
      </c>
      <c r="AB91" s="216">
        <v>15</v>
      </c>
      <c r="AC91" s="41">
        <v>30</v>
      </c>
      <c r="AD91" s="41"/>
      <c r="AE91" s="41"/>
      <c r="AF91" s="41"/>
      <c r="AG91" s="41"/>
      <c r="AH91" s="41"/>
      <c r="AI91" s="41"/>
      <c r="AJ91" s="41"/>
      <c r="AK91" s="41"/>
      <c r="AL91" s="41"/>
      <c r="AM91" s="41"/>
      <c r="AN91" s="41"/>
      <c r="AO91" s="41"/>
      <c r="AP91" s="41"/>
    </row>
    <row r="92" spans="1:42" ht="30" x14ac:dyDescent="0.25">
      <c r="A92" s="192"/>
      <c r="B92" s="192"/>
      <c r="C92" s="192"/>
      <c r="D92" s="206"/>
      <c r="E92" s="206"/>
      <c r="F92" s="206"/>
      <c r="G92" s="192"/>
      <c r="H92" s="217"/>
      <c r="I92" s="216"/>
      <c r="J92" s="216"/>
      <c r="K92" s="216"/>
      <c r="L92" s="216"/>
      <c r="M92" s="216"/>
      <c r="N92" s="216">
        <f t="shared" si="2"/>
        <v>0</v>
      </c>
      <c r="O92" s="216">
        <f t="shared" si="2"/>
        <v>0</v>
      </c>
      <c r="P92" s="216">
        <f t="shared" si="2"/>
        <v>0</v>
      </c>
      <c r="Q92" s="216"/>
      <c r="R92" s="216"/>
      <c r="S92" s="216"/>
      <c r="T92" s="194" t="s">
        <v>1206</v>
      </c>
      <c r="U92" s="194">
        <v>0</v>
      </c>
      <c r="V92" s="216">
        <v>0</v>
      </c>
      <c r="W92" s="216"/>
      <c r="X92" s="216"/>
      <c r="Y92" s="216"/>
      <c r="Z92" s="216"/>
      <c r="AA92" s="216">
        <v>0</v>
      </c>
      <c r="AB92" s="216"/>
      <c r="AC92" s="41">
        <v>0</v>
      </c>
      <c r="AD92" s="221" t="s">
        <v>1207</v>
      </c>
      <c r="AE92" s="41"/>
      <c r="AF92" s="41"/>
      <c r="AG92" s="41"/>
      <c r="AH92" s="41"/>
      <c r="AI92" s="41"/>
      <c r="AJ92" s="41"/>
      <c r="AK92" s="41"/>
      <c r="AL92" s="41"/>
      <c r="AM92" s="41"/>
      <c r="AN92" s="41"/>
      <c r="AO92" s="41"/>
      <c r="AP92" s="41"/>
    </row>
    <row r="93" spans="1:42" ht="30" x14ac:dyDescent="0.25">
      <c r="A93" s="192"/>
      <c r="B93" s="192"/>
      <c r="C93" s="192"/>
      <c r="D93" s="206"/>
      <c r="E93" s="206"/>
      <c r="F93" s="206"/>
      <c r="G93" s="192"/>
      <c r="H93" s="217"/>
      <c r="I93" s="216"/>
      <c r="J93" s="216"/>
      <c r="K93" s="216"/>
      <c r="L93" s="216"/>
      <c r="M93" s="216"/>
      <c r="N93" s="216">
        <f t="shared" si="2"/>
        <v>0</v>
      </c>
      <c r="O93" s="216">
        <f t="shared" si="2"/>
        <v>0</v>
      </c>
      <c r="P93" s="216">
        <f t="shared" si="2"/>
        <v>0</v>
      </c>
      <c r="Q93" s="216"/>
      <c r="R93" s="216"/>
      <c r="S93" s="216">
        <f t="shared" si="3"/>
        <v>0</v>
      </c>
      <c r="T93" s="194" t="s">
        <v>1208</v>
      </c>
      <c r="U93" s="194" t="s">
        <v>225</v>
      </c>
      <c r="V93" s="216">
        <v>0</v>
      </c>
      <c r="W93" s="216">
        <v>8</v>
      </c>
      <c r="X93" s="216"/>
      <c r="Y93" s="216">
        <v>0</v>
      </c>
      <c r="Z93" s="216"/>
      <c r="AA93" s="216">
        <v>180</v>
      </c>
      <c r="AB93" s="216"/>
      <c r="AC93" s="41">
        <v>180</v>
      </c>
      <c r="AD93" s="221" t="s">
        <v>1209</v>
      </c>
      <c r="AE93" s="41"/>
      <c r="AF93" s="41"/>
      <c r="AG93" s="41"/>
      <c r="AH93" s="41"/>
      <c r="AI93" s="41"/>
      <c r="AJ93" s="41"/>
      <c r="AK93" s="41"/>
      <c r="AL93" s="41"/>
      <c r="AM93" s="41"/>
      <c r="AN93" s="41"/>
      <c r="AO93" s="41"/>
      <c r="AP93" s="41"/>
    </row>
    <row r="94" spans="1:42" ht="30" x14ac:dyDescent="0.25">
      <c r="A94" s="192"/>
      <c r="B94" s="192"/>
      <c r="C94" s="192"/>
      <c r="D94" s="206"/>
      <c r="E94" s="206"/>
      <c r="F94" s="206"/>
      <c r="G94" s="192"/>
      <c r="H94" s="217"/>
      <c r="I94" s="216"/>
      <c r="J94" s="216"/>
      <c r="K94" s="216"/>
      <c r="L94" s="216"/>
      <c r="M94" s="216"/>
      <c r="N94" s="216">
        <f t="shared" si="2"/>
        <v>0</v>
      </c>
      <c r="O94" s="216">
        <f t="shared" si="2"/>
        <v>0</v>
      </c>
      <c r="P94" s="216">
        <f t="shared" si="2"/>
        <v>0</v>
      </c>
      <c r="Q94" s="216"/>
      <c r="R94" s="216"/>
      <c r="S94" s="216">
        <f t="shared" si="3"/>
        <v>0</v>
      </c>
      <c r="T94" s="194" t="s">
        <v>1210</v>
      </c>
      <c r="U94" s="194" t="s">
        <v>316</v>
      </c>
      <c r="V94" s="216">
        <v>20</v>
      </c>
      <c r="W94" s="216"/>
      <c r="X94" s="216"/>
      <c r="Y94" s="216">
        <v>0</v>
      </c>
      <c r="Z94" s="216">
        <v>20</v>
      </c>
      <c r="AA94" s="216">
        <v>150</v>
      </c>
      <c r="AB94" s="216">
        <v>0</v>
      </c>
      <c r="AC94" s="41">
        <v>150</v>
      </c>
      <c r="AD94" s="221" t="s">
        <v>1211</v>
      </c>
      <c r="AE94" s="41"/>
      <c r="AF94" s="41"/>
      <c r="AG94" s="41"/>
      <c r="AH94" s="41"/>
      <c r="AI94" s="41"/>
      <c r="AJ94" s="41"/>
      <c r="AK94" s="41"/>
      <c r="AL94" s="41"/>
      <c r="AM94" s="41"/>
      <c r="AN94" s="41"/>
      <c r="AO94" s="41"/>
      <c r="AP94" s="41"/>
    </row>
    <row r="95" spans="1:42" ht="118.5" customHeight="1" x14ac:dyDescent="0.25">
      <c r="A95" s="192" t="s">
        <v>156</v>
      </c>
      <c r="B95" s="192" t="s">
        <v>982</v>
      </c>
      <c r="C95" s="192" t="s">
        <v>1015</v>
      </c>
      <c r="D95" s="192">
        <v>222810000</v>
      </c>
      <c r="E95" s="192" t="s">
        <v>1029</v>
      </c>
      <c r="F95" s="192" t="s">
        <v>1030</v>
      </c>
      <c r="G95" s="192" t="s">
        <v>1031</v>
      </c>
      <c r="H95" s="216">
        <v>100000000</v>
      </c>
      <c r="I95" s="216">
        <v>0</v>
      </c>
      <c r="J95" s="216"/>
      <c r="K95" s="216">
        <v>0</v>
      </c>
      <c r="L95" s="216">
        <v>0</v>
      </c>
      <c r="M95" s="216"/>
      <c r="N95" s="216">
        <f t="shared" si="2"/>
        <v>100000000</v>
      </c>
      <c r="O95" s="216">
        <f t="shared" si="2"/>
        <v>0</v>
      </c>
      <c r="P95" s="216">
        <f t="shared" si="2"/>
        <v>0</v>
      </c>
      <c r="Q95" s="216">
        <v>0</v>
      </c>
      <c r="R95" s="216">
        <v>0</v>
      </c>
      <c r="S95" s="216">
        <f t="shared" si="3"/>
        <v>0</v>
      </c>
      <c r="T95" s="194" t="s">
        <v>1212</v>
      </c>
      <c r="U95" s="194">
        <v>0</v>
      </c>
      <c r="V95" s="216">
        <v>0</v>
      </c>
      <c r="W95" s="216"/>
      <c r="X95" s="216"/>
      <c r="Y95" s="216">
        <v>0</v>
      </c>
      <c r="Z95" s="216"/>
      <c r="AA95" s="216">
        <v>0</v>
      </c>
      <c r="AB95" s="216"/>
      <c r="AC95" s="41">
        <v>0</v>
      </c>
      <c r="AD95" s="221" t="s">
        <v>1213</v>
      </c>
      <c r="AE95" s="41"/>
      <c r="AF95" s="41"/>
      <c r="AG95" s="41"/>
      <c r="AH95" s="41"/>
      <c r="AI95" s="41"/>
      <c r="AJ95" s="41"/>
      <c r="AK95" s="41"/>
      <c r="AL95" s="41"/>
      <c r="AM95" s="41"/>
      <c r="AN95" s="41"/>
      <c r="AO95" s="41"/>
      <c r="AP95" s="41"/>
    </row>
    <row r="96" spans="1:42" ht="90.75" customHeight="1" x14ac:dyDescent="0.25">
      <c r="A96" s="192" t="s">
        <v>156</v>
      </c>
      <c r="B96" s="192" t="s">
        <v>982</v>
      </c>
      <c r="C96" s="192" t="s">
        <v>1015</v>
      </c>
      <c r="D96" s="192">
        <v>222810000</v>
      </c>
      <c r="E96" s="192" t="s">
        <v>1033</v>
      </c>
      <c r="F96" s="192" t="s">
        <v>1034</v>
      </c>
      <c r="G96" s="192" t="s">
        <v>1035</v>
      </c>
      <c r="H96" s="216">
        <v>100000000</v>
      </c>
      <c r="I96" s="216">
        <v>100000000</v>
      </c>
      <c r="J96" s="144">
        <v>100000000</v>
      </c>
      <c r="K96" s="216">
        <v>0</v>
      </c>
      <c r="L96" s="216">
        <v>50000000</v>
      </c>
      <c r="M96" s="216"/>
      <c r="N96" s="216">
        <f t="shared" si="2"/>
        <v>100000000</v>
      </c>
      <c r="O96" s="216">
        <f t="shared" si="2"/>
        <v>150000000</v>
      </c>
      <c r="P96" s="216">
        <f t="shared" si="2"/>
        <v>100000000</v>
      </c>
      <c r="Q96" s="144">
        <v>100000000</v>
      </c>
      <c r="R96" s="216">
        <v>50000000</v>
      </c>
      <c r="S96" s="216">
        <f t="shared" si="3"/>
        <v>150000000</v>
      </c>
      <c r="T96" s="194" t="s">
        <v>1214</v>
      </c>
      <c r="U96" s="194" t="s">
        <v>316</v>
      </c>
      <c r="V96" s="216">
        <v>25</v>
      </c>
      <c r="W96" s="216"/>
      <c r="X96" s="216"/>
      <c r="Y96" s="216">
        <v>15</v>
      </c>
      <c r="Z96" s="216">
        <v>25</v>
      </c>
      <c r="AA96" s="216">
        <v>180</v>
      </c>
      <c r="AB96" s="216">
        <v>180</v>
      </c>
      <c r="AC96" s="41">
        <v>180</v>
      </c>
      <c r="AD96" s="41"/>
      <c r="AE96" s="41" t="s">
        <v>102</v>
      </c>
      <c r="AF96" s="41" t="s">
        <v>102</v>
      </c>
      <c r="AG96" s="41" t="s">
        <v>102</v>
      </c>
      <c r="AH96" s="41" t="s">
        <v>102</v>
      </c>
      <c r="AI96" s="41" t="s">
        <v>102</v>
      </c>
      <c r="AJ96" s="41" t="s">
        <v>102</v>
      </c>
      <c r="AK96" s="41"/>
      <c r="AL96" s="41"/>
      <c r="AM96" s="41"/>
      <c r="AN96" s="41"/>
      <c r="AO96" s="41"/>
      <c r="AP96" s="41"/>
    </row>
    <row r="97" spans="1:42" ht="30" x14ac:dyDescent="0.25">
      <c r="A97" s="192"/>
      <c r="B97" s="192"/>
      <c r="C97" s="192"/>
      <c r="D97" s="206"/>
      <c r="E97" s="218"/>
      <c r="F97" s="206"/>
      <c r="G97" s="192"/>
      <c r="H97" s="217"/>
      <c r="I97" s="219"/>
      <c r="J97" s="219"/>
      <c r="K97" s="217"/>
      <c r="L97" s="219"/>
      <c r="M97" s="219"/>
      <c r="N97" s="216">
        <f t="shared" si="2"/>
        <v>0</v>
      </c>
      <c r="O97" s="217">
        <f t="shared" si="2"/>
        <v>0</v>
      </c>
      <c r="P97" s="217">
        <f t="shared" si="2"/>
        <v>0</v>
      </c>
      <c r="Q97" s="219"/>
      <c r="R97" s="219"/>
      <c r="S97" s="217">
        <f t="shared" si="3"/>
        <v>0</v>
      </c>
      <c r="T97" s="194" t="s">
        <v>1215</v>
      </c>
      <c r="U97" s="194" t="s">
        <v>316</v>
      </c>
      <c r="V97" s="216">
        <v>25</v>
      </c>
      <c r="W97" s="216"/>
      <c r="X97" s="216"/>
      <c r="Y97" s="216">
        <v>0</v>
      </c>
      <c r="Z97" s="216">
        <v>25</v>
      </c>
      <c r="AA97" s="216">
        <v>180</v>
      </c>
      <c r="AB97" s="216">
        <v>0</v>
      </c>
      <c r="AC97" s="41">
        <v>180</v>
      </c>
      <c r="AD97" s="221" t="s">
        <v>1216</v>
      </c>
      <c r="AE97" s="41" t="s">
        <v>102</v>
      </c>
      <c r="AF97" s="41" t="s">
        <v>102</v>
      </c>
      <c r="AG97" s="41" t="s">
        <v>102</v>
      </c>
      <c r="AH97" s="41" t="s">
        <v>102</v>
      </c>
      <c r="AI97" s="41" t="s">
        <v>102</v>
      </c>
      <c r="AJ97" s="41" t="s">
        <v>102</v>
      </c>
      <c r="AK97" s="41"/>
      <c r="AL97" s="41"/>
      <c r="AM97" s="41"/>
      <c r="AN97" s="41"/>
      <c r="AO97" s="41"/>
      <c r="AP97" s="41"/>
    </row>
    <row r="98" spans="1:42" ht="30" x14ac:dyDescent="0.25">
      <c r="A98" s="192"/>
      <c r="B98" s="192"/>
      <c r="C98" s="192"/>
      <c r="D98" s="206"/>
      <c r="E98" s="218"/>
      <c r="F98" s="206"/>
      <c r="G98" s="192"/>
      <c r="H98" s="217"/>
      <c r="I98" s="219"/>
      <c r="J98" s="219"/>
      <c r="K98" s="217"/>
      <c r="L98" s="219"/>
      <c r="M98" s="219"/>
      <c r="N98" s="216">
        <f t="shared" si="2"/>
        <v>0</v>
      </c>
      <c r="O98" s="217">
        <f t="shared" si="2"/>
        <v>0</v>
      </c>
      <c r="P98" s="217">
        <f t="shared" si="2"/>
        <v>0</v>
      </c>
      <c r="Q98" s="219"/>
      <c r="R98" s="219"/>
      <c r="S98" s="217">
        <f t="shared" si="3"/>
        <v>0</v>
      </c>
      <c r="T98" s="194" t="s">
        <v>1217</v>
      </c>
      <c r="U98" s="194" t="s">
        <v>316</v>
      </c>
      <c r="V98" s="216">
        <v>1</v>
      </c>
      <c r="W98" s="216"/>
      <c r="X98" s="216"/>
      <c r="Y98" s="216">
        <v>1</v>
      </c>
      <c r="Z98" s="216">
        <v>1</v>
      </c>
      <c r="AA98" s="216">
        <v>90</v>
      </c>
      <c r="AB98" s="216">
        <v>90</v>
      </c>
      <c r="AC98" s="41">
        <v>90</v>
      </c>
      <c r="AD98" s="41"/>
      <c r="AE98" s="41"/>
      <c r="AF98" s="41" t="s">
        <v>102</v>
      </c>
      <c r="AG98" s="41" t="s">
        <v>102</v>
      </c>
      <c r="AH98" s="41" t="s">
        <v>102</v>
      </c>
      <c r="AI98" s="41"/>
      <c r="AJ98" s="41"/>
      <c r="AK98" s="41"/>
      <c r="AL98" s="41"/>
      <c r="AM98" s="41"/>
      <c r="AN98" s="41"/>
      <c r="AO98" s="41"/>
      <c r="AP98" s="41"/>
    </row>
    <row r="99" spans="1:42" ht="103.5" customHeight="1" x14ac:dyDescent="0.25">
      <c r="A99" s="192" t="s">
        <v>156</v>
      </c>
      <c r="B99" s="192" t="s">
        <v>982</v>
      </c>
      <c r="C99" s="192" t="s">
        <v>1015</v>
      </c>
      <c r="D99" s="192">
        <v>222810005</v>
      </c>
      <c r="E99" s="192" t="s">
        <v>1037</v>
      </c>
      <c r="F99" s="192" t="s">
        <v>1038</v>
      </c>
      <c r="G99" s="192" t="s">
        <v>1039</v>
      </c>
      <c r="H99" s="216">
        <v>500000000</v>
      </c>
      <c r="I99" s="216">
        <v>500000000</v>
      </c>
      <c r="J99" s="144">
        <v>500000000</v>
      </c>
      <c r="K99" s="216">
        <v>0</v>
      </c>
      <c r="L99" s="216">
        <v>318771116</v>
      </c>
      <c r="M99" s="216"/>
      <c r="N99" s="216">
        <f t="shared" si="2"/>
        <v>500000000</v>
      </c>
      <c r="O99" s="216">
        <f t="shared" si="2"/>
        <v>818771116</v>
      </c>
      <c r="P99" s="216">
        <f t="shared" si="2"/>
        <v>500000000</v>
      </c>
      <c r="Q99" s="144">
        <v>500000000</v>
      </c>
      <c r="R99" s="216">
        <v>318771116</v>
      </c>
      <c r="S99" s="216">
        <f t="shared" si="3"/>
        <v>818771116</v>
      </c>
      <c r="T99" s="194" t="s">
        <v>1218</v>
      </c>
      <c r="U99" s="194" t="s">
        <v>225</v>
      </c>
      <c r="V99" s="216">
        <v>33</v>
      </c>
      <c r="W99" s="216"/>
      <c r="X99" s="216"/>
      <c r="Y99" s="216">
        <v>0</v>
      </c>
      <c r="Z99" s="216">
        <v>33</v>
      </c>
      <c r="AA99" s="216">
        <v>180</v>
      </c>
      <c r="AB99" s="216">
        <v>60</v>
      </c>
      <c r="AC99" s="41">
        <v>180</v>
      </c>
      <c r="AD99" s="10" t="s">
        <v>1216</v>
      </c>
      <c r="AE99" s="41"/>
      <c r="AF99" s="41"/>
      <c r="AG99" s="41"/>
      <c r="AH99" s="41" t="s">
        <v>102</v>
      </c>
      <c r="AI99" s="41" t="s">
        <v>102</v>
      </c>
      <c r="AJ99" s="41" t="s">
        <v>102</v>
      </c>
      <c r="AK99" s="41" t="s">
        <v>102</v>
      </c>
      <c r="AL99" s="41" t="s">
        <v>102</v>
      </c>
      <c r="AM99" s="41" t="s">
        <v>102</v>
      </c>
      <c r="AN99" s="41"/>
      <c r="AO99" s="41"/>
      <c r="AP99" s="41"/>
    </row>
    <row r="100" spans="1:42" ht="45" x14ac:dyDescent="0.25">
      <c r="A100" s="192"/>
      <c r="B100" s="192"/>
      <c r="C100" s="192"/>
      <c r="D100" s="206"/>
      <c r="E100" s="218"/>
      <c r="F100" s="206"/>
      <c r="G100" s="192"/>
      <c r="H100" s="216"/>
      <c r="I100" s="216"/>
      <c r="J100" s="216"/>
      <c r="K100" s="216"/>
      <c r="L100" s="216"/>
      <c r="M100" s="216"/>
      <c r="N100" s="216">
        <f t="shared" si="2"/>
        <v>0</v>
      </c>
      <c r="O100" s="216">
        <f t="shared" si="2"/>
        <v>0</v>
      </c>
      <c r="P100" s="216">
        <f t="shared" si="2"/>
        <v>0</v>
      </c>
      <c r="Q100" s="216"/>
      <c r="R100" s="216"/>
      <c r="S100" s="216">
        <f t="shared" si="3"/>
        <v>0</v>
      </c>
      <c r="T100" s="194" t="s">
        <v>1219</v>
      </c>
      <c r="U100" s="194" t="s">
        <v>316</v>
      </c>
      <c r="V100" s="216">
        <v>2</v>
      </c>
      <c r="W100" s="216"/>
      <c r="X100" s="216"/>
      <c r="Y100" s="216">
        <v>0</v>
      </c>
      <c r="Z100" s="216">
        <v>2</v>
      </c>
      <c r="AA100" s="216">
        <v>240</v>
      </c>
      <c r="AB100" s="216">
        <v>90</v>
      </c>
      <c r="AC100" s="41">
        <v>240</v>
      </c>
      <c r="AD100" s="221" t="s">
        <v>1120</v>
      </c>
      <c r="AE100" s="41"/>
      <c r="AF100" s="41"/>
      <c r="AG100" s="41" t="s">
        <v>102</v>
      </c>
      <c r="AH100" s="41" t="s">
        <v>102</v>
      </c>
      <c r="AI100" s="41" t="s">
        <v>102</v>
      </c>
      <c r="AJ100" s="41" t="s">
        <v>102</v>
      </c>
      <c r="AK100" s="41" t="s">
        <v>102</v>
      </c>
      <c r="AL100" s="41" t="s">
        <v>102</v>
      </c>
      <c r="AM100" s="41" t="s">
        <v>102</v>
      </c>
      <c r="AN100" s="41" t="s">
        <v>102</v>
      </c>
      <c r="AO100" s="41" t="s">
        <v>102</v>
      </c>
      <c r="AP100" s="41"/>
    </row>
    <row r="101" spans="1:42" ht="45" x14ac:dyDescent="0.25">
      <c r="A101" s="192"/>
      <c r="B101" s="192"/>
      <c r="C101" s="192"/>
      <c r="D101" s="206"/>
      <c r="E101" s="218"/>
      <c r="F101" s="206"/>
      <c r="G101" s="192"/>
      <c r="H101" s="216"/>
      <c r="I101" s="216"/>
      <c r="J101" s="216"/>
      <c r="K101" s="216"/>
      <c r="L101" s="216"/>
      <c r="M101" s="216"/>
      <c r="N101" s="216">
        <f t="shared" si="2"/>
        <v>0</v>
      </c>
      <c r="O101" s="216">
        <f t="shared" si="2"/>
        <v>0</v>
      </c>
      <c r="P101" s="216">
        <f t="shared" si="2"/>
        <v>0</v>
      </c>
      <c r="Q101" s="216"/>
      <c r="R101" s="216"/>
      <c r="S101" s="216">
        <f t="shared" si="3"/>
        <v>0</v>
      </c>
      <c r="T101" s="194" t="s">
        <v>1220</v>
      </c>
      <c r="U101" s="194" t="s">
        <v>316</v>
      </c>
      <c r="V101" s="216">
        <v>266</v>
      </c>
      <c r="W101" s="216"/>
      <c r="X101" s="216"/>
      <c r="Y101" s="216">
        <v>0</v>
      </c>
      <c r="Z101" s="216">
        <v>266</v>
      </c>
      <c r="AA101" s="216">
        <v>240</v>
      </c>
      <c r="AB101" s="216">
        <v>60</v>
      </c>
      <c r="AC101" s="41">
        <v>240</v>
      </c>
      <c r="AD101" s="221" t="s">
        <v>1120</v>
      </c>
      <c r="AE101" s="41"/>
      <c r="AF101" s="41"/>
      <c r="AG101" s="41" t="s">
        <v>102</v>
      </c>
      <c r="AH101" s="41" t="s">
        <v>102</v>
      </c>
      <c r="AI101" s="41" t="s">
        <v>102</v>
      </c>
      <c r="AJ101" s="41" t="s">
        <v>102</v>
      </c>
      <c r="AK101" s="41" t="s">
        <v>102</v>
      </c>
      <c r="AL101" s="41" t="s">
        <v>102</v>
      </c>
      <c r="AM101" s="41" t="s">
        <v>102</v>
      </c>
      <c r="AN101" s="41" t="s">
        <v>102</v>
      </c>
      <c r="AO101" s="41"/>
      <c r="AP101" s="41"/>
    </row>
    <row r="102" spans="1:42" ht="84" x14ac:dyDescent="0.25">
      <c r="A102" s="192" t="s">
        <v>156</v>
      </c>
      <c r="B102" s="192" t="s">
        <v>982</v>
      </c>
      <c r="C102" s="192" t="s">
        <v>1015</v>
      </c>
      <c r="D102" s="192">
        <v>222810005</v>
      </c>
      <c r="E102" s="192" t="s">
        <v>1041</v>
      </c>
      <c r="F102" s="192" t="s">
        <v>1042</v>
      </c>
      <c r="G102" s="192" t="s">
        <v>1043</v>
      </c>
      <c r="H102" s="216">
        <v>400000000</v>
      </c>
      <c r="I102" s="216">
        <v>400000000</v>
      </c>
      <c r="J102" s="144">
        <v>400000000</v>
      </c>
      <c r="K102" s="216">
        <v>0</v>
      </c>
      <c r="L102" s="216">
        <v>10000000</v>
      </c>
      <c r="M102" s="216"/>
      <c r="N102" s="216">
        <f t="shared" si="2"/>
        <v>400000000</v>
      </c>
      <c r="O102" s="216">
        <f t="shared" si="2"/>
        <v>410000000</v>
      </c>
      <c r="P102" s="216">
        <f t="shared" si="2"/>
        <v>400000000</v>
      </c>
      <c r="Q102" s="144">
        <v>400000000</v>
      </c>
      <c r="R102" s="216">
        <v>0</v>
      </c>
      <c r="S102" s="216">
        <f t="shared" si="3"/>
        <v>400000000</v>
      </c>
      <c r="T102" s="194" t="s">
        <v>1221</v>
      </c>
      <c r="U102" s="194" t="s">
        <v>316</v>
      </c>
      <c r="V102" s="216">
        <v>130</v>
      </c>
      <c r="W102" s="216"/>
      <c r="X102" s="216"/>
      <c r="Y102" s="216">
        <v>0</v>
      </c>
      <c r="Z102" s="216">
        <v>130</v>
      </c>
      <c r="AA102" s="216">
        <v>240</v>
      </c>
      <c r="AB102" s="216">
        <v>60</v>
      </c>
      <c r="AC102" s="41">
        <v>240</v>
      </c>
      <c r="AD102" s="10" t="s">
        <v>1120</v>
      </c>
      <c r="AE102" s="41"/>
      <c r="AF102" s="41"/>
      <c r="AG102" s="41" t="s">
        <v>102</v>
      </c>
      <c r="AH102" s="41" t="s">
        <v>102</v>
      </c>
      <c r="AI102" s="41" t="s">
        <v>102</v>
      </c>
      <c r="AJ102" s="41" t="s">
        <v>102</v>
      </c>
      <c r="AK102" s="41" t="s">
        <v>102</v>
      </c>
      <c r="AL102" s="41" t="s">
        <v>102</v>
      </c>
      <c r="AM102" s="41" t="s">
        <v>102</v>
      </c>
      <c r="AN102" s="41" t="s">
        <v>102</v>
      </c>
      <c r="AO102" s="41"/>
      <c r="AP102" s="41"/>
    </row>
    <row r="103" spans="1:42" ht="30" x14ac:dyDescent="0.25">
      <c r="A103" s="192"/>
      <c r="B103" s="192"/>
      <c r="C103" s="192"/>
      <c r="D103" s="206"/>
      <c r="E103" s="218"/>
      <c r="F103" s="206"/>
      <c r="G103" s="192"/>
      <c r="H103" s="217"/>
      <c r="I103" s="219"/>
      <c r="J103" s="219"/>
      <c r="K103" s="217"/>
      <c r="L103" s="219"/>
      <c r="M103" s="219"/>
      <c r="N103" s="216">
        <f t="shared" si="2"/>
        <v>0</v>
      </c>
      <c r="O103" s="217">
        <f t="shared" si="2"/>
        <v>0</v>
      </c>
      <c r="P103" s="217">
        <f t="shared" si="2"/>
        <v>0</v>
      </c>
      <c r="Q103" s="219"/>
      <c r="R103" s="219"/>
      <c r="S103" s="217">
        <f t="shared" si="3"/>
        <v>0</v>
      </c>
      <c r="T103" s="194" t="s">
        <v>1222</v>
      </c>
      <c r="U103" s="194" t="s">
        <v>1223</v>
      </c>
      <c r="V103" s="216">
        <v>161000000</v>
      </c>
      <c r="W103" s="216"/>
      <c r="X103" s="216"/>
      <c r="Y103" s="216">
        <v>32000000</v>
      </c>
      <c r="Z103" s="216">
        <v>161000000</v>
      </c>
      <c r="AA103" s="216">
        <v>240</v>
      </c>
      <c r="AB103" s="216">
        <v>60</v>
      </c>
      <c r="AC103" s="41">
        <v>240</v>
      </c>
      <c r="AD103" s="221" t="s">
        <v>1120</v>
      </c>
      <c r="AE103" s="41"/>
      <c r="AF103" s="41"/>
      <c r="AG103" s="41"/>
      <c r="AH103" s="41"/>
      <c r="AI103" s="41"/>
      <c r="AJ103" s="41"/>
      <c r="AK103" s="41"/>
      <c r="AL103" s="41"/>
      <c r="AM103" s="41"/>
      <c r="AN103" s="41"/>
      <c r="AO103" s="41"/>
      <c r="AP103" s="41"/>
    </row>
    <row r="104" spans="1:42" ht="81" customHeight="1" x14ac:dyDescent="0.25">
      <c r="A104" s="192"/>
      <c r="B104" s="192"/>
      <c r="C104" s="192"/>
      <c r="D104" s="206"/>
      <c r="E104" s="218"/>
      <c r="F104" s="206"/>
      <c r="G104" s="192"/>
      <c r="H104" s="217"/>
      <c r="I104" s="219"/>
      <c r="J104" s="219"/>
      <c r="K104" s="217"/>
      <c r="L104" s="219"/>
      <c r="M104" s="219"/>
      <c r="N104" s="216">
        <f t="shared" si="2"/>
        <v>0</v>
      </c>
      <c r="O104" s="217">
        <f t="shared" si="2"/>
        <v>0</v>
      </c>
      <c r="P104" s="217">
        <f t="shared" si="2"/>
        <v>0</v>
      </c>
      <c r="Q104" s="219"/>
      <c r="R104" s="219"/>
      <c r="S104" s="217">
        <f t="shared" si="3"/>
        <v>0</v>
      </c>
      <c r="T104" s="194" t="s">
        <v>1224</v>
      </c>
      <c r="U104" s="194" t="s">
        <v>316</v>
      </c>
      <c r="V104" s="216">
        <v>130</v>
      </c>
      <c r="W104" s="216"/>
      <c r="X104" s="216"/>
      <c r="Y104" s="216">
        <v>0</v>
      </c>
      <c r="Z104" s="216">
        <v>130</v>
      </c>
      <c r="AA104" s="216">
        <v>300</v>
      </c>
      <c r="AB104" s="216">
        <v>120</v>
      </c>
      <c r="AC104" s="41">
        <v>300</v>
      </c>
      <c r="AD104" s="221" t="s">
        <v>1225</v>
      </c>
      <c r="AE104" s="41"/>
      <c r="AF104" s="41"/>
      <c r="AG104" s="41"/>
      <c r="AH104" s="41"/>
      <c r="AI104" s="41"/>
      <c r="AJ104" s="41"/>
      <c r="AK104" s="41"/>
      <c r="AL104" s="41"/>
      <c r="AM104" s="41"/>
      <c r="AN104" s="41"/>
      <c r="AO104" s="41"/>
      <c r="AP104" s="41"/>
    </row>
    <row r="105" spans="1:42" ht="66" customHeight="1" x14ac:dyDescent="0.25">
      <c r="A105" s="192"/>
      <c r="B105" s="192"/>
      <c r="C105" s="192"/>
      <c r="D105" s="206"/>
      <c r="E105" s="218"/>
      <c r="F105" s="206"/>
      <c r="G105" s="192"/>
      <c r="H105" s="217"/>
      <c r="I105" s="219"/>
      <c r="J105" s="219"/>
      <c r="K105" s="217"/>
      <c r="L105" s="219"/>
      <c r="M105" s="219"/>
      <c r="N105" s="216">
        <f t="shared" si="2"/>
        <v>0</v>
      </c>
      <c r="O105" s="217">
        <f t="shared" si="2"/>
        <v>0</v>
      </c>
      <c r="P105" s="217">
        <f t="shared" si="2"/>
        <v>0</v>
      </c>
      <c r="Q105" s="219"/>
      <c r="R105" s="219"/>
      <c r="S105" s="217">
        <f t="shared" si="3"/>
        <v>0</v>
      </c>
      <c r="T105" s="194" t="s">
        <v>1226</v>
      </c>
      <c r="U105" s="194" t="s">
        <v>316</v>
      </c>
      <c r="V105" s="216">
        <v>75</v>
      </c>
      <c r="W105" s="216"/>
      <c r="X105" s="216"/>
      <c r="Y105" s="216">
        <v>75</v>
      </c>
      <c r="Z105" s="216">
        <v>97</v>
      </c>
      <c r="AA105" s="216">
        <v>270</v>
      </c>
      <c r="AB105" s="216">
        <v>150</v>
      </c>
      <c r="AC105" s="41">
        <v>270</v>
      </c>
      <c r="AD105" s="10" t="s">
        <v>1227</v>
      </c>
      <c r="AE105" s="41"/>
      <c r="AF105" s="41"/>
      <c r="AG105" s="41"/>
      <c r="AH105" s="41"/>
      <c r="AI105" s="41"/>
      <c r="AJ105" s="41"/>
      <c r="AK105" s="41"/>
      <c r="AL105" s="41"/>
      <c r="AM105" s="41"/>
      <c r="AN105" s="41"/>
      <c r="AO105" s="41"/>
      <c r="AP105" s="41"/>
    </row>
    <row r="106" spans="1:42" ht="56.25" customHeight="1" x14ac:dyDescent="0.25">
      <c r="A106" s="192"/>
      <c r="B106" s="192"/>
      <c r="C106" s="192"/>
      <c r="D106" s="206"/>
      <c r="E106" s="218"/>
      <c r="F106" s="206"/>
      <c r="G106" s="192"/>
      <c r="H106" s="217"/>
      <c r="I106" s="219"/>
      <c r="J106" s="219"/>
      <c r="K106" s="217"/>
      <c r="L106" s="219"/>
      <c r="M106" s="219"/>
      <c r="N106" s="216">
        <f t="shared" si="2"/>
        <v>0</v>
      </c>
      <c r="O106" s="217">
        <f t="shared" si="2"/>
        <v>0</v>
      </c>
      <c r="P106" s="217">
        <f t="shared" si="2"/>
        <v>0</v>
      </c>
      <c r="Q106" s="219"/>
      <c r="R106" s="219"/>
      <c r="S106" s="217"/>
      <c r="T106" s="194" t="s">
        <v>1228</v>
      </c>
      <c r="U106" s="194" t="s">
        <v>316</v>
      </c>
      <c r="V106" s="216">
        <v>75</v>
      </c>
      <c r="W106" s="216"/>
      <c r="X106" s="216"/>
      <c r="Y106" s="216">
        <v>75</v>
      </c>
      <c r="Z106" s="216">
        <v>50</v>
      </c>
      <c r="AA106" s="216">
        <v>270</v>
      </c>
      <c r="AB106" s="216">
        <v>150</v>
      </c>
      <c r="AC106" s="41">
        <v>270</v>
      </c>
      <c r="AD106" s="221" t="s">
        <v>1229</v>
      </c>
      <c r="AE106" s="41"/>
      <c r="AF106" s="41"/>
      <c r="AG106" s="41"/>
      <c r="AH106" s="41"/>
      <c r="AI106" s="41" t="s">
        <v>102</v>
      </c>
      <c r="AJ106" s="41" t="s">
        <v>102</v>
      </c>
      <c r="AK106" s="41" t="s">
        <v>102</v>
      </c>
      <c r="AL106" s="41" t="s">
        <v>102</v>
      </c>
      <c r="AM106" s="41" t="s">
        <v>102</v>
      </c>
      <c r="AN106" s="41" t="s">
        <v>102</v>
      </c>
      <c r="AO106" s="41" t="s">
        <v>102</v>
      </c>
      <c r="AP106" s="41" t="s">
        <v>102</v>
      </c>
    </row>
    <row r="107" spans="1:42" ht="111.75" customHeight="1" x14ac:dyDescent="0.25">
      <c r="A107" s="192"/>
      <c r="B107" s="192"/>
      <c r="C107" s="192"/>
      <c r="D107" s="206"/>
      <c r="E107" s="218"/>
      <c r="F107" s="206"/>
      <c r="G107" s="192"/>
      <c r="H107" s="217"/>
      <c r="I107" s="219"/>
      <c r="J107" s="219"/>
      <c r="K107" s="217"/>
      <c r="L107" s="219"/>
      <c r="M107" s="219"/>
      <c r="N107" s="216">
        <f t="shared" si="2"/>
        <v>0</v>
      </c>
      <c r="O107" s="217">
        <f t="shared" si="2"/>
        <v>0</v>
      </c>
      <c r="P107" s="217">
        <f t="shared" si="2"/>
        <v>0</v>
      </c>
      <c r="Q107" s="219"/>
      <c r="R107" s="219"/>
      <c r="S107" s="217"/>
      <c r="T107" s="194" t="s">
        <v>1230</v>
      </c>
      <c r="U107" s="194" t="s">
        <v>316</v>
      </c>
      <c r="V107" s="216">
        <v>39</v>
      </c>
      <c r="W107" s="216">
        <v>22</v>
      </c>
      <c r="X107" s="216"/>
      <c r="Y107" s="216">
        <v>22</v>
      </c>
      <c r="Z107" s="216">
        <v>39</v>
      </c>
      <c r="AA107" s="216">
        <v>330</v>
      </c>
      <c r="AB107" s="216">
        <v>180</v>
      </c>
      <c r="AC107" s="41">
        <v>330</v>
      </c>
      <c r="AD107" s="221" t="s">
        <v>1231</v>
      </c>
      <c r="AE107" s="41"/>
      <c r="AF107" s="41"/>
      <c r="AG107" s="41"/>
      <c r="AH107" s="41"/>
      <c r="AI107" s="41" t="s">
        <v>102</v>
      </c>
      <c r="AJ107" s="41" t="s">
        <v>102</v>
      </c>
      <c r="AK107" s="41" t="s">
        <v>102</v>
      </c>
      <c r="AL107" s="41" t="s">
        <v>102</v>
      </c>
      <c r="AM107" s="41" t="s">
        <v>102</v>
      </c>
      <c r="AN107" s="41" t="s">
        <v>102</v>
      </c>
      <c r="AO107" s="41" t="s">
        <v>102</v>
      </c>
      <c r="AP107" s="41" t="s">
        <v>102</v>
      </c>
    </row>
    <row r="108" spans="1:42" ht="45" x14ac:dyDescent="0.25">
      <c r="A108" s="192"/>
      <c r="B108" s="192"/>
      <c r="C108" s="192"/>
      <c r="D108" s="206"/>
      <c r="E108" s="218"/>
      <c r="F108" s="206"/>
      <c r="G108" s="192"/>
      <c r="H108" s="217"/>
      <c r="I108" s="219"/>
      <c r="J108" s="219"/>
      <c r="K108" s="217"/>
      <c r="L108" s="219"/>
      <c r="M108" s="219"/>
      <c r="N108" s="216">
        <f t="shared" si="2"/>
        <v>0</v>
      </c>
      <c r="O108" s="217">
        <f t="shared" si="2"/>
        <v>0</v>
      </c>
      <c r="P108" s="217">
        <f t="shared" si="2"/>
        <v>0</v>
      </c>
      <c r="Q108" s="219"/>
      <c r="R108" s="219"/>
      <c r="S108" s="217"/>
      <c r="T108" s="194" t="s">
        <v>1232</v>
      </c>
      <c r="U108" s="194" t="s">
        <v>316</v>
      </c>
      <c r="V108" s="216">
        <v>125</v>
      </c>
      <c r="W108" s="216">
        <v>111</v>
      </c>
      <c r="X108" s="216"/>
      <c r="Y108" s="216">
        <v>111</v>
      </c>
      <c r="Z108" s="216">
        <v>125</v>
      </c>
      <c r="AA108" s="216">
        <v>270</v>
      </c>
      <c r="AB108" s="216">
        <v>90</v>
      </c>
      <c r="AC108" s="41">
        <v>270</v>
      </c>
      <c r="AD108" s="221" t="s">
        <v>1233</v>
      </c>
      <c r="AE108" s="41"/>
      <c r="AF108" s="41"/>
      <c r="AG108" s="41" t="s">
        <v>102</v>
      </c>
      <c r="AH108" s="41" t="s">
        <v>102</v>
      </c>
      <c r="AI108" s="41" t="s">
        <v>102</v>
      </c>
      <c r="AJ108" s="41" t="s">
        <v>102</v>
      </c>
      <c r="AK108" s="41" t="s">
        <v>102</v>
      </c>
      <c r="AL108" s="41" t="s">
        <v>102</v>
      </c>
      <c r="AM108" s="41" t="s">
        <v>102</v>
      </c>
      <c r="AN108" s="41" t="s">
        <v>102</v>
      </c>
      <c r="AO108" s="41" t="s">
        <v>102</v>
      </c>
      <c r="AP108" s="41" t="s">
        <v>102</v>
      </c>
    </row>
    <row r="109" spans="1:42" ht="64.5" customHeight="1" x14ac:dyDescent="0.25">
      <c r="A109" s="192" t="s">
        <v>275</v>
      </c>
      <c r="B109" s="192" t="s">
        <v>276</v>
      </c>
      <c r="C109" s="192" t="s">
        <v>1045</v>
      </c>
      <c r="D109" s="192">
        <v>251310000</v>
      </c>
      <c r="E109" s="192" t="s">
        <v>1047</v>
      </c>
      <c r="F109" s="192" t="s">
        <v>1048</v>
      </c>
      <c r="G109" s="192" t="s">
        <v>1049</v>
      </c>
      <c r="H109" s="216">
        <v>1092000000</v>
      </c>
      <c r="I109" s="216">
        <v>1342000000</v>
      </c>
      <c r="J109" s="144">
        <v>1342000000</v>
      </c>
      <c r="K109" s="216">
        <v>0</v>
      </c>
      <c r="L109" s="216">
        <v>161000000</v>
      </c>
      <c r="M109" s="216"/>
      <c r="N109" s="216">
        <f t="shared" si="2"/>
        <v>1092000000</v>
      </c>
      <c r="O109" s="216">
        <f t="shared" si="2"/>
        <v>1503000000</v>
      </c>
      <c r="P109" s="216">
        <f t="shared" si="2"/>
        <v>1342000000</v>
      </c>
      <c r="Q109" s="144">
        <v>1342000000</v>
      </c>
      <c r="R109" s="216">
        <v>161000000</v>
      </c>
      <c r="S109" s="216">
        <f t="shared" si="3"/>
        <v>1503000000</v>
      </c>
      <c r="T109" s="194" t="s">
        <v>1234</v>
      </c>
      <c r="U109" s="194" t="s">
        <v>316</v>
      </c>
      <c r="V109" s="216">
        <v>400</v>
      </c>
      <c r="W109" s="216"/>
      <c r="X109" s="216"/>
      <c r="Y109" s="216">
        <v>0</v>
      </c>
      <c r="Z109" s="216">
        <v>805</v>
      </c>
      <c r="AA109" s="216">
        <v>330</v>
      </c>
      <c r="AB109" s="216">
        <v>180</v>
      </c>
      <c r="AC109" s="41">
        <v>330</v>
      </c>
      <c r="AD109" s="81" t="s">
        <v>1235</v>
      </c>
      <c r="AE109" s="41"/>
      <c r="AF109" s="41"/>
      <c r="AG109" s="41" t="s">
        <v>102</v>
      </c>
      <c r="AH109" s="41" t="s">
        <v>102</v>
      </c>
      <c r="AI109" s="41" t="s">
        <v>102</v>
      </c>
      <c r="AJ109" s="41" t="s">
        <v>102</v>
      </c>
      <c r="AK109" s="41" t="s">
        <v>102</v>
      </c>
      <c r="AL109" s="41" t="s">
        <v>102</v>
      </c>
      <c r="AM109" s="41" t="s">
        <v>102</v>
      </c>
      <c r="AN109" s="41" t="s">
        <v>102</v>
      </c>
      <c r="AO109" s="41" t="s">
        <v>102</v>
      </c>
      <c r="AP109" s="41" t="s">
        <v>102</v>
      </c>
    </row>
    <row r="110" spans="1:42" ht="63.75" customHeight="1" x14ac:dyDescent="0.25">
      <c r="A110" s="192" t="s">
        <v>275</v>
      </c>
      <c r="B110" s="192" t="s">
        <v>276</v>
      </c>
      <c r="C110" s="192" t="s">
        <v>1045</v>
      </c>
      <c r="D110" s="192">
        <v>251320000</v>
      </c>
      <c r="E110" s="192" t="s">
        <v>1053</v>
      </c>
      <c r="F110" s="192" t="s">
        <v>1054</v>
      </c>
      <c r="G110" s="192" t="s">
        <v>1055</v>
      </c>
      <c r="H110" s="216">
        <v>50400000</v>
      </c>
      <c r="I110" s="216">
        <v>50400000</v>
      </c>
      <c r="J110" s="144">
        <v>50400000</v>
      </c>
      <c r="K110" s="216">
        <v>0</v>
      </c>
      <c r="L110" s="216">
        <v>0</v>
      </c>
      <c r="M110" s="216"/>
      <c r="N110" s="216">
        <f t="shared" si="2"/>
        <v>50400000</v>
      </c>
      <c r="O110" s="216">
        <f t="shared" si="2"/>
        <v>50400000</v>
      </c>
      <c r="P110" s="216">
        <f t="shared" si="2"/>
        <v>50400000</v>
      </c>
      <c r="Q110" s="216">
        <v>50400000</v>
      </c>
      <c r="R110" s="216"/>
      <c r="S110" s="216">
        <f t="shared" si="3"/>
        <v>50400000</v>
      </c>
      <c r="T110" s="194" t="s">
        <v>1236</v>
      </c>
      <c r="U110" s="194" t="s">
        <v>225</v>
      </c>
      <c r="V110" s="216">
        <v>1</v>
      </c>
      <c r="W110" s="216">
        <v>10</v>
      </c>
      <c r="X110" s="216"/>
      <c r="Y110" s="216">
        <v>0</v>
      </c>
      <c r="Z110" s="216">
        <v>10</v>
      </c>
      <c r="AA110" s="216">
        <v>330</v>
      </c>
      <c r="AB110" s="216">
        <v>180</v>
      </c>
      <c r="AC110" s="41">
        <v>330</v>
      </c>
      <c r="AD110" s="81" t="s">
        <v>1235</v>
      </c>
      <c r="AE110" s="41"/>
      <c r="AF110" s="41"/>
      <c r="AG110" s="41" t="s">
        <v>102</v>
      </c>
      <c r="AH110" s="41" t="s">
        <v>102</v>
      </c>
      <c r="AI110" s="41" t="s">
        <v>102</v>
      </c>
      <c r="AJ110" s="41" t="s">
        <v>102</v>
      </c>
      <c r="AK110" s="41" t="s">
        <v>102</v>
      </c>
      <c r="AL110" s="41" t="s">
        <v>102</v>
      </c>
      <c r="AM110" s="41" t="s">
        <v>102</v>
      </c>
      <c r="AN110" s="41" t="s">
        <v>102</v>
      </c>
      <c r="AO110" s="41" t="s">
        <v>102</v>
      </c>
      <c r="AP110" s="41" t="s">
        <v>102</v>
      </c>
    </row>
    <row r="111" spans="1:42" ht="64.5" customHeight="1" x14ac:dyDescent="0.25">
      <c r="A111" s="192" t="s">
        <v>275</v>
      </c>
      <c r="B111" s="192" t="s">
        <v>276</v>
      </c>
      <c r="C111" s="192" t="s">
        <v>1045</v>
      </c>
      <c r="D111" s="192">
        <v>251330000</v>
      </c>
      <c r="E111" s="192" t="s">
        <v>1058</v>
      </c>
      <c r="F111" s="192" t="s">
        <v>1059</v>
      </c>
      <c r="G111" s="192" t="s">
        <v>1060</v>
      </c>
      <c r="H111" s="216">
        <v>15100000</v>
      </c>
      <c r="I111" s="216">
        <v>15100000</v>
      </c>
      <c r="J111" s="144">
        <v>15100000</v>
      </c>
      <c r="K111" s="216">
        <v>0</v>
      </c>
      <c r="L111" s="216">
        <v>0</v>
      </c>
      <c r="M111" s="216"/>
      <c r="N111" s="216">
        <f t="shared" si="2"/>
        <v>15100000</v>
      </c>
      <c r="O111" s="216">
        <f t="shared" si="2"/>
        <v>15100000</v>
      </c>
      <c r="P111" s="216">
        <f t="shared" si="2"/>
        <v>15100000</v>
      </c>
      <c r="Q111" s="216">
        <v>15100000</v>
      </c>
      <c r="R111" s="216"/>
      <c r="S111" s="216">
        <f t="shared" si="3"/>
        <v>15100000</v>
      </c>
      <c r="T111" s="194" t="s">
        <v>1237</v>
      </c>
      <c r="U111" s="194" t="s">
        <v>316</v>
      </c>
      <c r="V111" s="216">
        <v>9</v>
      </c>
      <c r="W111" s="216"/>
      <c r="X111" s="216"/>
      <c r="Y111" s="216">
        <v>0</v>
      </c>
      <c r="Z111" s="216">
        <v>9</v>
      </c>
      <c r="AA111" s="216">
        <v>270</v>
      </c>
      <c r="AB111" s="216">
        <v>90</v>
      </c>
      <c r="AC111" s="41">
        <v>270</v>
      </c>
      <c r="AD111" s="81" t="s">
        <v>1235</v>
      </c>
      <c r="AE111" s="41"/>
      <c r="AF111" s="41"/>
      <c r="AG111" s="41" t="s">
        <v>102</v>
      </c>
      <c r="AH111" s="41" t="s">
        <v>102</v>
      </c>
      <c r="AI111" s="41" t="s">
        <v>102</v>
      </c>
      <c r="AJ111" s="41" t="s">
        <v>102</v>
      </c>
      <c r="AK111" s="41" t="s">
        <v>102</v>
      </c>
      <c r="AL111" s="41" t="s">
        <v>102</v>
      </c>
      <c r="AM111" s="41" t="s">
        <v>102</v>
      </c>
      <c r="AN111" s="41" t="s">
        <v>102</v>
      </c>
      <c r="AO111" s="41" t="s">
        <v>102</v>
      </c>
      <c r="AP111" s="41"/>
    </row>
    <row r="112" spans="1:42" ht="48" x14ac:dyDescent="0.25">
      <c r="A112" s="192" t="s">
        <v>275</v>
      </c>
      <c r="B112" s="192" t="s">
        <v>276</v>
      </c>
      <c r="C112" s="192" t="s">
        <v>1045</v>
      </c>
      <c r="D112" s="192">
        <v>251340000</v>
      </c>
      <c r="E112" s="192" t="s">
        <v>1063</v>
      </c>
      <c r="F112" s="192" t="s">
        <v>1064</v>
      </c>
      <c r="G112" s="192" t="s">
        <v>1065</v>
      </c>
      <c r="H112" s="216">
        <v>31500000</v>
      </c>
      <c r="I112" s="219">
        <v>31500000</v>
      </c>
      <c r="J112" s="144">
        <v>31500000</v>
      </c>
      <c r="K112" s="217">
        <v>0</v>
      </c>
      <c r="L112" s="219">
        <v>0</v>
      </c>
      <c r="M112" s="219"/>
      <c r="N112" s="216">
        <f t="shared" si="2"/>
        <v>31500000</v>
      </c>
      <c r="O112" s="217">
        <f t="shared" si="2"/>
        <v>31500000</v>
      </c>
      <c r="P112" s="217">
        <f t="shared" si="2"/>
        <v>31500000</v>
      </c>
      <c r="Q112" s="219">
        <v>31500000</v>
      </c>
      <c r="R112" s="219"/>
      <c r="S112" s="217">
        <f t="shared" si="3"/>
        <v>31500000</v>
      </c>
      <c r="T112" s="194" t="s">
        <v>1238</v>
      </c>
      <c r="U112" s="194" t="s">
        <v>316</v>
      </c>
      <c r="V112" s="216">
        <v>2</v>
      </c>
      <c r="W112" s="216"/>
      <c r="X112" s="216"/>
      <c r="Y112" s="216">
        <v>1</v>
      </c>
      <c r="Z112" s="216">
        <v>1</v>
      </c>
      <c r="AA112" s="216">
        <v>180</v>
      </c>
      <c r="AB112" s="216"/>
      <c r="AC112" s="41">
        <v>180</v>
      </c>
      <c r="AD112" s="41"/>
      <c r="AE112" s="41"/>
      <c r="AF112" s="41"/>
      <c r="AG112" s="41"/>
      <c r="AH112" s="41" t="s">
        <v>102</v>
      </c>
      <c r="AI112" s="41" t="s">
        <v>102</v>
      </c>
      <c r="AJ112" s="41" t="s">
        <v>102</v>
      </c>
      <c r="AK112" s="41" t="s">
        <v>102</v>
      </c>
      <c r="AL112" s="41" t="s">
        <v>102</v>
      </c>
      <c r="AM112" s="41" t="s">
        <v>102</v>
      </c>
      <c r="AN112" s="41"/>
      <c r="AO112" s="41"/>
      <c r="AP112" s="41"/>
    </row>
    <row r="113" spans="1:42" ht="151.5" customHeight="1" x14ac:dyDescent="0.25">
      <c r="A113" s="192" t="s">
        <v>275</v>
      </c>
      <c r="B113" s="192" t="s">
        <v>276</v>
      </c>
      <c r="C113" s="192" t="s">
        <v>1045</v>
      </c>
      <c r="D113" s="192">
        <v>251350000</v>
      </c>
      <c r="E113" s="192" t="s">
        <v>1068</v>
      </c>
      <c r="F113" s="192" t="s">
        <v>1069</v>
      </c>
      <c r="G113" s="192" t="s">
        <v>1239</v>
      </c>
      <c r="H113" s="216">
        <v>15800000</v>
      </c>
      <c r="I113" s="216">
        <v>265800000</v>
      </c>
      <c r="J113" s="144">
        <v>265800000</v>
      </c>
      <c r="K113" s="216">
        <v>0</v>
      </c>
      <c r="L113" s="216"/>
      <c r="M113" s="216"/>
      <c r="N113" s="216">
        <f t="shared" si="2"/>
        <v>15800000</v>
      </c>
      <c r="O113" s="216">
        <f t="shared" si="2"/>
        <v>265800000</v>
      </c>
      <c r="P113" s="216">
        <f t="shared" si="2"/>
        <v>265800000</v>
      </c>
      <c r="Q113" s="144">
        <v>197633101</v>
      </c>
      <c r="R113" s="216">
        <v>7775000</v>
      </c>
      <c r="S113" s="216">
        <f t="shared" si="3"/>
        <v>205408101</v>
      </c>
      <c r="T113" s="194" t="s">
        <v>1240</v>
      </c>
      <c r="U113" s="194" t="s">
        <v>1241</v>
      </c>
      <c r="V113" s="216">
        <v>1</v>
      </c>
      <c r="W113" s="216"/>
      <c r="X113" s="216"/>
      <c r="Y113" s="216">
        <v>1</v>
      </c>
      <c r="Z113" s="216">
        <v>9</v>
      </c>
      <c r="AA113" s="216">
        <v>90</v>
      </c>
      <c r="AB113" s="216">
        <v>90</v>
      </c>
      <c r="AC113" s="41">
        <v>90</v>
      </c>
      <c r="AD113" s="221" t="s">
        <v>1242</v>
      </c>
      <c r="AE113" s="41"/>
      <c r="AF113" s="41"/>
      <c r="AG113" s="41" t="s">
        <v>102</v>
      </c>
      <c r="AH113" s="41" t="s">
        <v>102</v>
      </c>
      <c r="AI113" s="41" t="s">
        <v>102</v>
      </c>
      <c r="AJ113" s="41"/>
      <c r="AK113" s="41"/>
      <c r="AL113" s="41"/>
      <c r="AM113" s="41"/>
      <c r="AN113" s="41"/>
      <c r="AO113" s="41"/>
      <c r="AP113" s="41"/>
    </row>
    <row r="114" spans="1:42" ht="131.25" customHeight="1" x14ac:dyDescent="0.25">
      <c r="A114" s="192" t="s">
        <v>275</v>
      </c>
      <c r="B114" s="192" t="s">
        <v>1073</v>
      </c>
      <c r="C114" s="192" t="s">
        <v>1074</v>
      </c>
      <c r="D114" s="192">
        <v>252310000</v>
      </c>
      <c r="E114" s="192" t="s">
        <v>1076</v>
      </c>
      <c r="F114" s="192" t="s">
        <v>1077</v>
      </c>
      <c r="G114" s="192" t="s">
        <v>1078</v>
      </c>
      <c r="H114" s="216">
        <v>2355770000</v>
      </c>
      <c r="I114" s="216">
        <v>3428245051</v>
      </c>
      <c r="J114" s="144">
        <v>5911245051</v>
      </c>
      <c r="K114" s="216">
        <v>0</v>
      </c>
      <c r="L114" s="216">
        <v>211373000</v>
      </c>
      <c r="M114" s="216"/>
      <c r="N114" s="216">
        <f t="shared" si="2"/>
        <v>2355770000</v>
      </c>
      <c r="O114" s="216">
        <f t="shared" si="2"/>
        <v>3639618051</v>
      </c>
      <c r="P114" s="216">
        <f t="shared" si="2"/>
        <v>5911245051</v>
      </c>
      <c r="Q114" s="144">
        <v>4852928000</v>
      </c>
      <c r="R114" s="216">
        <v>1288808558</v>
      </c>
      <c r="S114" s="216">
        <f t="shared" si="3"/>
        <v>6141736558</v>
      </c>
      <c r="T114" s="194">
        <v>0</v>
      </c>
      <c r="U114" s="194">
        <v>0</v>
      </c>
      <c r="V114" s="216">
        <v>0</v>
      </c>
      <c r="W114" s="216"/>
      <c r="X114" s="216"/>
      <c r="Y114" s="216"/>
      <c r="Z114" s="216"/>
      <c r="AA114" s="216">
        <v>0</v>
      </c>
      <c r="AB114" s="216"/>
      <c r="AC114" s="41">
        <v>0</v>
      </c>
      <c r="AD114" s="41"/>
      <c r="AE114" s="41"/>
      <c r="AF114" s="41"/>
      <c r="AG114" s="41"/>
      <c r="AH114" s="41"/>
      <c r="AI114" s="41"/>
      <c r="AJ114" s="41"/>
      <c r="AK114" s="41"/>
      <c r="AL114" s="41"/>
      <c r="AM114" s="41"/>
      <c r="AN114" s="41"/>
      <c r="AO114" s="41"/>
      <c r="AP114" s="41"/>
    </row>
    <row r="115" spans="1:42" ht="66" customHeight="1" x14ac:dyDescent="0.25">
      <c r="A115" s="192">
        <v>0</v>
      </c>
      <c r="B115" s="192">
        <v>0</v>
      </c>
      <c r="C115" s="192">
        <v>0</v>
      </c>
      <c r="D115" s="206">
        <v>0</v>
      </c>
      <c r="E115" s="218">
        <v>0</v>
      </c>
      <c r="F115" s="206">
        <v>0</v>
      </c>
      <c r="G115" s="192">
        <v>0</v>
      </c>
      <c r="H115" s="216">
        <v>0</v>
      </c>
      <c r="I115" s="216"/>
      <c r="J115" s="216"/>
      <c r="K115" s="216">
        <v>0</v>
      </c>
      <c r="L115" s="216"/>
      <c r="M115" s="216"/>
      <c r="N115" s="216">
        <f t="shared" si="2"/>
        <v>0</v>
      </c>
      <c r="O115" s="216">
        <f t="shared" si="2"/>
        <v>0</v>
      </c>
      <c r="P115" s="216">
        <f t="shared" si="2"/>
        <v>0</v>
      </c>
      <c r="Q115" s="216"/>
      <c r="R115" s="216"/>
      <c r="S115" s="216"/>
      <c r="T115" s="194" t="s">
        <v>1243</v>
      </c>
      <c r="U115" s="194" t="s">
        <v>316</v>
      </c>
      <c r="V115" s="216">
        <v>160</v>
      </c>
      <c r="W115" s="216"/>
      <c r="X115" s="216"/>
      <c r="Y115" s="216">
        <v>0</v>
      </c>
      <c r="Z115" s="216">
        <v>0</v>
      </c>
      <c r="AA115" s="216">
        <v>150</v>
      </c>
      <c r="AB115" s="216">
        <v>0</v>
      </c>
      <c r="AC115" s="41">
        <v>150</v>
      </c>
      <c r="AD115" s="216" t="s">
        <v>1244</v>
      </c>
      <c r="AE115" s="41" t="s">
        <v>102</v>
      </c>
      <c r="AF115" s="41" t="s">
        <v>102</v>
      </c>
      <c r="AG115" s="41" t="s">
        <v>102</v>
      </c>
      <c r="AH115" s="41" t="s">
        <v>102</v>
      </c>
      <c r="AI115" s="41" t="s">
        <v>102</v>
      </c>
      <c r="AJ115" s="41"/>
      <c r="AK115" s="41"/>
      <c r="AL115" s="41"/>
      <c r="AM115" s="41"/>
      <c r="AN115" s="41"/>
      <c r="AO115" s="41"/>
      <c r="AP115" s="41"/>
    </row>
    <row r="116" spans="1:42" ht="69.75" customHeight="1" x14ac:dyDescent="0.25">
      <c r="A116" s="192">
        <v>0</v>
      </c>
      <c r="B116" s="192">
        <v>0</v>
      </c>
      <c r="C116" s="192">
        <v>0</v>
      </c>
      <c r="D116" s="206">
        <v>0</v>
      </c>
      <c r="E116" s="218">
        <v>0</v>
      </c>
      <c r="F116" s="206">
        <v>0</v>
      </c>
      <c r="G116" s="192">
        <v>0</v>
      </c>
      <c r="H116" s="216">
        <v>0</v>
      </c>
      <c r="I116" s="216"/>
      <c r="J116" s="216"/>
      <c r="K116" s="216">
        <v>0</v>
      </c>
      <c r="L116" s="216"/>
      <c r="M116" s="216"/>
      <c r="N116" s="216">
        <f t="shared" si="2"/>
        <v>0</v>
      </c>
      <c r="O116" s="216">
        <f t="shared" si="2"/>
        <v>0</v>
      </c>
      <c r="P116" s="216">
        <f t="shared" si="2"/>
        <v>0</v>
      </c>
      <c r="Q116" s="216"/>
      <c r="R116" s="216"/>
      <c r="S116" s="216">
        <f t="shared" si="3"/>
        <v>0</v>
      </c>
      <c r="T116" s="194" t="s">
        <v>1245</v>
      </c>
      <c r="U116" s="194" t="s">
        <v>1246</v>
      </c>
      <c r="V116" s="216">
        <v>294</v>
      </c>
      <c r="W116" s="216"/>
      <c r="X116" s="216"/>
      <c r="Y116" s="216">
        <v>0</v>
      </c>
      <c r="Z116" s="216">
        <v>1398</v>
      </c>
      <c r="AA116" s="216">
        <v>150</v>
      </c>
      <c r="AB116" s="216"/>
      <c r="AC116" s="41">
        <v>150</v>
      </c>
      <c r="AD116" s="216" t="s">
        <v>1244</v>
      </c>
      <c r="AE116" s="41" t="s">
        <v>102</v>
      </c>
      <c r="AF116" s="41" t="s">
        <v>102</v>
      </c>
      <c r="AG116" s="41" t="s">
        <v>102</v>
      </c>
      <c r="AH116" s="41" t="s">
        <v>102</v>
      </c>
      <c r="AI116" s="41" t="s">
        <v>102</v>
      </c>
      <c r="AJ116" s="41"/>
      <c r="AK116" s="41"/>
      <c r="AL116" s="41"/>
      <c r="AM116" s="41"/>
      <c r="AN116" s="41"/>
      <c r="AO116" s="41"/>
      <c r="AP116" s="41"/>
    </row>
    <row r="117" spans="1:42" x14ac:dyDescent="0.25">
      <c r="A117" s="192">
        <v>0</v>
      </c>
      <c r="B117" s="192">
        <v>0</v>
      </c>
      <c r="C117" s="192">
        <v>0</v>
      </c>
      <c r="D117" s="206">
        <v>0</v>
      </c>
      <c r="E117" s="218">
        <v>0</v>
      </c>
      <c r="F117" s="206">
        <v>0</v>
      </c>
      <c r="G117" s="192">
        <v>0</v>
      </c>
      <c r="H117" s="216">
        <v>0</v>
      </c>
      <c r="I117" s="216"/>
      <c r="J117" s="216"/>
      <c r="K117" s="216">
        <v>0</v>
      </c>
      <c r="L117" s="216"/>
      <c r="M117" s="216"/>
      <c r="N117" s="216">
        <f t="shared" si="2"/>
        <v>0</v>
      </c>
      <c r="O117" s="216">
        <f t="shared" si="2"/>
        <v>0</v>
      </c>
      <c r="P117" s="216">
        <f t="shared" si="2"/>
        <v>0</v>
      </c>
      <c r="Q117" s="216"/>
      <c r="R117" s="216"/>
      <c r="S117" s="216">
        <f t="shared" si="3"/>
        <v>0</v>
      </c>
      <c r="T117" s="27"/>
      <c r="U117" s="27"/>
      <c r="V117" s="27"/>
      <c r="W117" s="27"/>
      <c r="X117" s="27"/>
      <c r="Y117" s="27"/>
      <c r="Z117" s="216"/>
      <c r="AA117" s="27"/>
      <c r="AB117" s="27"/>
      <c r="AC117" s="27"/>
      <c r="AD117" s="27"/>
      <c r="AE117" s="27"/>
      <c r="AF117" s="27"/>
      <c r="AG117" s="27"/>
      <c r="AH117" s="27"/>
      <c r="AI117" s="27"/>
      <c r="AJ117" s="27"/>
      <c r="AK117" s="27"/>
      <c r="AL117" s="27"/>
      <c r="AM117" s="27"/>
      <c r="AN117" s="27"/>
      <c r="AO117" s="27"/>
      <c r="AP117" s="27"/>
    </row>
    <row r="118" spans="1:42" ht="84.75" customHeight="1" x14ac:dyDescent="0.25">
      <c r="A118" s="192" t="s">
        <v>275</v>
      </c>
      <c r="B118" s="192" t="s">
        <v>1073</v>
      </c>
      <c r="C118" s="192" t="s">
        <v>1074</v>
      </c>
      <c r="D118" s="192">
        <v>252310000</v>
      </c>
      <c r="E118" s="192" t="s">
        <v>1081</v>
      </c>
      <c r="F118" s="192" t="s">
        <v>1082</v>
      </c>
      <c r="G118" s="192" t="s">
        <v>1083</v>
      </c>
      <c r="H118" s="216">
        <v>500000000</v>
      </c>
      <c r="I118" s="216">
        <v>400000000</v>
      </c>
      <c r="J118" s="216">
        <v>400000000</v>
      </c>
      <c r="K118" s="216">
        <v>0</v>
      </c>
      <c r="L118" s="216"/>
      <c r="M118" s="216"/>
      <c r="N118" s="216">
        <f t="shared" si="2"/>
        <v>500000000</v>
      </c>
      <c r="O118" s="216">
        <f t="shared" si="2"/>
        <v>400000000</v>
      </c>
      <c r="P118" s="216">
        <f t="shared" si="2"/>
        <v>400000000</v>
      </c>
      <c r="Q118" s="216">
        <v>400000000</v>
      </c>
      <c r="R118" s="216">
        <v>201700000</v>
      </c>
      <c r="S118" s="216">
        <f t="shared" si="3"/>
        <v>601700000</v>
      </c>
      <c r="T118" s="194">
        <v>0</v>
      </c>
      <c r="U118" s="194">
        <v>0</v>
      </c>
      <c r="V118" s="216">
        <v>0</v>
      </c>
      <c r="W118" s="216"/>
      <c r="X118" s="216"/>
      <c r="Y118" s="216"/>
      <c r="Z118" s="216">
        <v>0</v>
      </c>
      <c r="AA118" s="216">
        <v>0</v>
      </c>
      <c r="AB118" s="216"/>
      <c r="AC118" s="41">
        <v>0</v>
      </c>
      <c r="AD118" s="41"/>
      <c r="AE118" s="41"/>
      <c r="AF118" s="41"/>
      <c r="AG118" s="41"/>
      <c r="AH118" s="41"/>
      <c r="AI118" s="41"/>
      <c r="AJ118" s="41"/>
      <c r="AK118" s="41"/>
      <c r="AL118" s="41"/>
      <c r="AM118" s="41"/>
      <c r="AN118" s="41"/>
      <c r="AO118" s="41"/>
      <c r="AP118" s="41"/>
    </row>
    <row r="119" spans="1:42" ht="140.25" customHeight="1" x14ac:dyDescent="0.25">
      <c r="A119" s="192">
        <v>0</v>
      </c>
      <c r="B119" s="192">
        <v>0</v>
      </c>
      <c r="C119" s="192">
        <v>0</v>
      </c>
      <c r="D119" s="206">
        <v>0</v>
      </c>
      <c r="E119" s="218">
        <v>0</v>
      </c>
      <c r="F119" s="206">
        <v>0</v>
      </c>
      <c r="G119" s="192">
        <v>0</v>
      </c>
      <c r="H119" s="216">
        <v>0</v>
      </c>
      <c r="I119" s="216"/>
      <c r="J119" s="216"/>
      <c r="K119" s="216">
        <v>0</v>
      </c>
      <c r="L119" s="216"/>
      <c r="M119" s="216"/>
      <c r="N119" s="216">
        <f t="shared" si="2"/>
        <v>0</v>
      </c>
      <c r="O119" s="216">
        <f t="shared" si="2"/>
        <v>0</v>
      </c>
      <c r="P119" s="216">
        <f t="shared" si="2"/>
        <v>0</v>
      </c>
      <c r="Q119" s="216"/>
      <c r="R119" s="216"/>
      <c r="S119" s="216">
        <f t="shared" si="3"/>
        <v>0</v>
      </c>
      <c r="T119" s="194" t="s">
        <v>1247</v>
      </c>
      <c r="U119" s="194" t="s">
        <v>316</v>
      </c>
      <c r="V119" s="216">
        <v>4</v>
      </c>
      <c r="W119" s="216">
        <v>2</v>
      </c>
      <c r="X119" s="216"/>
      <c r="Y119" s="216">
        <v>0</v>
      </c>
      <c r="Z119" s="216">
        <v>2</v>
      </c>
      <c r="AA119" s="216">
        <v>120</v>
      </c>
      <c r="AB119" s="216">
        <v>0</v>
      </c>
      <c r="AC119" s="41">
        <v>120</v>
      </c>
      <c r="AD119" s="221" t="s">
        <v>1248</v>
      </c>
      <c r="AE119" s="41"/>
      <c r="AF119" s="41"/>
      <c r="AG119" s="41"/>
      <c r="AH119" s="41"/>
      <c r="AI119" s="41"/>
      <c r="AJ119" s="41"/>
      <c r="AK119" s="41"/>
      <c r="AL119" s="41"/>
      <c r="AM119" s="41" t="s">
        <v>102</v>
      </c>
      <c r="AN119" s="41" t="s">
        <v>102</v>
      </c>
      <c r="AO119" s="41" t="s">
        <v>102</v>
      </c>
      <c r="AP119" s="41" t="s">
        <v>102</v>
      </c>
    </row>
    <row r="120" spans="1:42" ht="138" customHeight="1" x14ac:dyDescent="0.25">
      <c r="A120" s="192">
        <v>0</v>
      </c>
      <c r="B120" s="192">
        <v>0</v>
      </c>
      <c r="C120" s="192">
        <v>0</v>
      </c>
      <c r="D120" s="206">
        <v>0</v>
      </c>
      <c r="E120" s="218">
        <v>0</v>
      </c>
      <c r="F120" s="206">
        <v>0</v>
      </c>
      <c r="G120" s="192">
        <v>0</v>
      </c>
      <c r="H120" s="216">
        <v>0</v>
      </c>
      <c r="I120" s="216"/>
      <c r="J120" s="216"/>
      <c r="K120" s="216">
        <v>0</v>
      </c>
      <c r="L120" s="216"/>
      <c r="M120" s="216"/>
      <c r="N120" s="216">
        <f t="shared" si="2"/>
        <v>0</v>
      </c>
      <c r="O120" s="216">
        <f t="shared" si="2"/>
        <v>0</v>
      </c>
      <c r="P120" s="216">
        <f t="shared" si="2"/>
        <v>0</v>
      </c>
      <c r="Q120" s="216"/>
      <c r="R120" s="216"/>
      <c r="S120" s="216">
        <f t="shared" si="3"/>
        <v>0</v>
      </c>
      <c r="T120" s="194" t="s">
        <v>1249</v>
      </c>
      <c r="U120" s="194" t="s">
        <v>316</v>
      </c>
      <c r="V120" s="216">
        <v>15</v>
      </c>
      <c r="W120" s="216">
        <v>10</v>
      </c>
      <c r="X120" s="216"/>
      <c r="Y120" s="216">
        <v>0</v>
      </c>
      <c r="Z120" s="216">
        <v>15</v>
      </c>
      <c r="AA120" s="216">
        <v>120</v>
      </c>
      <c r="AB120" s="216">
        <v>0</v>
      </c>
      <c r="AC120" s="41">
        <v>120</v>
      </c>
      <c r="AD120" s="221" t="s">
        <v>1250</v>
      </c>
      <c r="AE120" s="41"/>
      <c r="AF120" s="41"/>
      <c r="AG120" s="41"/>
      <c r="AH120" s="41"/>
      <c r="AI120" s="41"/>
      <c r="AJ120" s="41"/>
      <c r="AK120" s="41"/>
      <c r="AL120" s="41"/>
      <c r="AM120" s="41" t="s">
        <v>102</v>
      </c>
      <c r="AN120" s="41" t="s">
        <v>102</v>
      </c>
      <c r="AO120" s="41" t="s">
        <v>102</v>
      </c>
      <c r="AP120" s="41" t="s">
        <v>102</v>
      </c>
    </row>
    <row r="121" spans="1:42" ht="334.5" customHeight="1" x14ac:dyDescent="0.25">
      <c r="A121" s="192" t="s">
        <v>275</v>
      </c>
      <c r="B121" s="192" t="s">
        <v>1073</v>
      </c>
      <c r="C121" s="192" t="s">
        <v>1074</v>
      </c>
      <c r="D121" s="192">
        <v>252320000</v>
      </c>
      <c r="E121" s="192" t="s">
        <v>1085</v>
      </c>
      <c r="F121" s="192" t="s">
        <v>1086</v>
      </c>
      <c r="G121" s="192" t="s">
        <v>1087</v>
      </c>
      <c r="H121" s="216">
        <v>1047000000</v>
      </c>
      <c r="I121" s="216">
        <v>0</v>
      </c>
      <c r="J121" s="216"/>
      <c r="K121" s="216">
        <v>0</v>
      </c>
      <c r="L121" s="216"/>
      <c r="M121" s="216"/>
      <c r="N121" s="216">
        <f t="shared" si="2"/>
        <v>1047000000</v>
      </c>
      <c r="O121" s="216">
        <f t="shared" si="2"/>
        <v>0</v>
      </c>
      <c r="P121" s="216">
        <f t="shared" si="2"/>
        <v>0</v>
      </c>
      <c r="Q121" s="216"/>
      <c r="R121" s="216"/>
      <c r="S121" s="216">
        <f t="shared" si="3"/>
        <v>0</v>
      </c>
      <c r="T121" s="194" t="s">
        <v>1251</v>
      </c>
      <c r="U121" s="194" t="s">
        <v>316</v>
      </c>
      <c r="V121" s="216">
        <v>1</v>
      </c>
      <c r="W121" s="216">
        <v>0</v>
      </c>
      <c r="X121" s="216"/>
      <c r="Y121" s="216">
        <v>0</v>
      </c>
      <c r="Z121" s="216">
        <v>0</v>
      </c>
      <c r="AA121" s="216">
        <v>330</v>
      </c>
      <c r="AB121" s="216"/>
      <c r="AC121" s="41">
        <v>330</v>
      </c>
      <c r="AD121" s="81" t="s">
        <v>1252</v>
      </c>
      <c r="AE121" s="41"/>
      <c r="AF121" s="41"/>
      <c r="AG121" s="41" t="s">
        <v>102</v>
      </c>
      <c r="AH121" s="41" t="s">
        <v>102</v>
      </c>
      <c r="AI121" s="41" t="s">
        <v>102</v>
      </c>
      <c r="AJ121" s="41" t="s">
        <v>102</v>
      </c>
      <c r="AK121" s="41" t="s">
        <v>102</v>
      </c>
      <c r="AL121" s="41" t="s">
        <v>102</v>
      </c>
      <c r="AM121" s="41" t="s">
        <v>102</v>
      </c>
      <c r="AN121" s="41" t="s">
        <v>102</v>
      </c>
      <c r="AO121" s="41" t="s">
        <v>102</v>
      </c>
      <c r="AP121" s="41" t="s">
        <v>102</v>
      </c>
    </row>
    <row r="122" spans="1:42" ht="334.5" customHeight="1" x14ac:dyDescent="0.25">
      <c r="A122" s="192"/>
      <c r="B122" s="192"/>
      <c r="C122" s="192"/>
      <c r="D122" s="192"/>
      <c r="E122" s="192"/>
      <c r="F122" s="192"/>
      <c r="G122" s="192"/>
      <c r="H122" s="216"/>
      <c r="I122" s="216"/>
      <c r="J122" s="216"/>
      <c r="K122" s="216"/>
      <c r="L122" s="216"/>
      <c r="M122" s="216"/>
      <c r="N122" s="216"/>
      <c r="O122" s="216"/>
      <c r="P122" s="216"/>
      <c r="Q122" s="216"/>
      <c r="R122" s="216"/>
      <c r="S122" s="216"/>
      <c r="T122" s="194" t="s">
        <v>1253</v>
      </c>
      <c r="U122" s="194" t="s">
        <v>1246</v>
      </c>
      <c r="V122" s="216">
        <v>140</v>
      </c>
      <c r="W122" s="216"/>
      <c r="X122" s="216"/>
      <c r="Y122" s="216">
        <v>140</v>
      </c>
      <c r="Z122" s="216">
        <v>762</v>
      </c>
      <c r="AA122" s="216">
        <v>150</v>
      </c>
      <c r="AB122" s="216">
        <v>150</v>
      </c>
      <c r="AC122" s="41">
        <v>365</v>
      </c>
      <c r="AD122" s="41"/>
      <c r="AE122" s="41"/>
      <c r="AF122" s="41" t="s">
        <v>102</v>
      </c>
      <c r="AG122" s="41" t="s">
        <v>102</v>
      </c>
      <c r="AH122" s="41" t="s">
        <v>102</v>
      </c>
      <c r="AI122" s="41" t="s">
        <v>102</v>
      </c>
      <c r="AJ122" s="41" t="s">
        <v>102</v>
      </c>
      <c r="AK122" s="41"/>
      <c r="AL122" s="41"/>
      <c r="AM122" s="41"/>
      <c r="AN122" s="41"/>
      <c r="AO122" s="41"/>
      <c r="AP122" s="41"/>
    </row>
    <row r="123" spans="1:42" ht="66.75" customHeight="1" x14ac:dyDescent="0.25">
      <c r="A123" s="192" t="s">
        <v>275</v>
      </c>
      <c r="B123" s="192" t="s">
        <v>1073</v>
      </c>
      <c r="C123" s="192" t="s">
        <v>1090</v>
      </c>
      <c r="D123" s="192">
        <v>252410000</v>
      </c>
      <c r="E123" s="192" t="s">
        <v>1092</v>
      </c>
      <c r="F123" s="192" t="s">
        <v>1093</v>
      </c>
      <c r="G123" s="192" t="s">
        <v>1094</v>
      </c>
      <c r="H123" s="216">
        <v>57120000</v>
      </c>
      <c r="I123" s="216">
        <v>522193000</v>
      </c>
      <c r="J123" s="144">
        <v>522193000</v>
      </c>
      <c r="K123" s="216">
        <v>0</v>
      </c>
      <c r="L123" s="216">
        <v>315500000</v>
      </c>
      <c r="M123" s="216"/>
      <c r="N123" s="216">
        <f t="shared" si="2"/>
        <v>57120000</v>
      </c>
      <c r="O123" s="216">
        <f t="shared" si="2"/>
        <v>837693000</v>
      </c>
      <c r="P123" s="216">
        <f t="shared" si="2"/>
        <v>522193000</v>
      </c>
      <c r="Q123" s="144">
        <v>522193000</v>
      </c>
      <c r="R123" s="216">
        <v>255458360</v>
      </c>
      <c r="S123" s="216">
        <f t="shared" si="3"/>
        <v>777651360</v>
      </c>
      <c r="T123" s="194">
        <v>0</v>
      </c>
      <c r="U123" s="194">
        <v>0</v>
      </c>
      <c r="V123" s="216">
        <v>0</v>
      </c>
      <c r="W123" s="216"/>
      <c r="X123" s="216"/>
      <c r="Y123" s="216"/>
      <c r="Z123" s="216"/>
      <c r="AA123" s="216">
        <v>0</v>
      </c>
      <c r="AB123" s="216"/>
      <c r="AC123" s="41">
        <v>0</v>
      </c>
      <c r="AD123" s="41"/>
      <c r="AE123" s="41"/>
      <c r="AF123" s="41"/>
      <c r="AG123" s="41"/>
      <c r="AH123" s="41"/>
      <c r="AI123" s="41"/>
      <c r="AJ123" s="41"/>
      <c r="AK123" s="41"/>
      <c r="AL123" s="41"/>
      <c r="AM123" s="41"/>
      <c r="AN123" s="41"/>
      <c r="AO123" s="41"/>
      <c r="AP123" s="41"/>
    </row>
    <row r="124" spans="1:42" ht="45" x14ac:dyDescent="0.25">
      <c r="A124" s="192">
        <v>0</v>
      </c>
      <c r="B124" s="192">
        <v>0</v>
      </c>
      <c r="C124" s="192">
        <v>0</v>
      </c>
      <c r="D124" s="206">
        <v>0</v>
      </c>
      <c r="E124" s="206">
        <v>0</v>
      </c>
      <c r="F124" s="206">
        <v>0</v>
      </c>
      <c r="G124" s="192">
        <v>0</v>
      </c>
      <c r="H124" s="216">
        <v>0</v>
      </c>
      <c r="I124" s="216"/>
      <c r="J124" s="216"/>
      <c r="K124" s="216">
        <v>0</v>
      </c>
      <c r="L124" s="216"/>
      <c r="M124" s="216"/>
      <c r="N124" s="216">
        <f t="shared" si="2"/>
        <v>0</v>
      </c>
      <c r="O124" s="216">
        <f t="shared" si="2"/>
        <v>0</v>
      </c>
      <c r="P124" s="216">
        <f t="shared" si="2"/>
        <v>0</v>
      </c>
      <c r="Q124" s="216"/>
      <c r="R124" s="216"/>
      <c r="S124" s="216">
        <f t="shared" si="3"/>
        <v>0</v>
      </c>
      <c r="T124" s="194" t="s">
        <v>1254</v>
      </c>
      <c r="U124" s="194" t="s">
        <v>316</v>
      </c>
      <c r="V124" s="216">
        <v>9</v>
      </c>
      <c r="W124" s="216"/>
      <c r="X124" s="216"/>
      <c r="Y124" s="216">
        <v>0</v>
      </c>
      <c r="Z124" s="227">
        <v>9</v>
      </c>
      <c r="AA124" s="216">
        <v>300</v>
      </c>
      <c r="AB124" s="216">
        <v>60</v>
      </c>
      <c r="AC124" s="41">
        <v>300</v>
      </c>
      <c r="AD124" s="221" t="s">
        <v>1120</v>
      </c>
      <c r="AE124" s="41"/>
      <c r="AF124" s="41" t="s">
        <v>102</v>
      </c>
      <c r="AG124" s="41" t="s">
        <v>102</v>
      </c>
      <c r="AH124" s="41" t="s">
        <v>102</v>
      </c>
      <c r="AI124" s="41" t="s">
        <v>102</v>
      </c>
      <c r="AJ124" s="41" t="s">
        <v>102</v>
      </c>
      <c r="AK124" s="41" t="s">
        <v>102</v>
      </c>
      <c r="AL124" s="41" t="s">
        <v>102</v>
      </c>
      <c r="AM124" s="41" t="s">
        <v>102</v>
      </c>
      <c r="AN124" s="41" t="s">
        <v>102</v>
      </c>
      <c r="AO124" s="41" t="s">
        <v>102</v>
      </c>
      <c r="AP124" s="41" t="s">
        <v>102</v>
      </c>
    </row>
    <row r="125" spans="1:42" x14ac:dyDescent="0.25">
      <c r="H125" s="228"/>
      <c r="I125" s="228"/>
      <c r="J125" s="229"/>
      <c r="K125" s="228"/>
      <c r="L125" s="228"/>
      <c r="M125" s="229"/>
      <c r="N125" s="228"/>
      <c r="O125" s="228"/>
      <c r="P125" s="228"/>
      <c r="Q125" s="229"/>
      <c r="R125" s="229"/>
      <c r="S125" s="228"/>
      <c r="Z125" s="230"/>
      <c r="AB125" s="27"/>
      <c r="AC125" s="27"/>
      <c r="AD125" s="27"/>
      <c r="AE125" s="27"/>
      <c r="AF125" s="27"/>
      <c r="AG125" s="27"/>
      <c r="AH125" s="27"/>
      <c r="AI125" s="27"/>
      <c r="AJ125" s="27"/>
      <c r="AK125" s="27"/>
      <c r="AL125" s="27"/>
      <c r="AM125" s="27"/>
      <c r="AN125" s="27"/>
      <c r="AO125" s="27"/>
      <c r="AP125" s="27"/>
    </row>
    <row r="126" spans="1:42" x14ac:dyDescent="0.25">
      <c r="Z126" s="230"/>
      <c r="AB126" s="27"/>
      <c r="AC126" s="27"/>
      <c r="AD126" s="27"/>
      <c r="AE126" s="27"/>
      <c r="AF126" s="27"/>
      <c r="AG126" s="27"/>
      <c r="AH126" s="27"/>
      <c r="AI126" s="27"/>
      <c r="AJ126" s="27"/>
      <c r="AK126" s="27"/>
      <c r="AL126" s="27"/>
      <c r="AM126" s="27"/>
      <c r="AN126" s="27"/>
      <c r="AO126" s="27"/>
      <c r="AP126" s="27"/>
    </row>
    <row r="127" spans="1:42" x14ac:dyDescent="0.25">
      <c r="Z127" s="230"/>
      <c r="AB127" s="27"/>
      <c r="AC127" s="27"/>
      <c r="AD127" s="27"/>
      <c r="AE127" s="27"/>
      <c r="AF127" s="27"/>
      <c r="AG127" s="27"/>
      <c r="AH127" s="27"/>
      <c r="AI127" s="27"/>
      <c r="AJ127" s="27"/>
      <c r="AK127" s="27"/>
      <c r="AL127" s="27"/>
      <c r="AM127" s="27"/>
      <c r="AN127" s="27"/>
      <c r="AO127" s="27"/>
      <c r="AP127" s="27"/>
    </row>
    <row r="128" spans="1:42" x14ac:dyDescent="0.25">
      <c r="Z128" s="230"/>
      <c r="AB128" s="27"/>
      <c r="AC128" s="27"/>
      <c r="AD128" s="27"/>
      <c r="AE128" s="27"/>
      <c r="AF128" s="27"/>
      <c r="AG128" s="27"/>
      <c r="AH128" s="27"/>
      <c r="AI128" s="27"/>
      <c r="AJ128" s="27"/>
      <c r="AK128" s="27"/>
      <c r="AL128" s="27"/>
      <c r="AM128" s="27"/>
      <c r="AN128" s="27"/>
      <c r="AO128" s="27"/>
      <c r="AP128" s="27"/>
    </row>
    <row r="129" spans="26:42" x14ac:dyDescent="0.25">
      <c r="Z129" s="230"/>
      <c r="AB129" s="27"/>
      <c r="AC129" s="27"/>
      <c r="AD129" s="27"/>
      <c r="AE129" s="27"/>
      <c r="AF129" s="27"/>
      <c r="AG129" s="27"/>
      <c r="AH129" s="27"/>
      <c r="AI129" s="27"/>
      <c r="AJ129" s="27"/>
      <c r="AK129" s="27"/>
      <c r="AL129" s="27"/>
      <c r="AM129" s="27"/>
      <c r="AN129" s="27"/>
      <c r="AO129" s="27"/>
      <c r="AP129" s="27"/>
    </row>
    <row r="130" spans="26:42" x14ac:dyDescent="0.25">
      <c r="Z130" s="230"/>
      <c r="AB130" s="27"/>
      <c r="AC130" s="27"/>
      <c r="AD130" s="27"/>
      <c r="AE130" s="27"/>
      <c r="AF130" s="27"/>
      <c r="AG130" s="27"/>
      <c r="AH130" s="27"/>
      <c r="AI130" s="27"/>
      <c r="AJ130" s="27"/>
      <c r="AK130" s="27"/>
      <c r="AL130" s="27"/>
      <c r="AM130" s="27"/>
      <c r="AN130" s="27"/>
      <c r="AO130" s="27"/>
      <c r="AP130" s="27"/>
    </row>
    <row r="131" spans="26:42" x14ac:dyDescent="0.25">
      <c r="Z131" s="230"/>
      <c r="AB131" s="27"/>
      <c r="AC131" s="27"/>
      <c r="AD131" s="27"/>
      <c r="AE131" s="27"/>
      <c r="AF131" s="27"/>
      <c r="AG131" s="27"/>
      <c r="AH131" s="27"/>
      <c r="AI131" s="27"/>
      <c r="AJ131" s="27"/>
      <c r="AK131" s="27"/>
      <c r="AL131" s="27"/>
      <c r="AM131" s="27"/>
      <c r="AN131" s="27"/>
      <c r="AO131" s="27"/>
      <c r="AP131" s="27"/>
    </row>
    <row r="132" spans="26:42" x14ac:dyDescent="0.25">
      <c r="Z132" s="230"/>
      <c r="AB132" s="27"/>
      <c r="AC132" s="27"/>
      <c r="AD132" s="27"/>
      <c r="AE132" s="27"/>
      <c r="AF132" s="27"/>
      <c r="AG132" s="27"/>
      <c r="AH132" s="27"/>
      <c r="AI132" s="27"/>
      <c r="AJ132" s="27"/>
      <c r="AK132" s="27"/>
      <c r="AL132" s="27"/>
      <c r="AM132" s="27"/>
      <c r="AN132" s="27"/>
      <c r="AO132" s="27"/>
      <c r="AP132" s="27"/>
    </row>
    <row r="133" spans="26:42" x14ac:dyDescent="0.25">
      <c r="Z133" s="230"/>
      <c r="AB133" s="27"/>
      <c r="AC133" s="27"/>
      <c r="AD133" s="27"/>
      <c r="AE133" s="27"/>
      <c r="AF133" s="27"/>
      <c r="AG133" s="27"/>
      <c r="AH133" s="27"/>
      <c r="AI133" s="27"/>
      <c r="AJ133" s="27"/>
      <c r="AK133" s="27"/>
      <c r="AL133" s="27"/>
      <c r="AM133" s="27"/>
      <c r="AN133" s="27"/>
      <c r="AO133" s="27"/>
      <c r="AP133" s="27"/>
    </row>
    <row r="134" spans="26:42" x14ac:dyDescent="0.25">
      <c r="Z134" s="230"/>
      <c r="AB134" s="27"/>
      <c r="AC134" s="27"/>
      <c r="AD134" s="27"/>
      <c r="AE134" s="27"/>
      <c r="AF134" s="27"/>
      <c r="AG134" s="27"/>
      <c r="AH134" s="27"/>
      <c r="AI134" s="27"/>
      <c r="AJ134" s="27"/>
      <c r="AK134" s="27"/>
      <c r="AL134" s="27"/>
      <c r="AM134" s="27"/>
      <c r="AN134" s="27"/>
      <c r="AO134" s="27"/>
      <c r="AP134" s="27"/>
    </row>
    <row r="135" spans="26:42" x14ac:dyDescent="0.25">
      <c r="Z135" s="230"/>
      <c r="AB135" s="27"/>
      <c r="AC135" s="27"/>
      <c r="AD135" s="27"/>
      <c r="AE135" s="27"/>
      <c r="AF135" s="27"/>
      <c r="AG135" s="27"/>
      <c r="AH135" s="27"/>
      <c r="AI135" s="27"/>
      <c r="AJ135" s="27"/>
      <c r="AK135" s="27"/>
      <c r="AL135" s="27"/>
      <c r="AM135" s="27"/>
      <c r="AN135" s="27"/>
      <c r="AO135" s="27"/>
      <c r="AP135" s="27"/>
    </row>
    <row r="136" spans="26:42" x14ac:dyDescent="0.25">
      <c r="Z136" s="230"/>
      <c r="AB136" s="27"/>
      <c r="AC136" s="27"/>
      <c r="AD136" s="27"/>
      <c r="AE136" s="27"/>
      <c r="AF136" s="27"/>
      <c r="AG136" s="27"/>
      <c r="AH136" s="27"/>
      <c r="AI136" s="27"/>
      <c r="AJ136" s="27"/>
      <c r="AK136" s="27"/>
      <c r="AL136" s="27"/>
      <c r="AM136" s="27"/>
      <c r="AN136" s="27"/>
      <c r="AO136" s="27"/>
      <c r="AP136" s="27"/>
    </row>
    <row r="137" spans="26:42" x14ac:dyDescent="0.25">
      <c r="Z137" s="230"/>
      <c r="AB137" s="27"/>
      <c r="AC137" s="27"/>
      <c r="AD137" s="27"/>
      <c r="AE137" s="27"/>
      <c r="AF137" s="27"/>
      <c r="AG137" s="27"/>
      <c r="AH137" s="27"/>
      <c r="AI137" s="27"/>
      <c r="AJ137" s="27"/>
      <c r="AK137" s="27"/>
      <c r="AL137" s="27"/>
      <c r="AM137" s="27"/>
      <c r="AN137" s="27"/>
      <c r="AO137" s="27"/>
      <c r="AP137" s="27"/>
    </row>
    <row r="138" spans="26:42" x14ac:dyDescent="0.25">
      <c r="Z138" s="230"/>
      <c r="AB138" s="27"/>
      <c r="AC138" s="27"/>
      <c r="AD138" s="27"/>
      <c r="AE138" s="27"/>
      <c r="AF138" s="27"/>
      <c r="AG138" s="27"/>
      <c r="AH138" s="27"/>
      <c r="AI138" s="27"/>
      <c r="AJ138" s="27"/>
      <c r="AK138" s="27"/>
      <c r="AL138" s="27"/>
      <c r="AM138" s="27"/>
      <c r="AN138" s="27"/>
      <c r="AO138" s="27"/>
      <c r="AP138" s="27"/>
    </row>
    <row r="139" spans="26:42" x14ac:dyDescent="0.25">
      <c r="Z139" s="230"/>
      <c r="AB139" s="27"/>
      <c r="AC139" s="27"/>
      <c r="AD139" s="27"/>
      <c r="AE139" s="27"/>
      <c r="AF139" s="27"/>
      <c r="AG139" s="27"/>
      <c r="AH139" s="27"/>
      <c r="AI139" s="27"/>
      <c r="AJ139" s="27"/>
      <c r="AK139" s="27"/>
      <c r="AL139" s="27"/>
      <c r="AM139" s="27"/>
      <c r="AN139" s="27"/>
      <c r="AO139" s="27"/>
      <c r="AP139" s="27"/>
    </row>
    <row r="140" spans="26:42" x14ac:dyDescent="0.25">
      <c r="Z140" s="230"/>
      <c r="AB140" s="27"/>
      <c r="AC140" s="27"/>
      <c r="AD140" s="27"/>
      <c r="AE140" s="27"/>
      <c r="AF140" s="27"/>
      <c r="AG140" s="27"/>
      <c r="AH140" s="27"/>
      <c r="AI140" s="27"/>
      <c r="AJ140" s="27"/>
      <c r="AK140" s="27"/>
      <c r="AL140" s="27"/>
      <c r="AM140" s="27"/>
      <c r="AN140" s="27"/>
      <c r="AO140" s="27"/>
      <c r="AP140" s="27"/>
    </row>
    <row r="141" spans="26:42" x14ac:dyDescent="0.25">
      <c r="Z141" s="230"/>
      <c r="AB141" s="27"/>
      <c r="AC141" s="27"/>
      <c r="AD141" s="27"/>
      <c r="AE141" s="27"/>
      <c r="AF141" s="27"/>
      <c r="AG141" s="27"/>
      <c r="AH141" s="27"/>
      <c r="AI141" s="27"/>
      <c r="AJ141" s="27"/>
      <c r="AK141" s="27"/>
      <c r="AL141" s="27"/>
      <c r="AM141" s="27"/>
      <c r="AN141" s="27"/>
      <c r="AO141" s="27"/>
      <c r="AP141" s="27"/>
    </row>
    <row r="142" spans="26:42" x14ac:dyDescent="0.25">
      <c r="Z142" s="230"/>
      <c r="AB142" s="27"/>
      <c r="AC142" s="27"/>
      <c r="AD142" s="27"/>
      <c r="AE142" s="27"/>
      <c r="AF142" s="27"/>
      <c r="AG142" s="27"/>
      <c r="AH142" s="27"/>
      <c r="AI142" s="27"/>
      <c r="AJ142" s="27"/>
      <c r="AK142" s="27"/>
      <c r="AL142" s="27"/>
      <c r="AM142" s="27"/>
      <c r="AN142" s="27"/>
      <c r="AO142" s="27"/>
      <c r="AP142" s="27"/>
    </row>
    <row r="143" spans="26:42" x14ac:dyDescent="0.25">
      <c r="Z143" s="230"/>
      <c r="AB143" s="27"/>
      <c r="AC143" s="27"/>
      <c r="AD143" s="27"/>
      <c r="AE143" s="27"/>
      <c r="AF143" s="27"/>
      <c r="AG143" s="27"/>
      <c r="AH143" s="27"/>
      <c r="AI143" s="27"/>
      <c r="AJ143" s="27"/>
      <c r="AK143" s="27"/>
      <c r="AL143" s="27"/>
      <c r="AM143" s="27"/>
      <c r="AN143" s="27"/>
      <c r="AO143" s="27"/>
      <c r="AP143" s="27"/>
    </row>
    <row r="144" spans="26:42" x14ac:dyDescent="0.25">
      <c r="Z144" s="230"/>
      <c r="AB144" s="27"/>
      <c r="AC144" s="27"/>
      <c r="AD144" s="27"/>
      <c r="AE144" s="27"/>
      <c r="AF144" s="27"/>
      <c r="AG144" s="27"/>
      <c r="AH144" s="27"/>
      <c r="AI144" s="27"/>
      <c r="AJ144" s="27"/>
      <c r="AK144" s="27"/>
      <c r="AL144" s="27"/>
      <c r="AM144" s="27"/>
      <c r="AN144" s="27"/>
      <c r="AO144" s="27"/>
      <c r="AP144" s="27"/>
    </row>
    <row r="145" spans="26:42" x14ac:dyDescent="0.25">
      <c r="Z145" s="230"/>
      <c r="AB145" s="27"/>
      <c r="AC145" s="27"/>
      <c r="AD145" s="27"/>
      <c r="AE145" s="27"/>
      <c r="AF145" s="27"/>
      <c r="AG145" s="27"/>
      <c r="AH145" s="27"/>
      <c r="AI145" s="27"/>
      <c r="AJ145" s="27"/>
      <c r="AK145" s="27"/>
      <c r="AL145" s="27"/>
      <c r="AM145" s="27"/>
      <c r="AN145" s="27"/>
      <c r="AO145" s="27"/>
      <c r="AP145" s="27"/>
    </row>
    <row r="146" spans="26:42" x14ac:dyDescent="0.25">
      <c r="Z146" s="230"/>
      <c r="AB146" s="27"/>
      <c r="AC146" s="27"/>
      <c r="AD146" s="27"/>
      <c r="AE146" s="27"/>
      <c r="AF146" s="27"/>
      <c r="AG146" s="27"/>
      <c r="AH146" s="27"/>
      <c r="AI146" s="27"/>
      <c r="AJ146" s="27"/>
      <c r="AK146" s="27"/>
      <c r="AL146" s="27"/>
      <c r="AM146" s="27"/>
      <c r="AN146" s="27"/>
      <c r="AO146" s="27"/>
      <c r="AP146" s="27"/>
    </row>
    <row r="147" spans="26:42" x14ac:dyDescent="0.25">
      <c r="Z147" s="230"/>
      <c r="AB147" s="27"/>
      <c r="AC147" s="27"/>
      <c r="AD147" s="27"/>
      <c r="AE147" s="27"/>
      <c r="AF147" s="27"/>
      <c r="AG147" s="27"/>
      <c r="AH147" s="27"/>
      <c r="AI147" s="27"/>
      <c r="AJ147" s="27"/>
      <c r="AK147" s="27"/>
      <c r="AL147" s="27"/>
      <c r="AM147" s="27"/>
      <c r="AN147" s="27"/>
      <c r="AO147" s="27"/>
      <c r="AP147" s="27"/>
    </row>
    <row r="148" spans="26:42" x14ac:dyDescent="0.25">
      <c r="Z148" s="230"/>
      <c r="AB148" s="27"/>
      <c r="AC148" s="27"/>
      <c r="AD148" s="27"/>
      <c r="AE148" s="27"/>
      <c r="AF148" s="27"/>
      <c r="AG148" s="27"/>
      <c r="AH148" s="27"/>
      <c r="AI148" s="27"/>
      <c r="AJ148" s="27"/>
      <c r="AK148" s="27"/>
      <c r="AL148" s="27"/>
      <c r="AM148" s="27"/>
      <c r="AN148" s="27"/>
      <c r="AO148" s="27"/>
      <c r="AP148" s="27"/>
    </row>
    <row r="149" spans="26:42" x14ac:dyDescent="0.25">
      <c r="Z149" s="230"/>
      <c r="AB149" s="27"/>
      <c r="AC149" s="27"/>
      <c r="AD149" s="27"/>
      <c r="AE149" s="27"/>
      <c r="AF149" s="27"/>
      <c r="AG149" s="27"/>
      <c r="AH149" s="27"/>
      <c r="AI149" s="27"/>
      <c r="AJ149" s="27"/>
      <c r="AK149" s="27"/>
      <c r="AL149" s="27"/>
      <c r="AM149" s="27"/>
      <c r="AN149" s="27"/>
      <c r="AO149" s="27"/>
      <c r="AP149" s="27"/>
    </row>
    <row r="150" spans="26:42" x14ac:dyDescent="0.25">
      <c r="Z150" s="230"/>
      <c r="AB150" s="27"/>
      <c r="AC150" s="27"/>
      <c r="AD150" s="27"/>
      <c r="AE150" s="27"/>
      <c r="AF150" s="27"/>
      <c r="AG150" s="27"/>
      <c r="AH150" s="27"/>
      <c r="AI150" s="27"/>
      <c r="AJ150" s="27"/>
      <c r="AK150" s="27"/>
      <c r="AL150" s="27"/>
      <c r="AM150" s="27"/>
      <c r="AN150" s="27"/>
      <c r="AO150" s="27"/>
      <c r="AP150" s="27"/>
    </row>
    <row r="151" spans="26:42" x14ac:dyDescent="0.25">
      <c r="Z151" s="230"/>
      <c r="AB151" s="27"/>
      <c r="AC151" s="27"/>
      <c r="AD151" s="27"/>
      <c r="AE151" s="27"/>
      <c r="AF151" s="27"/>
      <c r="AG151" s="27"/>
      <c r="AH151" s="27"/>
      <c r="AI151" s="27"/>
      <c r="AJ151" s="27"/>
      <c r="AK151" s="27"/>
      <c r="AL151" s="27"/>
      <c r="AM151" s="27"/>
      <c r="AN151" s="27"/>
      <c r="AO151" s="27"/>
      <c r="AP151" s="27"/>
    </row>
    <row r="152" spans="26:42" x14ac:dyDescent="0.25">
      <c r="Z152" s="230"/>
      <c r="AB152" s="27"/>
      <c r="AC152" s="27"/>
      <c r="AD152" s="27"/>
      <c r="AE152" s="27"/>
      <c r="AF152" s="27"/>
      <c r="AG152" s="27"/>
      <c r="AH152" s="27"/>
      <c r="AI152" s="27"/>
      <c r="AJ152" s="27"/>
      <c r="AK152" s="27"/>
      <c r="AL152" s="27"/>
      <c r="AM152" s="27"/>
      <c r="AN152" s="27"/>
      <c r="AO152" s="27"/>
      <c r="AP152" s="27"/>
    </row>
    <row r="153" spans="26:42" x14ac:dyDescent="0.25">
      <c r="Z153" s="230"/>
      <c r="AB153" s="27"/>
      <c r="AC153" s="27"/>
      <c r="AD153" s="27"/>
      <c r="AE153" s="27"/>
      <c r="AF153" s="27"/>
      <c r="AG153" s="27"/>
      <c r="AH153" s="27"/>
      <c r="AI153" s="27"/>
      <c r="AJ153" s="27"/>
      <c r="AK153" s="27"/>
      <c r="AL153" s="27"/>
      <c r="AM153" s="27"/>
      <c r="AN153" s="27"/>
      <c r="AO153" s="27"/>
      <c r="AP153" s="27"/>
    </row>
    <row r="154" spans="26:42" x14ac:dyDescent="0.25">
      <c r="Z154" s="230"/>
      <c r="AB154" s="27"/>
      <c r="AC154" s="27"/>
      <c r="AD154" s="27"/>
      <c r="AE154" s="27"/>
      <c r="AF154" s="27"/>
      <c r="AG154" s="27"/>
      <c r="AH154" s="27"/>
      <c r="AI154" s="27"/>
      <c r="AJ154" s="27"/>
      <c r="AK154" s="27"/>
      <c r="AL154" s="27"/>
      <c r="AM154" s="27"/>
      <c r="AN154" s="27"/>
      <c r="AO154" s="27"/>
      <c r="AP154" s="27"/>
    </row>
    <row r="155" spans="26:42" x14ac:dyDescent="0.25">
      <c r="Z155" s="231"/>
      <c r="AB155" s="27"/>
      <c r="AC155" s="27"/>
      <c r="AD155" s="27"/>
      <c r="AE155" s="27"/>
      <c r="AF155" s="27"/>
      <c r="AG155" s="27"/>
      <c r="AH155" s="27"/>
      <c r="AI155" s="27"/>
      <c r="AJ155" s="27"/>
      <c r="AK155" s="27"/>
      <c r="AL155" s="27"/>
      <c r="AM155" s="27"/>
      <c r="AN155" s="27"/>
      <c r="AO155" s="27"/>
      <c r="AP155" s="27"/>
    </row>
    <row r="156" spans="26:42" x14ac:dyDescent="0.25">
      <c r="Z156" s="27"/>
    </row>
    <row r="157" spans="26:42" x14ac:dyDescent="0.25">
      <c r="Z157" s="27"/>
    </row>
    <row r="158" spans="26:42" x14ac:dyDescent="0.25">
      <c r="Z158" s="27"/>
    </row>
    <row r="159" spans="26:42" x14ac:dyDescent="0.25">
      <c r="Z159" s="27"/>
    </row>
    <row r="160" spans="26:42" x14ac:dyDescent="0.25">
      <c r="Z160" s="27"/>
    </row>
    <row r="161" spans="26:26" x14ac:dyDescent="0.25">
      <c r="Z161" s="27"/>
    </row>
    <row r="162" spans="26:26" x14ac:dyDescent="0.25">
      <c r="Z162" s="27"/>
    </row>
    <row r="163" spans="26:26" x14ac:dyDescent="0.25">
      <c r="Z163" s="27"/>
    </row>
    <row r="164" spans="26:26" x14ac:dyDescent="0.25">
      <c r="Z164" s="27"/>
    </row>
    <row r="165" spans="26:26" x14ac:dyDescent="0.25">
      <c r="Z165" s="27"/>
    </row>
    <row r="166" spans="26:26" x14ac:dyDescent="0.25">
      <c r="Z166" s="27"/>
    </row>
    <row r="167" spans="26:26" x14ac:dyDescent="0.25">
      <c r="Z167" s="27"/>
    </row>
    <row r="168" spans="26:26" x14ac:dyDescent="0.25">
      <c r="Z168" s="27"/>
    </row>
    <row r="169" spans="26:26" x14ac:dyDescent="0.25">
      <c r="Z169" s="27"/>
    </row>
    <row r="170" spans="26:26" x14ac:dyDescent="0.25">
      <c r="Z170" s="27"/>
    </row>
    <row r="171" spans="26:26" x14ac:dyDescent="0.25">
      <c r="Z171" s="27"/>
    </row>
    <row r="172" spans="26:26" x14ac:dyDescent="0.25">
      <c r="Z172" s="27"/>
    </row>
    <row r="173" spans="26:26" x14ac:dyDescent="0.25">
      <c r="Z173" s="27"/>
    </row>
    <row r="174" spans="26:26" x14ac:dyDescent="0.25">
      <c r="Z174" s="27"/>
    </row>
    <row r="175" spans="26:26" x14ac:dyDescent="0.25">
      <c r="Z175" s="27"/>
    </row>
    <row r="176" spans="26:26" x14ac:dyDescent="0.25">
      <c r="Z176" s="27"/>
    </row>
    <row r="177" spans="26:26" x14ac:dyDescent="0.25">
      <c r="Z177" s="27"/>
    </row>
    <row r="178" spans="26:26" x14ac:dyDescent="0.25">
      <c r="Z178" s="27"/>
    </row>
    <row r="179" spans="26:26" x14ac:dyDescent="0.25">
      <c r="Z179" s="27"/>
    </row>
    <row r="180" spans="26:26" x14ac:dyDescent="0.25">
      <c r="Z180" s="27"/>
    </row>
    <row r="181" spans="26:26" x14ac:dyDescent="0.25">
      <c r="Z181" s="27"/>
    </row>
    <row r="182" spans="26:26" x14ac:dyDescent="0.25">
      <c r="Z182" s="27"/>
    </row>
    <row r="183" spans="26:26" x14ac:dyDescent="0.25">
      <c r="Z183" s="27"/>
    </row>
    <row r="184" spans="26:26" x14ac:dyDescent="0.25">
      <c r="Z184" s="27"/>
    </row>
    <row r="185" spans="26:26" x14ac:dyDescent="0.25">
      <c r="Z185" s="27"/>
    </row>
    <row r="186" spans="26:26" x14ac:dyDescent="0.25">
      <c r="Z186" s="27"/>
    </row>
    <row r="187" spans="26:26" x14ac:dyDescent="0.25">
      <c r="Z187" s="27"/>
    </row>
    <row r="188" spans="26:26" x14ac:dyDescent="0.25">
      <c r="Z188" s="27"/>
    </row>
    <row r="189" spans="26:26" x14ac:dyDescent="0.25">
      <c r="Z189" s="27"/>
    </row>
    <row r="190" spans="26:26" x14ac:dyDescent="0.25">
      <c r="Z190" s="27"/>
    </row>
    <row r="191" spans="26:26" x14ac:dyDescent="0.25">
      <c r="Z191" s="27"/>
    </row>
    <row r="192" spans="26:26" x14ac:dyDescent="0.25">
      <c r="Z192" s="27"/>
    </row>
    <row r="193" spans="26:26" x14ac:dyDescent="0.25">
      <c r="Z193" s="27"/>
    </row>
    <row r="194" spans="26:26" x14ac:dyDescent="0.25">
      <c r="Z194" s="27"/>
    </row>
    <row r="195" spans="26:26" x14ac:dyDescent="0.25">
      <c r="Z195" s="27"/>
    </row>
    <row r="196" spans="26:26" x14ac:dyDescent="0.25">
      <c r="Z196" s="27"/>
    </row>
    <row r="197" spans="26:26" x14ac:dyDescent="0.25">
      <c r="Z197" s="27"/>
    </row>
    <row r="198" spans="26:26" x14ac:dyDescent="0.25">
      <c r="Z198" s="27"/>
    </row>
    <row r="199" spans="26:26" x14ac:dyDescent="0.25">
      <c r="Z199" s="27"/>
    </row>
    <row r="200" spans="26:26" x14ac:dyDescent="0.25">
      <c r="Z200" s="27"/>
    </row>
    <row r="201" spans="26:26" x14ac:dyDescent="0.25">
      <c r="Z201" s="27"/>
    </row>
    <row r="202" spans="26:26" x14ac:dyDescent="0.25">
      <c r="Z202" s="27"/>
    </row>
    <row r="203" spans="26:26" x14ac:dyDescent="0.25">
      <c r="Z203" s="27"/>
    </row>
    <row r="204" spans="26:26" x14ac:dyDescent="0.25">
      <c r="Z204" s="27"/>
    </row>
    <row r="205" spans="26:26" x14ac:dyDescent="0.25">
      <c r="Z205" s="27"/>
    </row>
    <row r="206" spans="26:26" x14ac:dyDescent="0.25">
      <c r="Z206" s="27"/>
    </row>
    <row r="207" spans="26:26" x14ac:dyDescent="0.25">
      <c r="Z207" s="27"/>
    </row>
    <row r="208" spans="26:26" x14ac:dyDescent="0.25">
      <c r="Z208" s="27"/>
    </row>
    <row r="209" spans="26:26" x14ac:dyDescent="0.25">
      <c r="Z209" s="27"/>
    </row>
    <row r="210" spans="26:26" x14ac:dyDescent="0.25">
      <c r="Z210" s="27"/>
    </row>
    <row r="211" spans="26:26" x14ac:dyDescent="0.25">
      <c r="Z211" s="27"/>
    </row>
    <row r="212" spans="26:26" x14ac:dyDescent="0.25">
      <c r="Z212" s="27"/>
    </row>
    <row r="213" spans="26:26" x14ac:dyDescent="0.25">
      <c r="Z213" s="27"/>
    </row>
    <row r="214" spans="26:26" x14ac:dyDescent="0.25">
      <c r="Z214" s="27"/>
    </row>
    <row r="215" spans="26:26" x14ac:dyDescent="0.25">
      <c r="Z215" s="27"/>
    </row>
    <row r="216" spans="26:26" x14ac:dyDescent="0.25">
      <c r="Z216" s="27"/>
    </row>
    <row r="217" spans="26:26" x14ac:dyDescent="0.25">
      <c r="Z217" s="27"/>
    </row>
    <row r="218" spans="26:26" x14ac:dyDescent="0.25">
      <c r="Z218" s="27"/>
    </row>
    <row r="219" spans="26:26" x14ac:dyDescent="0.25">
      <c r="Z219" s="27"/>
    </row>
    <row r="220" spans="26:26" x14ac:dyDescent="0.25">
      <c r="Z220" s="27"/>
    </row>
    <row r="221" spans="26:26" x14ac:dyDescent="0.25">
      <c r="Z221" s="27"/>
    </row>
    <row r="222" spans="26:26" x14ac:dyDescent="0.25">
      <c r="Z222" s="27"/>
    </row>
    <row r="223" spans="26:26" x14ac:dyDescent="0.25">
      <c r="Z223" s="27"/>
    </row>
    <row r="224" spans="26:26" x14ac:dyDescent="0.25">
      <c r="Z224" s="27"/>
    </row>
    <row r="225" spans="26:26" x14ac:dyDescent="0.25">
      <c r="Z225" s="27"/>
    </row>
    <row r="226" spans="26:26" x14ac:dyDescent="0.25">
      <c r="Z226" s="27"/>
    </row>
    <row r="227" spans="26:26" x14ac:dyDescent="0.25">
      <c r="Z227" s="27"/>
    </row>
    <row r="228" spans="26:26" x14ac:dyDescent="0.25">
      <c r="Z228" s="27"/>
    </row>
    <row r="229" spans="26:26" x14ac:dyDescent="0.25">
      <c r="Z229" s="27"/>
    </row>
    <row r="230" spans="26:26" x14ac:dyDescent="0.25">
      <c r="Z230" s="27"/>
    </row>
    <row r="231" spans="26:26" x14ac:dyDescent="0.25">
      <c r="Z231" s="27"/>
    </row>
    <row r="232" spans="26:26" x14ac:dyDescent="0.25">
      <c r="Z232" s="27"/>
    </row>
    <row r="233" spans="26:26" x14ac:dyDescent="0.25">
      <c r="Z233" s="27"/>
    </row>
    <row r="234" spans="26:26" x14ac:dyDescent="0.25">
      <c r="Z234" s="27"/>
    </row>
    <row r="235" spans="26:26" x14ac:dyDescent="0.25">
      <c r="Z235" s="27"/>
    </row>
    <row r="236" spans="26:26" x14ac:dyDescent="0.25">
      <c r="Z236" s="27"/>
    </row>
    <row r="237" spans="26:26" x14ac:dyDescent="0.25">
      <c r="Z237" s="27"/>
    </row>
    <row r="238" spans="26:26" x14ac:dyDescent="0.25">
      <c r="Z238" s="27"/>
    </row>
    <row r="239" spans="26:26" x14ac:dyDescent="0.25">
      <c r="Z239" s="27"/>
    </row>
    <row r="240" spans="26:26" x14ac:dyDescent="0.25">
      <c r="Z240" s="27"/>
    </row>
    <row r="241" spans="26:26" x14ac:dyDescent="0.25">
      <c r="Z241" s="27"/>
    </row>
    <row r="242" spans="26:26" x14ac:dyDescent="0.25">
      <c r="Z242" s="27"/>
    </row>
    <row r="243" spans="26:26" x14ac:dyDescent="0.25">
      <c r="Z243" s="27"/>
    </row>
    <row r="244" spans="26:26" x14ac:dyDescent="0.25">
      <c r="Z244" s="27"/>
    </row>
    <row r="245" spans="26:26" x14ac:dyDescent="0.25">
      <c r="Z245" s="27"/>
    </row>
    <row r="246" spans="26:26" x14ac:dyDescent="0.25">
      <c r="Z246" s="27"/>
    </row>
    <row r="247" spans="26:26" x14ac:dyDescent="0.25">
      <c r="Z247" s="27"/>
    </row>
    <row r="248" spans="26:26" x14ac:dyDescent="0.25">
      <c r="Z248" s="27"/>
    </row>
    <row r="249" spans="26:26" x14ac:dyDescent="0.25">
      <c r="Z249" s="27"/>
    </row>
    <row r="250" spans="26:26" x14ac:dyDescent="0.25">
      <c r="Z250" s="27"/>
    </row>
    <row r="251" spans="26:26" x14ac:dyDescent="0.25">
      <c r="Z251" s="27"/>
    </row>
    <row r="252" spans="26:26" x14ac:dyDescent="0.25">
      <c r="Z252" s="27"/>
    </row>
    <row r="253" spans="26:26" x14ac:dyDescent="0.25">
      <c r="Z253" s="27"/>
    </row>
    <row r="254" spans="26:26" x14ac:dyDescent="0.25">
      <c r="Z254" s="27"/>
    </row>
    <row r="255" spans="26:26" x14ac:dyDescent="0.25">
      <c r="Z255" s="27"/>
    </row>
    <row r="256" spans="26:26" x14ac:dyDescent="0.25">
      <c r="Z256" s="27"/>
    </row>
    <row r="257" spans="26:26" x14ac:dyDescent="0.25">
      <c r="Z257" s="27"/>
    </row>
    <row r="258" spans="26:26" x14ac:dyDescent="0.25">
      <c r="Z258" s="27"/>
    </row>
    <row r="259" spans="26:26" x14ac:dyDescent="0.25">
      <c r="Z259" s="27"/>
    </row>
    <row r="260" spans="26:26" x14ac:dyDescent="0.25">
      <c r="Z260" s="27"/>
    </row>
    <row r="261" spans="26:26" x14ac:dyDescent="0.25">
      <c r="Z261" s="27"/>
    </row>
    <row r="262" spans="26:26" x14ac:dyDescent="0.25">
      <c r="Z262" s="27"/>
    </row>
    <row r="263" spans="26:26" x14ac:dyDescent="0.25">
      <c r="Z263" s="27"/>
    </row>
    <row r="264" spans="26:26" x14ac:dyDescent="0.25">
      <c r="Z264" s="27"/>
    </row>
    <row r="265" spans="26:26" x14ac:dyDescent="0.25">
      <c r="Z265" s="27"/>
    </row>
    <row r="266" spans="26:26" x14ac:dyDescent="0.25">
      <c r="Z266" s="27"/>
    </row>
    <row r="267" spans="26:26" x14ac:dyDescent="0.25">
      <c r="Z267" s="27"/>
    </row>
    <row r="268" spans="26:26" x14ac:dyDescent="0.25">
      <c r="Z268" s="27"/>
    </row>
    <row r="269" spans="26:26" x14ac:dyDescent="0.25">
      <c r="Z269" s="27"/>
    </row>
    <row r="270" spans="26:26" x14ac:dyDescent="0.25">
      <c r="Z270" s="27"/>
    </row>
    <row r="271" spans="26:26" x14ac:dyDescent="0.25">
      <c r="Z271" s="27"/>
    </row>
    <row r="272" spans="26:26" x14ac:dyDescent="0.25">
      <c r="Z272" s="27"/>
    </row>
    <row r="273" spans="26:26" x14ac:dyDescent="0.25">
      <c r="Z273" s="27"/>
    </row>
    <row r="274" spans="26:26" x14ac:dyDescent="0.25">
      <c r="Z274" s="27"/>
    </row>
    <row r="275" spans="26:26" x14ac:dyDescent="0.25">
      <c r="Z275" s="27"/>
    </row>
    <row r="276" spans="26:26" x14ac:dyDescent="0.25">
      <c r="Z276" s="27"/>
    </row>
    <row r="277" spans="26:26" x14ac:dyDescent="0.25">
      <c r="Z277" s="27"/>
    </row>
    <row r="278" spans="26:26" x14ac:dyDescent="0.25">
      <c r="Z278" s="27"/>
    </row>
    <row r="279" spans="26:26" x14ac:dyDescent="0.25">
      <c r="Z279" s="27"/>
    </row>
    <row r="280" spans="26:26" x14ac:dyDescent="0.25">
      <c r="Z280" s="27"/>
    </row>
    <row r="281" spans="26:26" x14ac:dyDescent="0.25">
      <c r="Z281" s="27"/>
    </row>
    <row r="282" spans="26:26" x14ac:dyDescent="0.25">
      <c r="Z282" s="27"/>
    </row>
    <row r="283" spans="26:26" x14ac:dyDescent="0.25">
      <c r="Z283" s="27"/>
    </row>
    <row r="284" spans="26:26" x14ac:dyDescent="0.25">
      <c r="Z284" s="27"/>
    </row>
    <row r="285" spans="26:26" x14ac:dyDescent="0.25">
      <c r="Z285" s="27"/>
    </row>
    <row r="286" spans="26:26" x14ac:dyDescent="0.25">
      <c r="Z286" s="27"/>
    </row>
    <row r="287" spans="26:26" x14ac:dyDescent="0.25">
      <c r="Z287" s="27"/>
    </row>
    <row r="288" spans="26:26" x14ac:dyDescent="0.25">
      <c r="Z288" s="27"/>
    </row>
    <row r="289" spans="26:26" x14ac:dyDescent="0.25">
      <c r="Z289" s="27"/>
    </row>
    <row r="290" spans="26:26" x14ac:dyDescent="0.25">
      <c r="Z290" s="27"/>
    </row>
    <row r="291" spans="26:26" x14ac:dyDescent="0.25">
      <c r="Z291" s="27"/>
    </row>
    <row r="292" spans="26:26" x14ac:dyDescent="0.25">
      <c r="Z292" s="27"/>
    </row>
    <row r="293" spans="26:26" x14ac:dyDescent="0.25">
      <c r="Z293" s="27"/>
    </row>
    <row r="294" spans="26:26" x14ac:dyDescent="0.25">
      <c r="Z294" s="27"/>
    </row>
    <row r="295" spans="26:26" x14ac:dyDescent="0.25">
      <c r="Z295" s="27"/>
    </row>
    <row r="296" spans="26:26" x14ac:dyDescent="0.25">
      <c r="Z296" s="27"/>
    </row>
    <row r="297" spans="26:26" x14ac:dyDescent="0.25">
      <c r="Z297" s="27"/>
    </row>
    <row r="298" spans="26:26" x14ac:dyDescent="0.25">
      <c r="Z298" s="27"/>
    </row>
    <row r="299" spans="26:26" x14ac:dyDescent="0.25">
      <c r="Z299" s="27"/>
    </row>
    <row r="300" spans="26:26" x14ac:dyDescent="0.25">
      <c r="Z300" s="27"/>
    </row>
    <row r="301" spans="26:26" x14ac:dyDescent="0.25">
      <c r="Z301" s="27"/>
    </row>
    <row r="302" spans="26:26" x14ac:dyDescent="0.25">
      <c r="Z302" s="27"/>
    </row>
    <row r="303" spans="26:26" x14ac:dyDescent="0.25">
      <c r="Z303" s="27"/>
    </row>
    <row r="304" spans="26:26" x14ac:dyDescent="0.25">
      <c r="Z304" s="27"/>
    </row>
    <row r="305" spans="26:26" x14ac:dyDescent="0.25">
      <c r="Z305" s="27"/>
    </row>
    <row r="306" spans="26:26" x14ac:dyDescent="0.25">
      <c r="Z306" s="27"/>
    </row>
    <row r="307" spans="26:26" x14ac:dyDescent="0.25">
      <c r="Z307" s="27"/>
    </row>
    <row r="308" spans="26:26" x14ac:dyDescent="0.25">
      <c r="Z308" s="27"/>
    </row>
    <row r="309" spans="26:26" x14ac:dyDescent="0.25">
      <c r="Z309" s="27"/>
    </row>
    <row r="310" spans="26:26" x14ac:dyDescent="0.25">
      <c r="Z310" s="27"/>
    </row>
    <row r="311" spans="26:26" x14ac:dyDescent="0.25">
      <c r="Z311" s="27"/>
    </row>
    <row r="312" spans="26:26" x14ac:dyDescent="0.25">
      <c r="Z312" s="27"/>
    </row>
    <row r="313" spans="26:26" x14ac:dyDescent="0.25">
      <c r="Z313" s="27"/>
    </row>
    <row r="314" spans="26:26" x14ac:dyDescent="0.25">
      <c r="Z314" s="27"/>
    </row>
    <row r="315" spans="26:26" x14ac:dyDescent="0.25">
      <c r="Z315" s="27"/>
    </row>
    <row r="316" spans="26:26" x14ac:dyDescent="0.25">
      <c r="Z316" s="27"/>
    </row>
    <row r="317" spans="26:26" x14ac:dyDescent="0.25">
      <c r="Z317" s="27"/>
    </row>
    <row r="318" spans="26:26" x14ac:dyDescent="0.25">
      <c r="Z318" s="27"/>
    </row>
    <row r="319" spans="26:26" x14ac:dyDescent="0.25">
      <c r="Z319" s="27"/>
    </row>
    <row r="320" spans="26:26" x14ac:dyDescent="0.25">
      <c r="Z320" s="27"/>
    </row>
    <row r="321" spans="26:26" x14ac:dyDescent="0.25">
      <c r="Z321" s="27"/>
    </row>
    <row r="322" spans="26:26" x14ac:dyDescent="0.25">
      <c r="Z322" s="27"/>
    </row>
    <row r="323" spans="26:26" x14ac:dyDescent="0.25">
      <c r="Z323" s="27"/>
    </row>
    <row r="324" spans="26:26" x14ac:dyDescent="0.25">
      <c r="Z324" s="27"/>
    </row>
    <row r="325" spans="26:26" x14ac:dyDescent="0.25">
      <c r="Z325" s="27"/>
    </row>
    <row r="326" spans="26:26" x14ac:dyDescent="0.25">
      <c r="Z326" s="27"/>
    </row>
    <row r="327" spans="26:26" x14ac:dyDescent="0.25">
      <c r="Z327" s="27"/>
    </row>
    <row r="328" spans="26:26" x14ac:dyDescent="0.25">
      <c r="Z328" s="27"/>
    </row>
    <row r="329" spans="26:26" x14ac:dyDescent="0.25">
      <c r="Z329" s="27"/>
    </row>
    <row r="330" spans="26:26" x14ac:dyDescent="0.25">
      <c r="Z330" s="27"/>
    </row>
    <row r="331" spans="26:26" x14ac:dyDescent="0.25">
      <c r="Z331" s="27"/>
    </row>
    <row r="332" spans="26:26" x14ac:dyDescent="0.25">
      <c r="Z332" s="27"/>
    </row>
    <row r="333" spans="26:26" x14ac:dyDescent="0.25">
      <c r="Z333" s="27"/>
    </row>
    <row r="334" spans="26:26" x14ac:dyDescent="0.25">
      <c r="Z334" s="27"/>
    </row>
    <row r="335" spans="26:26" x14ac:dyDescent="0.25">
      <c r="Z335" s="27"/>
    </row>
    <row r="336" spans="26:26" x14ac:dyDescent="0.25">
      <c r="Z336" s="27"/>
    </row>
    <row r="337" spans="26:26" x14ac:dyDescent="0.25">
      <c r="Z337" s="27"/>
    </row>
    <row r="338" spans="26:26" x14ac:dyDescent="0.25">
      <c r="Z338" s="27"/>
    </row>
    <row r="339" spans="26:26" x14ac:dyDescent="0.25">
      <c r="Z339" s="27"/>
    </row>
    <row r="340" spans="26:26" x14ac:dyDescent="0.25">
      <c r="Z340" s="27"/>
    </row>
    <row r="341" spans="26:26" x14ac:dyDescent="0.25">
      <c r="Z341" s="27"/>
    </row>
  </sheetData>
  <sheetProtection algorithmName="SHA-512" hashValue="Dn6uQ9r5lrkrfUsIFpQfYF3wKwoXmi8zyuQDlcWSFyrR8P8AkUW79kuZD/pAFJowcKIruOUYEwNvAtOIS8a+Ng==" saltValue="DrLh2YKSK+iPZDPGfiMZPg=="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0866141732283472" right="0.70866141732283472" top="0.74803149606299213" bottom="0.74803149606299213" header="0.31496062992125984" footer="0.31496062992125984"/>
  <pageSetup paperSize="14" pageOrder="overThenDown" orientation="landscape"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6"/>
  <sheetViews>
    <sheetView topLeftCell="A6" workbookViewId="0">
      <pane ySplit="3" topLeftCell="A9" activePane="bottomLeft" state="frozen"/>
      <selection activeCell="A6" sqref="A6"/>
      <selection pane="bottomLeft" activeCell="J11" sqref="J11"/>
    </sheetView>
  </sheetViews>
  <sheetFormatPr baseColWidth="10" defaultRowHeight="15" x14ac:dyDescent="0.25"/>
  <cols>
    <col min="1" max="1" width="10" style="1" customWidth="1"/>
    <col min="2" max="2" width="12.42578125" style="1" customWidth="1"/>
    <col min="3" max="3" width="10.42578125" style="1" customWidth="1"/>
    <col min="4" max="4" width="13.5703125" style="1" customWidth="1"/>
    <col min="5" max="5" width="15" style="188" customWidth="1"/>
    <col min="6" max="6" width="12" style="1" customWidth="1"/>
    <col min="7" max="7" width="9.28515625" style="1" customWidth="1"/>
    <col min="8" max="8" width="18.5703125" style="1" customWidth="1"/>
    <col min="9" max="9" width="14.42578125" style="1" customWidth="1"/>
    <col min="10" max="10" width="11.5703125" style="1" customWidth="1"/>
    <col min="11" max="11" width="24" style="1" customWidth="1"/>
    <col min="12" max="12" width="11.5703125" style="1" customWidth="1"/>
    <col min="13" max="13" width="11.42578125" style="1" customWidth="1"/>
    <col min="14" max="14" width="6.85546875" style="1" customWidth="1"/>
    <col min="15" max="15" width="12.28515625" style="1" customWidth="1"/>
    <col min="16" max="16" width="12" style="1" customWidth="1"/>
    <col min="17" max="17" width="40.140625" style="1" customWidth="1"/>
    <col min="18" max="18" width="28.140625" style="1" customWidth="1"/>
    <col min="19" max="19" width="28.7109375" style="1" customWidth="1"/>
    <col min="20" max="20" width="11.42578125" style="1"/>
    <col min="21" max="21" width="25.85546875" style="188" customWidth="1"/>
    <col min="22" max="24" width="11.42578125" style="1"/>
    <col min="25" max="25" width="24.42578125" style="1" customWidth="1"/>
    <col min="26" max="16384" width="11.42578125" style="1"/>
  </cols>
  <sheetData>
    <row r="1" spans="1:81" x14ac:dyDescent="0.25">
      <c r="A1" s="605" t="s">
        <v>0</v>
      </c>
      <c r="B1" s="605"/>
      <c r="C1" s="605"/>
      <c r="D1" s="605"/>
      <c r="E1" s="605"/>
      <c r="F1" s="605"/>
      <c r="G1" s="605"/>
      <c r="H1" s="605"/>
      <c r="I1" s="605"/>
      <c r="J1" s="605"/>
      <c r="K1" s="605"/>
      <c r="L1" s="605"/>
      <c r="M1" s="605"/>
      <c r="N1" s="605"/>
      <c r="O1" s="605"/>
    </row>
    <row r="2" spans="1:81" x14ac:dyDescent="0.25">
      <c r="A2" s="605" t="s">
        <v>1</v>
      </c>
      <c r="B2" s="605"/>
      <c r="C2" s="605"/>
      <c r="D2" s="605"/>
      <c r="E2" s="605"/>
      <c r="F2" s="605"/>
      <c r="G2" s="605"/>
      <c r="H2" s="605"/>
      <c r="I2" s="605"/>
      <c r="J2" s="605"/>
      <c r="K2" s="605"/>
      <c r="L2" s="605"/>
      <c r="M2" s="605"/>
      <c r="N2" s="605"/>
      <c r="O2" s="605"/>
    </row>
    <row r="3" spans="1:81" x14ac:dyDescent="0.25">
      <c r="A3" s="605" t="s">
        <v>2</v>
      </c>
      <c r="B3" s="605"/>
      <c r="C3" s="605"/>
      <c r="D3" s="605"/>
      <c r="E3" s="605"/>
      <c r="F3" s="605"/>
      <c r="G3" s="605"/>
      <c r="H3" s="605" t="s">
        <v>3</v>
      </c>
      <c r="I3" s="605"/>
      <c r="J3" s="605"/>
      <c r="K3" s="605"/>
      <c r="L3" s="605"/>
      <c r="M3" s="605"/>
      <c r="N3" s="605"/>
      <c r="O3" s="605"/>
    </row>
    <row r="4" spans="1:81" x14ac:dyDescent="0.25">
      <c r="A4" s="605">
        <v>2013</v>
      </c>
      <c r="B4" s="605"/>
      <c r="C4" s="605"/>
      <c r="D4" s="605"/>
      <c r="E4" s="605"/>
      <c r="F4" s="605"/>
      <c r="G4" s="605"/>
      <c r="H4" s="605"/>
      <c r="I4" s="605"/>
      <c r="J4" s="605"/>
      <c r="K4" s="605"/>
      <c r="L4" s="605"/>
      <c r="M4" s="605"/>
      <c r="N4" s="605"/>
      <c r="O4" s="605"/>
    </row>
    <row r="5" spans="1:81" x14ac:dyDescent="0.25">
      <c r="A5" s="189"/>
      <c r="B5" s="189"/>
      <c r="C5" s="189"/>
      <c r="D5" s="189"/>
      <c r="E5" s="190"/>
      <c r="F5" s="189"/>
      <c r="G5" s="189"/>
      <c r="H5" s="7"/>
      <c r="I5" s="7"/>
      <c r="J5" s="7"/>
      <c r="K5" s="189"/>
      <c r="L5" s="191"/>
      <c r="M5" s="5"/>
      <c r="N5" s="5"/>
      <c r="O5" s="5"/>
    </row>
    <row r="6" spans="1:81" x14ac:dyDescent="0.25">
      <c r="A6" s="7" t="s">
        <v>4</v>
      </c>
      <c r="B6" s="606"/>
      <c r="C6" s="606"/>
      <c r="D6" s="606"/>
      <c r="E6" s="606"/>
      <c r="F6" s="606"/>
      <c r="G6" s="606"/>
      <c r="H6" s="606"/>
      <c r="I6" s="606"/>
      <c r="J6" s="606"/>
      <c r="K6" s="606"/>
      <c r="L6" s="606"/>
      <c r="M6" s="606"/>
      <c r="N6" s="606"/>
      <c r="O6" s="606"/>
    </row>
    <row r="7" spans="1:81"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9" t="s">
        <v>22</v>
      </c>
    </row>
    <row r="8" spans="1:81" ht="72" customHeight="1" x14ac:dyDescent="0.25">
      <c r="A8" s="618"/>
      <c r="B8" s="618"/>
      <c r="C8" s="618"/>
      <c r="D8" s="618"/>
      <c r="E8" s="618"/>
      <c r="F8" s="618"/>
      <c r="G8" s="618"/>
      <c r="H8" s="618"/>
      <c r="I8" s="622"/>
      <c r="J8" s="622"/>
      <c r="K8" s="618"/>
      <c r="L8" s="618"/>
      <c r="M8" s="618"/>
      <c r="N8" s="624"/>
      <c r="O8" s="624"/>
      <c r="P8" s="624"/>
      <c r="Q8" s="620"/>
    </row>
    <row r="9" spans="1:81" ht="61.5" customHeight="1" x14ac:dyDescent="0.25">
      <c r="A9" s="192" t="s">
        <v>23</v>
      </c>
      <c r="B9" s="192" t="s">
        <v>136</v>
      </c>
      <c r="C9" s="192" t="s">
        <v>137</v>
      </c>
      <c r="D9" s="193">
        <v>211180000</v>
      </c>
      <c r="E9" s="194" t="s">
        <v>138</v>
      </c>
      <c r="F9" s="195" t="s">
        <v>975</v>
      </c>
      <c r="G9" s="192" t="s">
        <v>976</v>
      </c>
      <c r="H9" s="192" t="s">
        <v>977</v>
      </c>
      <c r="I9" s="196">
        <v>-20000000</v>
      </c>
      <c r="J9" s="197">
        <f>'[23]FORMATO FINANCIERO'!J9-'[23]FORMATO FINANCIERO'!H9</f>
        <v>-20000000</v>
      </c>
      <c r="K9" s="198" t="s">
        <v>978</v>
      </c>
      <c r="L9" s="194">
        <v>2.64</v>
      </c>
      <c r="M9" s="199" t="s">
        <v>979</v>
      </c>
      <c r="N9" s="194"/>
      <c r="O9" s="194" t="s">
        <v>980</v>
      </c>
      <c r="P9" s="194">
        <v>0.53</v>
      </c>
      <c r="Q9" s="200" t="s">
        <v>981</v>
      </c>
      <c r="R9" s="8"/>
      <c r="U9" s="9"/>
      <c r="Y9" s="9"/>
      <c r="AC9" s="9"/>
      <c r="AG9" s="9"/>
      <c r="AK9" s="9"/>
      <c r="AO9" s="9"/>
      <c r="AS9" s="9"/>
      <c r="AW9" s="9"/>
      <c r="BA9" s="9"/>
      <c r="BE9" s="9"/>
      <c r="BI9" s="9"/>
      <c r="BM9" s="9"/>
      <c r="BQ9" s="9"/>
      <c r="BU9" s="9"/>
      <c r="BY9" s="9"/>
      <c r="CC9" s="9"/>
    </row>
    <row r="10" spans="1:81" s="27" customFormat="1" ht="108" customHeight="1" x14ac:dyDescent="0.25">
      <c r="A10" s="192" t="s">
        <v>156</v>
      </c>
      <c r="B10" s="192" t="s">
        <v>982</v>
      </c>
      <c r="C10" s="192" t="s">
        <v>983</v>
      </c>
      <c r="D10" s="193">
        <v>222310000</v>
      </c>
      <c r="E10" s="194" t="s">
        <v>984</v>
      </c>
      <c r="F10" s="195" t="s">
        <v>985</v>
      </c>
      <c r="G10" s="192" t="s">
        <v>986</v>
      </c>
      <c r="H10" s="192" t="s">
        <v>987</v>
      </c>
      <c r="I10" s="196"/>
      <c r="J10" s="197">
        <f>'[23]FORMATO FINANCIERO'!J12-'[23]FORMATO FINANCIERO'!H12</f>
        <v>4798467137</v>
      </c>
      <c r="K10" s="194" t="s">
        <v>988</v>
      </c>
      <c r="L10" s="196">
        <v>10</v>
      </c>
      <c r="M10" s="199"/>
      <c r="N10" s="194"/>
      <c r="O10" s="194"/>
      <c r="P10" s="194"/>
      <c r="Q10" s="194" t="s">
        <v>989</v>
      </c>
      <c r="U10" s="201"/>
      <c r="Y10" s="201"/>
      <c r="AC10" s="201"/>
      <c r="AG10" s="201"/>
      <c r="AK10" s="201"/>
      <c r="AO10" s="201"/>
      <c r="AS10" s="201"/>
      <c r="AW10" s="201"/>
      <c r="BA10" s="201"/>
      <c r="BE10" s="201"/>
      <c r="BI10" s="201"/>
      <c r="BM10" s="201"/>
      <c r="BQ10" s="201"/>
      <c r="BU10" s="201"/>
      <c r="BY10" s="201"/>
      <c r="CC10" s="201"/>
    </row>
    <row r="11" spans="1:81" ht="89.25" customHeight="1" x14ac:dyDescent="0.25">
      <c r="A11" s="192" t="s">
        <v>156</v>
      </c>
      <c r="B11" s="192" t="s">
        <v>982</v>
      </c>
      <c r="C11" s="192" t="s">
        <v>983</v>
      </c>
      <c r="D11" s="193">
        <v>222310000</v>
      </c>
      <c r="E11" s="194" t="s">
        <v>984</v>
      </c>
      <c r="F11" s="195" t="s">
        <v>990</v>
      </c>
      <c r="G11" s="192" t="s">
        <v>991</v>
      </c>
      <c r="H11" s="202" t="s">
        <v>992</v>
      </c>
      <c r="I11" s="196">
        <v>1398000000</v>
      </c>
      <c r="J11" s="197">
        <f>'[23]FORMATO FINANCIERO'!J27-'[23]FORMATO FINANCIERO'!H27</f>
        <v>1578000000</v>
      </c>
      <c r="K11" s="194" t="s">
        <v>988</v>
      </c>
      <c r="L11" s="196">
        <v>10</v>
      </c>
      <c r="M11" s="194">
        <v>34</v>
      </c>
      <c r="N11" s="194"/>
      <c r="O11" s="194">
        <v>34</v>
      </c>
      <c r="P11" s="194">
        <v>44</v>
      </c>
      <c r="Q11" s="194" t="s">
        <v>993</v>
      </c>
      <c r="U11" s="9"/>
      <c r="Y11" s="9"/>
      <c r="AC11" s="9"/>
      <c r="AG11" s="9"/>
      <c r="AK11" s="9"/>
      <c r="AO11" s="9"/>
      <c r="AS11" s="9"/>
      <c r="AW11" s="9"/>
      <c r="BA11" s="9"/>
      <c r="BE11" s="9"/>
      <c r="BI11" s="9"/>
      <c r="BM11" s="9"/>
      <c r="BQ11" s="9"/>
      <c r="BU11" s="9"/>
      <c r="BY11" s="9"/>
      <c r="CC11" s="9"/>
    </row>
    <row r="12" spans="1:81" ht="105" x14ac:dyDescent="0.25">
      <c r="A12" s="192" t="s">
        <v>156</v>
      </c>
      <c r="B12" s="192" t="s">
        <v>982</v>
      </c>
      <c r="C12" s="192" t="s">
        <v>994</v>
      </c>
      <c r="D12" s="193">
        <v>222420000</v>
      </c>
      <c r="E12" s="194" t="s">
        <v>995</v>
      </c>
      <c r="F12" s="195" t="s">
        <v>996</v>
      </c>
      <c r="G12" s="192" t="s">
        <v>997</v>
      </c>
      <c r="H12" s="202" t="s">
        <v>998</v>
      </c>
      <c r="I12" s="196">
        <v>0</v>
      </c>
      <c r="J12" s="197">
        <f>'[23]FORMATO FINANCIERO'!J34-'[23]FORMATO FINANCIERO'!H34</f>
        <v>0</v>
      </c>
      <c r="K12" s="194" t="s">
        <v>999</v>
      </c>
      <c r="L12" s="197">
        <v>10000000000</v>
      </c>
      <c r="M12" s="197">
        <v>10000000000</v>
      </c>
      <c r="N12" s="203"/>
      <c r="O12" s="197">
        <v>6214000000</v>
      </c>
      <c r="P12" s="197">
        <v>62029000000</v>
      </c>
      <c r="Q12" s="194" t="s">
        <v>1000</v>
      </c>
      <c r="U12" s="9"/>
      <c r="Y12" s="9"/>
      <c r="AC12" s="9"/>
      <c r="AG12" s="9"/>
      <c r="AK12" s="9"/>
      <c r="AO12" s="9"/>
      <c r="AS12" s="9"/>
      <c r="AW12" s="9"/>
      <c r="BA12" s="9"/>
      <c r="BE12" s="9"/>
      <c r="BI12" s="9"/>
      <c r="BM12" s="9"/>
      <c r="BQ12" s="9"/>
      <c r="BU12" s="9"/>
      <c r="BY12" s="9"/>
      <c r="CC12" s="9"/>
    </row>
    <row r="13" spans="1:81" ht="105" x14ac:dyDescent="0.25">
      <c r="A13" s="192" t="s">
        <v>156</v>
      </c>
      <c r="B13" s="192" t="s">
        <v>982</v>
      </c>
      <c r="C13" s="192" t="s">
        <v>994</v>
      </c>
      <c r="D13" s="193">
        <v>222420000</v>
      </c>
      <c r="E13" s="194" t="s">
        <v>995</v>
      </c>
      <c r="F13" s="195" t="s">
        <v>1001</v>
      </c>
      <c r="G13" s="192" t="s">
        <v>1002</v>
      </c>
      <c r="H13" s="202" t="s">
        <v>1003</v>
      </c>
      <c r="I13" s="194">
        <v>0</v>
      </c>
      <c r="J13" s="197">
        <f>'[23]FORMATO FINANCIERO'!J37-'[23]FORMATO FINANCIERO'!H37</f>
        <v>0</v>
      </c>
      <c r="K13" s="194" t="s">
        <v>1004</v>
      </c>
      <c r="L13" s="196">
        <v>360</v>
      </c>
      <c r="M13" s="194">
        <v>360</v>
      </c>
      <c r="N13" s="194"/>
      <c r="O13" s="194">
        <v>0</v>
      </c>
      <c r="P13" s="196">
        <v>1675</v>
      </c>
      <c r="Q13" s="194" t="s">
        <v>1005</v>
      </c>
      <c r="S13" s="155"/>
      <c r="U13" s="9"/>
      <c r="Y13" s="9"/>
      <c r="AC13" s="9"/>
      <c r="AG13" s="9"/>
      <c r="AK13" s="9"/>
      <c r="AO13" s="9"/>
      <c r="AS13" s="9"/>
      <c r="AW13" s="9"/>
      <c r="BA13" s="9"/>
      <c r="BE13" s="9"/>
      <c r="BI13" s="9"/>
      <c r="BM13" s="9"/>
      <c r="BQ13" s="9"/>
      <c r="BU13" s="9"/>
      <c r="BY13" s="9"/>
      <c r="CC13" s="9"/>
    </row>
    <row r="14" spans="1:81" ht="132" customHeight="1" x14ac:dyDescent="0.25">
      <c r="A14" s="192" t="s">
        <v>156</v>
      </c>
      <c r="B14" s="192" t="s">
        <v>982</v>
      </c>
      <c r="C14" s="192" t="s">
        <v>1006</v>
      </c>
      <c r="D14" s="193">
        <v>222720000</v>
      </c>
      <c r="E14" s="194" t="s">
        <v>1007</v>
      </c>
      <c r="F14" s="195" t="s">
        <v>1008</v>
      </c>
      <c r="G14" s="192" t="s">
        <v>1009</v>
      </c>
      <c r="H14" s="202" t="s">
        <v>1010</v>
      </c>
      <c r="I14" s="196">
        <v>16000000</v>
      </c>
      <c r="J14" s="197">
        <f>'[23]FORMATO FINANCIERO'!J38-'[23]FORMATO FINANCIERO'!H38</f>
        <v>16000000</v>
      </c>
      <c r="K14" s="194" t="s">
        <v>1011</v>
      </c>
      <c r="L14" s="196">
        <v>6</v>
      </c>
      <c r="M14" s="194">
        <v>6</v>
      </c>
      <c r="N14" s="194"/>
      <c r="O14" s="194">
        <v>2</v>
      </c>
      <c r="P14" s="204">
        <v>13</v>
      </c>
      <c r="Q14" s="205" t="s">
        <v>1012</v>
      </c>
      <c r="U14" s="9"/>
      <c r="Y14" s="9"/>
      <c r="AC14" s="9"/>
      <c r="AG14" s="9"/>
      <c r="AK14" s="9"/>
      <c r="AO14" s="9"/>
      <c r="AS14" s="9"/>
      <c r="AW14" s="9"/>
      <c r="BA14" s="9"/>
      <c r="BE14" s="9"/>
      <c r="BI14" s="9"/>
      <c r="BM14" s="9"/>
      <c r="BQ14" s="9"/>
      <c r="BU14" s="9"/>
      <c r="BY14" s="9"/>
      <c r="CC14" s="9"/>
    </row>
    <row r="15" spans="1:81" ht="45" x14ac:dyDescent="0.25">
      <c r="A15" s="192"/>
      <c r="B15" s="192"/>
      <c r="C15" s="192"/>
      <c r="D15" s="206"/>
      <c r="E15" s="207"/>
      <c r="F15" s="195"/>
      <c r="G15" s="192"/>
      <c r="H15" s="202"/>
      <c r="I15" s="194"/>
      <c r="J15" s="194"/>
      <c r="K15" s="194" t="s">
        <v>1013</v>
      </c>
      <c r="L15" s="196">
        <v>6</v>
      </c>
      <c r="M15" s="194">
        <v>6</v>
      </c>
      <c r="N15" s="194"/>
      <c r="O15" s="194">
        <v>0</v>
      </c>
      <c r="P15" s="194">
        <v>12</v>
      </c>
      <c r="Q15" s="194" t="s">
        <v>1014</v>
      </c>
      <c r="U15" s="9"/>
      <c r="Y15" s="9"/>
      <c r="AC15" s="9"/>
      <c r="AG15" s="9"/>
      <c r="AK15" s="9"/>
      <c r="AO15" s="9"/>
      <c r="AS15" s="9"/>
      <c r="AW15" s="9"/>
      <c r="BA15" s="9"/>
      <c r="BE15" s="9"/>
      <c r="BI15" s="9"/>
      <c r="BM15" s="9"/>
      <c r="BQ15" s="9"/>
      <c r="BU15" s="9"/>
      <c r="BY15" s="9"/>
      <c r="CC15" s="9"/>
    </row>
    <row r="16" spans="1:81" ht="90" customHeight="1" x14ac:dyDescent="0.25">
      <c r="A16" s="192" t="s">
        <v>156</v>
      </c>
      <c r="B16" s="192" t="s">
        <v>982</v>
      </c>
      <c r="C16" s="192" t="s">
        <v>1015</v>
      </c>
      <c r="D16" s="193">
        <v>222810000</v>
      </c>
      <c r="E16" s="194" t="s">
        <v>1016</v>
      </c>
      <c r="F16" s="195" t="s">
        <v>1017</v>
      </c>
      <c r="G16" s="192" t="s">
        <v>1018</v>
      </c>
      <c r="H16" s="208" t="s">
        <v>1019</v>
      </c>
      <c r="I16" s="200">
        <v>0</v>
      </c>
      <c r="J16" s="197">
        <f>'[23]FORMATO FINANCIERO'!J68-'[23]FORMATO FINANCIERO'!H68</f>
        <v>0</v>
      </c>
      <c r="K16" s="200" t="s">
        <v>1020</v>
      </c>
      <c r="L16" s="209">
        <v>4700</v>
      </c>
      <c r="M16" s="194">
        <v>80</v>
      </c>
      <c r="N16" s="194"/>
      <c r="O16" s="194">
        <v>0</v>
      </c>
      <c r="P16" s="194">
        <v>180</v>
      </c>
      <c r="Q16" s="194" t="s">
        <v>1021</v>
      </c>
      <c r="U16" s="9"/>
      <c r="Y16" s="9"/>
      <c r="AC16" s="9"/>
      <c r="AG16" s="9"/>
      <c r="AK16" s="9"/>
      <c r="AO16" s="9"/>
      <c r="AS16" s="9"/>
      <c r="AW16" s="9"/>
      <c r="BA16" s="9"/>
      <c r="BE16" s="9"/>
      <c r="BI16" s="9"/>
      <c r="BM16" s="9"/>
      <c r="BQ16" s="9"/>
      <c r="BU16" s="9"/>
      <c r="BY16" s="9"/>
      <c r="CC16" s="9"/>
    </row>
    <row r="17" spans="1:81" ht="89.25" customHeight="1" x14ac:dyDescent="0.25">
      <c r="A17" s="192" t="s">
        <v>156</v>
      </c>
      <c r="B17" s="192" t="s">
        <v>982</v>
      </c>
      <c r="C17" s="192" t="s">
        <v>1015</v>
      </c>
      <c r="D17" s="193">
        <v>222810000</v>
      </c>
      <c r="E17" s="194" t="s">
        <v>1016</v>
      </c>
      <c r="F17" s="195" t="s">
        <v>1022</v>
      </c>
      <c r="G17" s="192" t="s">
        <v>1023</v>
      </c>
      <c r="H17" s="208" t="s">
        <v>1024</v>
      </c>
      <c r="I17" s="196">
        <v>1903765031</v>
      </c>
      <c r="J17" s="197">
        <f>'[23]FORMATO FINANCIERO'!J74-'[23]FORMATO FINANCIERO'!H74</f>
        <v>1723765031</v>
      </c>
      <c r="K17" s="200" t="s">
        <v>1020</v>
      </c>
      <c r="L17" s="209">
        <v>4700</v>
      </c>
      <c r="M17" s="196">
        <v>2614</v>
      </c>
      <c r="N17" s="194"/>
      <c r="O17" s="196">
        <v>1731</v>
      </c>
      <c r="P17" s="194">
        <v>4245</v>
      </c>
      <c r="Q17" s="194" t="s">
        <v>1025</v>
      </c>
      <c r="U17" s="9"/>
      <c r="Y17" s="9"/>
      <c r="AC17" s="9"/>
      <c r="AG17" s="9"/>
      <c r="AK17" s="9"/>
      <c r="AO17" s="9"/>
      <c r="AS17" s="9"/>
      <c r="AW17" s="9"/>
      <c r="BA17" s="9"/>
      <c r="BE17" s="9"/>
      <c r="BI17" s="9"/>
      <c r="BM17" s="9"/>
      <c r="BQ17" s="9"/>
      <c r="BU17" s="9"/>
      <c r="BY17" s="9"/>
      <c r="CC17" s="9"/>
    </row>
    <row r="18" spans="1:81" ht="93.75" customHeight="1" x14ac:dyDescent="0.25">
      <c r="A18" s="192" t="s">
        <v>156</v>
      </c>
      <c r="B18" s="192" t="s">
        <v>982</v>
      </c>
      <c r="C18" s="192" t="s">
        <v>1015</v>
      </c>
      <c r="D18" s="193">
        <v>222810000</v>
      </c>
      <c r="E18" s="194" t="s">
        <v>1016</v>
      </c>
      <c r="F18" s="192" t="s">
        <v>1026</v>
      </c>
      <c r="G18" s="192" t="s">
        <v>1027</v>
      </c>
      <c r="H18" s="208" t="s">
        <v>1028</v>
      </c>
      <c r="I18" s="196">
        <v>-52000000</v>
      </c>
      <c r="J18" s="197">
        <f>'[23]FORMATO FINANCIERO'!J88-'[23]FORMATO FINANCIERO'!H88</f>
        <v>-52000000</v>
      </c>
      <c r="K18" s="200" t="s">
        <v>1020</v>
      </c>
      <c r="L18" s="209">
        <v>4700</v>
      </c>
      <c r="M18" s="196">
        <v>1200</v>
      </c>
      <c r="N18" s="194"/>
      <c r="O18" s="196">
        <v>700</v>
      </c>
      <c r="P18" s="194">
        <v>1500</v>
      </c>
      <c r="Q18" s="194"/>
      <c r="U18" s="9"/>
      <c r="Y18" s="9"/>
      <c r="AC18" s="9"/>
      <c r="AG18" s="9"/>
      <c r="AK18" s="9"/>
      <c r="AO18" s="9"/>
      <c r="AS18" s="9"/>
      <c r="AW18" s="9"/>
      <c r="BA18" s="9"/>
      <c r="BE18" s="9"/>
      <c r="BI18" s="9"/>
      <c r="BM18" s="9"/>
      <c r="BQ18" s="9"/>
      <c r="BU18" s="9"/>
      <c r="BY18" s="9"/>
      <c r="CC18" s="9"/>
    </row>
    <row r="19" spans="1:81" ht="101.25" customHeight="1" x14ac:dyDescent="0.25">
      <c r="A19" s="192" t="s">
        <v>156</v>
      </c>
      <c r="B19" s="192" t="s">
        <v>982</v>
      </c>
      <c r="C19" s="192" t="s">
        <v>1015</v>
      </c>
      <c r="D19" s="193">
        <v>222810000</v>
      </c>
      <c r="E19" s="194" t="s">
        <v>1016</v>
      </c>
      <c r="F19" s="195" t="s">
        <v>1029</v>
      </c>
      <c r="G19" s="192" t="s">
        <v>1030</v>
      </c>
      <c r="H19" s="202" t="s">
        <v>1031</v>
      </c>
      <c r="I19" s="196">
        <v>-100000000</v>
      </c>
      <c r="J19" s="197">
        <f>'[23]FORMATO FINANCIERO'!J95-'[23]FORMATO FINANCIERO'!H95</f>
        <v>-100000000</v>
      </c>
      <c r="K19" s="200" t="s">
        <v>1020</v>
      </c>
      <c r="L19" s="209">
        <v>4700</v>
      </c>
      <c r="M19" s="194">
        <v>0</v>
      </c>
      <c r="N19" s="194"/>
      <c r="O19" s="194">
        <v>0</v>
      </c>
      <c r="P19" s="194"/>
      <c r="Q19" s="194" t="s">
        <v>1032</v>
      </c>
      <c r="U19" s="9"/>
      <c r="Y19" s="9"/>
      <c r="AC19" s="9"/>
      <c r="AG19" s="9"/>
      <c r="AK19" s="9"/>
      <c r="AO19" s="9"/>
      <c r="AS19" s="9"/>
      <c r="AW19" s="9"/>
      <c r="BA19" s="9"/>
      <c r="BE19" s="9"/>
      <c r="BI19" s="9"/>
      <c r="BM19" s="9"/>
      <c r="BQ19" s="9"/>
      <c r="BU19" s="9"/>
      <c r="BY19" s="9"/>
      <c r="CC19" s="9"/>
    </row>
    <row r="20" spans="1:81" ht="54" customHeight="1" x14ac:dyDescent="0.25">
      <c r="A20" s="192" t="s">
        <v>156</v>
      </c>
      <c r="B20" s="192" t="s">
        <v>982</v>
      </c>
      <c r="C20" s="192" t="s">
        <v>1015</v>
      </c>
      <c r="D20" s="193">
        <v>222810000</v>
      </c>
      <c r="E20" s="194" t="s">
        <v>1016</v>
      </c>
      <c r="F20" s="195" t="s">
        <v>1033</v>
      </c>
      <c r="G20" s="192" t="s">
        <v>1034</v>
      </c>
      <c r="H20" s="208" t="s">
        <v>1035</v>
      </c>
      <c r="I20" s="196">
        <v>0</v>
      </c>
      <c r="J20" s="197">
        <f>'[23]FORMATO FINANCIERO'!J96-'[23]FORMATO FINANCIERO'!H96</f>
        <v>0</v>
      </c>
      <c r="K20" s="200" t="s">
        <v>1020</v>
      </c>
      <c r="L20" s="209">
        <v>4700</v>
      </c>
      <c r="M20" s="194">
        <v>75</v>
      </c>
      <c r="N20" s="194"/>
      <c r="O20" s="194">
        <v>75</v>
      </c>
      <c r="P20" s="194">
        <v>120</v>
      </c>
      <c r="Q20" s="194" t="s">
        <v>1036</v>
      </c>
      <c r="U20" s="9"/>
      <c r="Y20" s="9"/>
      <c r="AC20" s="9"/>
      <c r="AG20" s="9"/>
      <c r="AK20" s="9"/>
      <c r="AO20" s="9"/>
      <c r="AS20" s="9"/>
      <c r="AW20" s="9"/>
      <c r="BA20" s="9"/>
      <c r="BE20" s="9"/>
      <c r="BI20" s="9"/>
      <c r="BM20" s="9"/>
      <c r="BQ20" s="9"/>
      <c r="BU20" s="9"/>
      <c r="BY20" s="9"/>
      <c r="CC20" s="9"/>
    </row>
    <row r="21" spans="1:81" ht="75" customHeight="1" x14ac:dyDescent="0.25">
      <c r="A21" s="192" t="s">
        <v>156</v>
      </c>
      <c r="B21" s="192" t="s">
        <v>982</v>
      </c>
      <c r="C21" s="192" t="s">
        <v>1015</v>
      </c>
      <c r="D21" s="193">
        <v>222810005</v>
      </c>
      <c r="E21" s="194" t="s">
        <v>1016</v>
      </c>
      <c r="F21" s="195" t="s">
        <v>1037</v>
      </c>
      <c r="G21" s="192" t="s">
        <v>1038</v>
      </c>
      <c r="H21" s="208" t="s">
        <v>1039</v>
      </c>
      <c r="I21" s="194">
        <v>0</v>
      </c>
      <c r="J21" s="197">
        <f>'[23]FORMATO FINANCIERO'!J99-'[23]FORMATO FINANCIERO'!H99</f>
        <v>0</v>
      </c>
      <c r="K21" s="201" t="s">
        <v>1020</v>
      </c>
      <c r="L21" s="209">
        <v>4700</v>
      </c>
      <c r="M21" s="194">
        <v>381</v>
      </c>
      <c r="N21" s="194"/>
      <c r="O21" s="194">
        <v>27</v>
      </c>
      <c r="P21" s="194">
        <v>227</v>
      </c>
      <c r="Q21" s="194" t="s">
        <v>1040</v>
      </c>
      <c r="U21" s="9"/>
      <c r="Y21" s="9"/>
      <c r="AC21" s="9"/>
      <c r="AG21" s="9"/>
      <c r="AK21" s="9"/>
      <c r="AO21" s="9"/>
      <c r="AS21" s="9"/>
      <c r="AW21" s="9"/>
      <c r="BA21" s="9"/>
      <c r="BE21" s="9"/>
      <c r="BI21" s="9"/>
      <c r="BM21" s="9"/>
      <c r="BQ21" s="9"/>
      <c r="BU21" s="9"/>
      <c r="BY21" s="9"/>
      <c r="CC21" s="9"/>
    </row>
    <row r="22" spans="1:81" ht="63" customHeight="1" x14ac:dyDescent="0.25">
      <c r="A22" s="192" t="s">
        <v>156</v>
      </c>
      <c r="B22" s="192" t="s">
        <v>982</v>
      </c>
      <c r="C22" s="192" t="s">
        <v>1015</v>
      </c>
      <c r="D22" s="193">
        <v>222810005</v>
      </c>
      <c r="E22" s="194" t="s">
        <v>1016</v>
      </c>
      <c r="F22" s="195" t="s">
        <v>1041</v>
      </c>
      <c r="G22" s="192" t="s">
        <v>1042</v>
      </c>
      <c r="H22" s="208" t="s">
        <v>1043</v>
      </c>
      <c r="I22" s="194">
        <v>0</v>
      </c>
      <c r="J22" s="197">
        <f>'[23]FORMATO FINANCIERO'!J102-'[23]FORMATO FINANCIERO'!H102</f>
        <v>0</v>
      </c>
      <c r="K22" s="194" t="s">
        <v>1020</v>
      </c>
      <c r="L22" s="209">
        <v>4700</v>
      </c>
      <c r="M22" s="194">
        <v>350</v>
      </c>
      <c r="N22" s="194"/>
      <c r="O22" s="194">
        <v>0</v>
      </c>
      <c r="P22" s="194">
        <v>150</v>
      </c>
      <c r="Q22" s="194" t="s">
        <v>1044</v>
      </c>
      <c r="U22" s="9"/>
      <c r="Y22" s="9"/>
      <c r="AC22" s="9"/>
      <c r="AG22" s="9"/>
      <c r="AK22" s="9"/>
      <c r="AO22" s="9"/>
      <c r="AS22" s="9"/>
      <c r="AW22" s="9"/>
      <c r="BA22" s="9"/>
      <c r="BE22" s="9"/>
      <c r="BI22" s="9"/>
      <c r="BM22" s="9"/>
      <c r="BQ22" s="9"/>
      <c r="BU22" s="9"/>
      <c r="BY22" s="9"/>
      <c r="CC22" s="9"/>
    </row>
    <row r="23" spans="1:81" ht="88.5" customHeight="1" x14ac:dyDescent="0.25">
      <c r="A23" s="192" t="s">
        <v>275</v>
      </c>
      <c r="B23" s="192" t="s">
        <v>276</v>
      </c>
      <c r="C23" s="192" t="s">
        <v>1045</v>
      </c>
      <c r="D23" s="193">
        <v>251310000</v>
      </c>
      <c r="E23" s="194" t="s">
        <v>1046</v>
      </c>
      <c r="F23" s="195" t="s">
        <v>1047</v>
      </c>
      <c r="G23" s="192" t="s">
        <v>1048</v>
      </c>
      <c r="H23" s="202" t="s">
        <v>1049</v>
      </c>
      <c r="I23" s="209">
        <v>250000000</v>
      </c>
      <c r="J23" s="197">
        <f>'[23]FORMATO FINANCIERO'!J109-'[23]FORMATO FINANCIERO'!H109</f>
        <v>250000000</v>
      </c>
      <c r="K23" s="194" t="s">
        <v>1050</v>
      </c>
      <c r="L23" s="196">
        <v>400</v>
      </c>
      <c r="M23" s="194">
        <v>400</v>
      </c>
      <c r="N23" s="194"/>
      <c r="O23" s="194">
        <v>0</v>
      </c>
      <c r="P23" s="194">
        <v>805</v>
      </c>
      <c r="Q23" s="194" t="s">
        <v>1051</v>
      </c>
      <c r="U23" s="9"/>
      <c r="Y23" s="9"/>
      <c r="AC23" s="9"/>
      <c r="AG23" s="9"/>
      <c r="AK23" s="9"/>
      <c r="AO23" s="9"/>
      <c r="AS23" s="9"/>
      <c r="AW23" s="9"/>
      <c r="BA23" s="9"/>
      <c r="BE23" s="9"/>
      <c r="BI23" s="9"/>
      <c r="BM23" s="9"/>
      <c r="BQ23" s="9"/>
      <c r="BU23" s="9"/>
      <c r="BY23" s="9"/>
      <c r="CC23" s="9"/>
    </row>
    <row r="24" spans="1:81" ht="62.25" customHeight="1" x14ac:dyDescent="0.25">
      <c r="A24" s="192" t="s">
        <v>275</v>
      </c>
      <c r="B24" s="192" t="s">
        <v>276</v>
      </c>
      <c r="C24" s="192" t="s">
        <v>1045</v>
      </c>
      <c r="D24" s="193">
        <v>251320000</v>
      </c>
      <c r="E24" s="194" t="s">
        <v>1052</v>
      </c>
      <c r="F24" s="195" t="s">
        <v>1053</v>
      </c>
      <c r="G24" s="192" t="s">
        <v>1054</v>
      </c>
      <c r="H24" s="202" t="s">
        <v>1055</v>
      </c>
      <c r="I24" s="194">
        <v>0</v>
      </c>
      <c r="J24" s="197">
        <f>'[23]FORMATO FINANCIERO'!J110-'[23]FORMATO FINANCIERO'!H110</f>
        <v>0</v>
      </c>
      <c r="K24" s="194" t="s">
        <v>1056</v>
      </c>
      <c r="L24" s="196">
        <v>25</v>
      </c>
      <c r="M24" s="194">
        <v>25</v>
      </c>
      <c r="N24" s="194"/>
      <c r="O24" s="194">
        <v>12</v>
      </c>
      <c r="P24" s="194">
        <v>10</v>
      </c>
      <c r="Q24" s="194"/>
      <c r="U24" s="9"/>
      <c r="Y24" s="9"/>
      <c r="AC24" s="9"/>
      <c r="AG24" s="9"/>
      <c r="AK24" s="9"/>
      <c r="AO24" s="9"/>
      <c r="AS24" s="9"/>
      <c r="AW24" s="9"/>
      <c r="BA24" s="9"/>
      <c r="BE24" s="9"/>
      <c r="BI24" s="9"/>
      <c r="BM24" s="9"/>
      <c r="BQ24" s="9"/>
      <c r="BU24" s="9"/>
      <c r="BY24" s="9"/>
      <c r="CC24" s="9"/>
    </row>
    <row r="25" spans="1:81" ht="63.75" customHeight="1" x14ac:dyDescent="0.25">
      <c r="A25" s="192" t="s">
        <v>275</v>
      </c>
      <c r="B25" s="192" t="s">
        <v>276</v>
      </c>
      <c r="C25" s="192" t="s">
        <v>1045</v>
      </c>
      <c r="D25" s="193">
        <v>251330000</v>
      </c>
      <c r="E25" s="194" t="s">
        <v>1057</v>
      </c>
      <c r="F25" s="195" t="s">
        <v>1058</v>
      </c>
      <c r="G25" s="192" t="s">
        <v>1059</v>
      </c>
      <c r="H25" s="202" t="s">
        <v>1060</v>
      </c>
      <c r="I25" s="194">
        <v>0</v>
      </c>
      <c r="J25" s="197">
        <f>'[23]FORMATO FINANCIERO'!J111-'[23]FORMATO FINANCIERO'!H111</f>
        <v>0</v>
      </c>
      <c r="K25" s="194" t="s">
        <v>1061</v>
      </c>
      <c r="L25" s="196">
        <v>80</v>
      </c>
      <c r="M25" s="194">
        <v>80</v>
      </c>
      <c r="N25" s="194"/>
      <c r="O25" s="194">
        <v>0</v>
      </c>
      <c r="P25" s="194">
        <v>1301</v>
      </c>
      <c r="Q25" s="194"/>
      <c r="U25" s="9"/>
      <c r="Y25" s="9"/>
      <c r="AC25" s="9"/>
      <c r="AG25" s="9"/>
      <c r="AK25" s="9"/>
      <c r="AO25" s="9"/>
      <c r="AS25" s="9"/>
      <c r="AW25" s="9"/>
      <c r="BA25" s="9"/>
      <c r="BE25" s="9"/>
      <c r="BI25" s="9"/>
      <c r="BM25" s="9"/>
      <c r="BQ25" s="9"/>
      <c r="BU25" s="9"/>
      <c r="BY25" s="9"/>
      <c r="CC25" s="9"/>
    </row>
    <row r="26" spans="1:81" ht="60.75" customHeight="1" x14ac:dyDescent="0.25">
      <c r="A26" s="192" t="s">
        <v>275</v>
      </c>
      <c r="B26" s="192" t="s">
        <v>276</v>
      </c>
      <c r="C26" s="192" t="s">
        <v>1045</v>
      </c>
      <c r="D26" s="193">
        <v>251340000</v>
      </c>
      <c r="E26" s="194" t="s">
        <v>1062</v>
      </c>
      <c r="F26" s="195" t="s">
        <v>1063</v>
      </c>
      <c r="G26" s="192" t="s">
        <v>1064</v>
      </c>
      <c r="H26" s="202" t="s">
        <v>1065</v>
      </c>
      <c r="I26" s="194">
        <v>0</v>
      </c>
      <c r="J26" s="197">
        <f>'[23]FORMATO FINANCIERO'!J112-'[23]FORMATO FINANCIERO'!H112</f>
        <v>0</v>
      </c>
      <c r="K26" s="194" t="s">
        <v>1066</v>
      </c>
      <c r="L26" s="196">
        <v>2</v>
      </c>
      <c r="M26" s="194">
        <v>2</v>
      </c>
      <c r="N26" s="194"/>
      <c r="O26" s="194">
        <v>1</v>
      </c>
      <c r="P26" s="194">
        <v>1</v>
      </c>
      <c r="Q26" s="194"/>
      <c r="U26" s="9"/>
      <c r="Y26" s="9"/>
      <c r="AC26" s="9"/>
      <c r="AG26" s="9"/>
      <c r="AK26" s="9"/>
      <c r="AO26" s="9"/>
      <c r="AS26" s="9"/>
      <c r="AW26" s="9"/>
      <c r="BA26" s="9"/>
      <c r="BE26" s="9"/>
      <c r="BI26" s="9"/>
      <c r="BM26" s="9"/>
      <c r="BQ26" s="9"/>
      <c r="BU26" s="9"/>
      <c r="BY26" s="9"/>
      <c r="CC26" s="9"/>
    </row>
    <row r="27" spans="1:81" ht="103.5" customHeight="1" x14ac:dyDescent="0.25">
      <c r="A27" s="192" t="s">
        <v>275</v>
      </c>
      <c r="B27" s="192" t="s">
        <v>276</v>
      </c>
      <c r="C27" s="192" t="s">
        <v>1045</v>
      </c>
      <c r="D27" s="193">
        <v>251350000</v>
      </c>
      <c r="E27" s="194" t="s">
        <v>1067</v>
      </c>
      <c r="F27" s="195" t="s">
        <v>1068</v>
      </c>
      <c r="G27" s="192" t="s">
        <v>1069</v>
      </c>
      <c r="H27" s="202" t="s">
        <v>1070</v>
      </c>
      <c r="I27" s="210">
        <v>250000000</v>
      </c>
      <c r="J27" s="197">
        <f>'[23]FORMATO FINANCIERO'!J113-'[23]FORMATO FINANCIERO'!H113</f>
        <v>250000000</v>
      </c>
      <c r="K27" s="194" t="s">
        <v>1071</v>
      </c>
      <c r="L27" s="196">
        <v>2</v>
      </c>
      <c r="M27" s="194">
        <v>2</v>
      </c>
      <c r="N27" s="194"/>
      <c r="O27" s="194">
        <v>0</v>
      </c>
      <c r="P27" s="194">
        <v>9</v>
      </c>
      <c r="Q27" s="194" t="s">
        <v>1072</v>
      </c>
      <c r="U27" s="9"/>
      <c r="Y27" s="9"/>
      <c r="AC27" s="9"/>
      <c r="AG27" s="9"/>
      <c r="AK27" s="9"/>
      <c r="AO27" s="9"/>
      <c r="AS27" s="9"/>
      <c r="AW27" s="9"/>
      <c r="BA27" s="9"/>
      <c r="BE27" s="9"/>
      <c r="BI27" s="9"/>
      <c r="BM27" s="9"/>
      <c r="BQ27" s="9"/>
      <c r="BU27" s="9"/>
      <c r="BY27" s="9"/>
      <c r="CC27" s="9"/>
    </row>
    <row r="28" spans="1:81" ht="144" x14ac:dyDescent="0.25">
      <c r="A28" s="192" t="s">
        <v>275</v>
      </c>
      <c r="B28" s="192" t="s">
        <v>1073</v>
      </c>
      <c r="C28" s="192" t="s">
        <v>1074</v>
      </c>
      <c r="D28" s="193">
        <v>252310000</v>
      </c>
      <c r="E28" s="194" t="s">
        <v>1075</v>
      </c>
      <c r="F28" s="195" t="s">
        <v>1076</v>
      </c>
      <c r="G28" s="192" t="s">
        <v>1077</v>
      </c>
      <c r="H28" s="208" t="s">
        <v>1078</v>
      </c>
      <c r="I28" s="210">
        <v>1072475051</v>
      </c>
      <c r="J28" s="197">
        <f>'[23]FORMATO FINANCIERO'!J114-'[23]FORMATO FINANCIERO'!H114</f>
        <v>3555475051</v>
      </c>
      <c r="K28" s="200" t="s">
        <v>1079</v>
      </c>
      <c r="L28" s="209">
        <v>1330</v>
      </c>
      <c r="M28" s="209">
        <v>1320</v>
      </c>
      <c r="N28" s="194"/>
      <c r="O28" s="194">
        <v>723</v>
      </c>
      <c r="P28" s="194">
        <v>1391</v>
      </c>
      <c r="Q28" s="205" t="s">
        <v>1080</v>
      </c>
      <c r="U28" s="9"/>
      <c r="Y28" s="9"/>
      <c r="AC28" s="9"/>
      <c r="AG28" s="9"/>
      <c r="AK28" s="9"/>
      <c r="AO28" s="9"/>
      <c r="AS28" s="9"/>
      <c r="AW28" s="9"/>
      <c r="BA28" s="9"/>
      <c r="BE28" s="9"/>
      <c r="BI28" s="9"/>
      <c r="BM28" s="9"/>
      <c r="BQ28" s="9"/>
      <c r="BU28" s="9"/>
      <c r="BY28" s="9"/>
      <c r="CC28" s="9"/>
    </row>
    <row r="29" spans="1:81" ht="93.75" customHeight="1" x14ac:dyDescent="0.25">
      <c r="A29" s="192" t="s">
        <v>275</v>
      </c>
      <c r="B29" s="192" t="s">
        <v>1073</v>
      </c>
      <c r="C29" s="192" t="s">
        <v>1074</v>
      </c>
      <c r="D29" s="193">
        <v>252310000</v>
      </c>
      <c r="E29" s="194" t="s">
        <v>1075</v>
      </c>
      <c r="F29" s="195" t="s">
        <v>1081</v>
      </c>
      <c r="G29" s="192" t="s">
        <v>1082</v>
      </c>
      <c r="H29" s="208" t="s">
        <v>1083</v>
      </c>
      <c r="I29" s="210">
        <v>-100000000</v>
      </c>
      <c r="J29" s="197">
        <f>'[23]FORMATO FINANCIERO'!J118-'[23]FORMATO FINANCIERO'!H118</f>
        <v>-100000000</v>
      </c>
      <c r="K29" s="200" t="s">
        <v>1079</v>
      </c>
      <c r="L29" s="209">
        <v>1330</v>
      </c>
      <c r="M29" s="194">
        <v>10</v>
      </c>
      <c r="N29" s="194"/>
      <c r="O29" s="194">
        <v>7</v>
      </c>
      <c r="P29" s="211">
        <v>7</v>
      </c>
      <c r="Q29" s="27"/>
      <c r="U29" s="9"/>
      <c r="Y29" s="9"/>
      <c r="AC29" s="9"/>
      <c r="AG29" s="9"/>
      <c r="AK29" s="9"/>
      <c r="AO29" s="9"/>
      <c r="AS29" s="9"/>
      <c r="AW29" s="9"/>
      <c r="BA29" s="9"/>
      <c r="BE29" s="9"/>
      <c r="BI29" s="9"/>
      <c r="BM29" s="9"/>
      <c r="BQ29" s="9"/>
      <c r="BU29" s="9"/>
      <c r="BY29" s="9"/>
      <c r="CC29" s="9"/>
    </row>
    <row r="30" spans="1:81" ht="126" customHeight="1" x14ac:dyDescent="0.25">
      <c r="A30" s="192" t="s">
        <v>275</v>
      </c>
      <c r="B30" s="192" t="s">
        <v>1073</v>
      </c>
      <c r="C30" s="192" t="s">
        <v>1074</v>
      </c>
      <c r="D30" s="193">
        <v>252320000</v>
      </c>
      <c r="E30" s="194" t="s">
        <v>1084</v>
      </c>
      <c r="F30" s="195" t="s">
        <v>1085</v>
      </c>
      <c r="G30" s="192" t="s">
        <v>1086</v>
      </c>
      <c r="H30" s="202" t="s">
        <v>1087</v>
      </c>
      <c r="I30" s="210">
        <v>-1047000000</v>
      </c>
      <c r="J30" s="197">
        <f>'[23]FORMATO FINANCIERO'!J121-'[23]FORMATO FINANCIERO'!H121</f>
        <v>-1047000000</v>
      </c>
      <c r="K30" s="194" t="s">
        <v>1088</v>
      </c>
      <c r="L30" s="196">
        <v>26</v>
      </c>
      <c r="M30" s="194">
        <v>0</v>
      </c>
      <c r="N30" s="194"/>
      <c r="O30" s="194">
        <v>0</v>
      </c>
      <c r="P30" s="211">
        <v>762</v>
      </c>
      <c r="Q30" s="205" t="s">
        <v>1089</v>
      </c>
      <c r="U30" s="9"/>
      <c r="Y30" s="9"/>
      <c r="AC30" s="9"/>
      <c r="AG30" s="9"/>
      <c r="AK30" s="9"/>
      <c r="AO30" s="9"/>
      <c r="AS30" s="9"/>
      <c r="AW30" s="9"/>
      <c r="BA30" s="9"/>
      <c r="BE30" s="9"/>
      <c r="BI30" s="9"/>
      <c r="BM30" s="9"/>
      <c r="BQ30" s="9"/>
      <c r="BU30" s="9"/>
      <c r="BY30" s="9"/>
      <c r="CC30" s="9"/>
    </row>
    <row r="31" spans="1:81" ht="160.5" customHeight="1" x14ac:dyDescent="0.25">
      <c r="A31" s="192" t="s">
        <v>275</v>
      </c>
      <c r="B31" s="192" t="s">
        <v>1073</v>
      </c>
      <c r="C31" s="192" t="s">
        <v>1090</v>
      </c>
      <c r="D31" s="193">
        <v>252410000</v>
      </c>
      <c r="E31" s="194" t="s">
        <v>1091</v>
      </c>
      <c r="F31" s="195" t="s">
        <v>1092</v>
      </c>
      <c r="G31" s="192" t="s">
        <v>1093</v>
      </c>
      <c r="H31" s="192" t="s">
        <v>1094</v>
      </c>
      <c r="I31" s="210">
        <v>465073000</v>
      </c>
      <c r="J31" s="197">
        <f>'[23]FORMATO FINANCIERO'!J123-'[23]FORMATO FINANCIERO'!H123</f>
        <v>465073000</v>
      </c>
      <c r="K31" s="194" t="s">
        <v>1095</v>
      </c>
      <c r="L31" s="196">
        <v>6</v>
      </c>
      <c r="M31" s="194">
        <v>9</v>
      </c>
      <c r="N31" s="194"/>
      <c r="O31" s="194">
        <v>0</v>
      </c>
      <c r="P31" s="211">
        <v>9</v>
      </c>
      <c r="Q31" s="205" t="s">
        <v>1096</v>
      </c>
      <c r="U31" s="9"/>
      <c r="Y31" s="9"/>
      <c r="AC31" s="9"/>
      <c r="AG31" s="9"/>
      <c r="AK31" s="9"/>
      <c r="AO31" s="9"/>
      <c r="AS31" s="9"/>
      <c r="AW31" s="9"/>
      <c r="BA31" s="9"/>
      <c r="BE31" s="9"/>
      <c r="BI31" s="9"/>
      <c r="BM31" s="9"/>
      <c r="BQ31" s="9"/>
      <c r="BU31" s="9"/>
      <c r="BY31" s="9"/>
      <c r="CC31" s="9"/>
    </row>
    <row r="32" spans="1:81" x14ac:dyDescent="0.25">
      <c r="A32" s="27"/>
      <c r="B32" s="27"/>
      <c r="C32" s="27"/>
      <c r="D32" s="27"/>
      <c r="E32" s="212"/>
      <c r="F32" s="27"/>
      <c r="G32" s="27"/>
      <c r="H32" s="27"/>
      <c r="I32" s="27"/>
      <c r="J32" s="27"/>
      <c r="K32" s="27"/>
      <c r="L32" s="27"/>
      <c r="M32" s="27"/>
      <c r="N32" s="27"/>
      <c r="O32" s="27"/>
      <c r="P32" s="27"/>
      <c r="Q32" s="27"/>
    </row>
    <row r="33" spans="1:17" x14ac:dyDescent="0.25">
      <c r="A33" s="27"/>
      <c r="B33" s="27"/>
      <c r="C33" s="27"/>
      <c r="D33" s="27"/>
      <c r="E33" s="212"/>
      <c r="F33" s="27"/>
      <c r="G33" s="27"/>
      <c r="H33" s="27"/>
      <c r="I33" s="27"/>
      <c r="J33" s="27"/>
      <c r="K33" s="27"/>
      <c r="L33" s="27"/>
      <c r="M33" s="27"/>
      <c r="N33" s="27"/>
      <c r="O33" s="27"/>
      <c r="P33" s="27"/>
      <c r="Q33" s="27"/>
    </row>
    <row r="34" spans="1:17" x14ac:dyDescent="0.25">
      <c r="A34" s="27"/>
      <c r="B34" s="27"/>
      <c r="C34" s="27"/>
      <c r="D34" s="27"/>
      <c r="E34" s="212"/>
      <c r="F34" s="27"/>
      <c r="G34" s="27"/>
      <c r="H34" s="27"/>
      <c r="I34" s="27"/>
      <c r="J34" s="27"/>
      <c r="K34" s="27"/>
      <c r="L34" s="27"/>
      <c r="M34" s="27"/>
      <c r="N34" s="27"/>
      <c r="O34" s="27"/>
      <c r="P34" s="27"/>
      <c r="Q34" s="27"/>
    </row>
    <row r="35" spans="1:17" x14ac:dyDescent="0.25">
      <c r="A35" s="27"/>
      <c r="B35" s="27"/>
      <c r="C35" s="27"/>
      <c r="D35" s="27"/>
      <c r="E35" s="212"/>
      <c r="F35" s="27"/>
      <c r="G35" s="27"/>
      <c r="H35" s="27"/>
      <c r="I35" s="27"/>
      <c r="J35" s="27"/>
      <c r="K35" s="27"/>
      <c r="L35" s="27"/>
      <c r="M35" s="27"/>
      <c r="N35" s="27"/>
      <c r="O35" s="27"/>
      <c r="P35" s="27"/>
      <c r="Q35" s="27"/>
    </row>
    <row r="36" spans="1:17" x14ac:dyDescent="0.25">
      <c r="A36" s="27"/>
      <c r="B36" s="27"/>
      <c r="C36" s="27"/>
      <c r="D36" s="27"/>
      <c r="E36" s="212"/>
      <c r="F36" s="27"/>
      <c r="G36" s="27"/>
      <c r="H36" s="27"/>
      <c r="I36" s="27"/>
      <c r="J36" s="27"/>
      <c r="K36" s="27"/>
      <c r="L36" s="27"/>
      <c r="M36" s="27"/>
      <c r="N36" s="27"/>
      <c r="O36" s="27"/>
      <c r="P36" s="27"/>
      <c r="Q36" s="27"/>
    </row>
  </sheetData>
  <sheetProtection algorithmName="SHA-512" hashValue="k2ZVyRwERO+pi6XYuUwsLBomSquhJo2ZHLl2RlxNz3em289d5bCxwEMWkd0h8VlZ62/lupeSQ4wsLSjMKb5E3A==" saltValue="0RiLEfooDw9A7EiU8v6CdA==" spinCount="100000" sheet="1" objects="1" scenarios="1" insertRows="0"/>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38" right="0.17" top="0.57999999999999996" bottom="0.23" header="0.31496062992125984" footer="0.31496062992125984"/>
  <pageSetup paperSize="14" pageOrder="overThenDown" orientation="landscape"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43"/>
  <sheetViews>
    <sheetView showZeros="0" topLeftCell="J4" zoomScaleNormal="100" workbookViewId="0">
      <pane ySplit="5" topLeftCell="A9" activePane="bottomLeft" state="frozen"/>
      <selection activeCell="A4" sqref="A4"/>
      <selection pane="bottomLeft" activeCell="Z8" sqref="Z8"/>
    </sheetView>
  </sheetViews>
  <sheetFormatPr baseColWidth="10" defaultRowHeight="15" x14ac:dyDescent="0.25"/>
  <cols>
    <col min="1" max="1" width="17.28515625" style="1" customWidth="1"/>
    <col min="2" max="2" width="13.140625" style="1" customWidth="1"/>
    <col min="3" max="3" width="18.7109375" style="1" customWidth="1"/>
    <col min="4" max="4" width="13" style="1" customWidth="1"/>
    <col min="5" max="5" width="12" style="27" customWidth="1"/>
    <col min="6" max="6" width="16.7109375" style="1" customWidth="1"/>
    <col min="7" max="7" width="24.5703125" style="1" customWidth="1"/>
    <col min="8" max="8" width="14.140625" style="1" customWidth="1"/>
    <col min="9" max="9" width="17.85546875" style="1" customWidth="1"/>
    <col min="10" max="10" width="21.42578125" style="1" customWidth="1"/>
    <col min="11" max="11" width="12.85546875" style="1" hidden="1" customWidth="1"/>
    <col min="12" max="12" width="15.85546875" style="1" hidden="1" customWidth="1"/>
    <col min="13" max="13" width="12.140625" style="1" hidden="1" customWidth="1"/>
    <col min="14" max="14" width="16.85546875" style="1" customWidth="1"/>
    <col min="15" max="15" width="16" style="1" customWidth="1"/>
    <col min="16" max="16" width="14.140625" style="1" customWidth="1"/>
    <col min="17" max="17" width="22" style="1" customWidth="1"/>
    <col min="18" max="18" width="10.5703125" style="1" customWidth="1"/>
    <col min="19" max="19" width="14.5703125" style="1" customWidth="1"/>
    <col min="20" max="20" width="21.140625" style="1" customWidth="1"/>
    <col min="21" max="21" width="13.7109375" style="1" customWidth="1"/>
    <col min="22" max="22" width="11.42578125" style="1"/>
    <col min="23" max="23" width="12.7109375" style="1" customWidth="1"/>
    <col min="24" max="24" width="13.140625" style="1" customWidth="1"/>
    <col min="25" max="25" width="11.7109375" style="1" customWidth="1"/>
    <col min="26" max="29" width="11.42578125" style="1"/>
    <col min="30" max="30" width="24.2851562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3" x14ac:dyDescent="0.25">
      <c r="A1" s="605" t="s">
        <v>0</v>
      </c>
      <c r="B1" s="605"/>
      <c r="C1" s="605"/>
      <c r="D1" s="605"/>
      <c r="E1" s="605"/>
      <c r="F1" s="605"/>
      <c r="G1" s="605"/>
      <c r="H1" s="605"/>
      <c r="I1" s="605"/>
      <c r="J1" s="605"/>
      <c r="K1" s="605"/>
      <c r="L1" s="605"/>
      <c r="M1" s="605"/>
      <c r="N1" s="605"/>
      <c r="O1" s="605"/>
      <c r="P1" s="605"/>
    </row>
    <row r="2" spans="1:43" x14ac:dyDescent="0.25">
      <c r="A2" s="605" t="s">
        <v>1</v>
      </c>
      <c r="B2" s="605"/>
      <c r="C2" s="605"/>
      <c r="D2" s="605"/>
      <c r="E2" s="605"/>
      <c r="F2" s="605"/>
      <c r="G2" s="605"/>
      <c r="H2" s="605"/>
      <c r="I2" s="605"/>
      <c r="J2" s="605"/>
      <c r="K2" s="605"/>
      <c r="L2" s="605"/>
      <c r="M2" s="605"/>
      <c r="N2" s="605"/>
      <c r="O2" s="605"/>
      <c r="P2" s="605"/>
    </row>
    <row r="3" spans="1:43" x14ac:dyDescent="0.25">
      <c r="A3" s="605" t="s">
        <v>61</v>
      </c>
      <c r="B3" s="605"/>
      <c r="C3" s="605"/>
      <c r="D3" s="605"/>
      <c r="E3" s="605"/>
      <c r="F3" s="605"/>
      <c r="G3" s="605"/>
      <c r="H3" s="605"/>
      <c r="I3" s="605"/>
      <c r="J3" s="605"/>
      <c r="K3" s="605"/>
      <c r="L3" s="605"/>
      <c r="M3" s="605"/>
      <c r="N3" s="605"/>
      <c r="O3" s="605"/>
      <c r="P3" s="605"/>
    </row>
    <row r="4" spans="1:43" x14ac:dyDescent="0.25">
      <c r="A4" s="605">
        <v>2013</v>
      </c>
      <c r="B4" s="605"/>
      <c r="C4" s="605"/>
      <c r="D4" s="605"/>
      <c r="E4" s="605"/>
      <c r="F4" s="605"/>
      <c r="G4" s="605"/>
      <c r="H4" s="605"/>
      <c r="I4" s="605"/>
      <c r="J4" s="605"/>
      <c r="K4" s="605"/>
      <c r="L4" s="605"/>
      <c r="M4" s="605"/>
      <c r="N4" s="605"/>
      <c r="O4" s="605"/>
      <c r="P4" s="605"/>
    </row>
    <row r="5" spans="1:43" x14ac:dyDescent="0.25">
      <c r="A5" s="606" t="s">
        <v>4</v>
      </c>
      <c r="B5" s="606"/>
      <c r="C5" s="24" t="s">
        <v>331</v>
      </c>
      <c r="D5" s="24"/>
      <c r="E5" s="25"/>
      <c r="F5" s="24"/>
      <c r="G5" s="24"/>
      <c r="H5" s="24"/>
      <c r="I5" s="25"/>
      <c r="J5" s="25"/>
      <c r="K5" s="24"/>
      <c r="L5" s="25"/>
      <c r="M5" s="25"/>
      <c r="N5" s="25"/>
      <c r="O5" s="25"/>
      <c r="P5" s="25"/>
      <c r="Q5" s="27"/>
      <c r="R5" s="27"/>
      <c r="S5" s="27"/>
      <c r="T5" s="27"/>
      <c r="U5" s="27"/>
      <c r="V5" s="27"/>
      <c r="W5" s="27"/>
      <c r="X5" s="27"/>
      <c r="Y5" s="27"/>
      <c r="Z5" s="27"/>
      <c r="AA5" s="27"/>
      <c r="AB5" s="27"/>
      <c r="AC5" s="27"/>
      <c r="AD5" s="27"/>
    </row>
    <row r="6" spans="1:43" x14ac:dyDescent="0.25">
      <c r="I6" s="155"/>
    </row>
    <row r="7" spans="1:43" s="29" customFormat="1" ht="14.25" x14ac:dyDescent="0.2">
      <c r="A7" s="685" t="s">
        <v>6</v>
      </c>
      <c r="B7" s="685" t="s">
        <v>7</v>
      </c>
      <c r="C7" s="685" t="s">
        <v>8</v>
      </c>
      <c r="D7" s="685" t="s">
        <v>9</v>
      </c>
      <c r="E7" s="685" t="s">
        <v>11</v>
      </c>
      <c r="F7" s="685" t="s">
        <v>12</v>
      </c>
      <c r="G7" s="685" t="s">
        <v>13</v>
      </c>
      <c r="H7" s="685" t="s">
        <v>62</v>
      </c>
      <c r="I7" s="686" t="s">
        <v>63</v>
      </c>
      <c r="J7" s="686" t="s">
        <v>64</v>
      </c>
      <c r="K7" s="685" t="s">
        <v>65</v>
      </c>
      <c r="L7" s="686" t="s">
        <v>66</v>
      </c>
      <c r="M7" s="686" t="s">
        <v>67</v>
      </c>
      <c r="N7" s="685" t="s">
        <v>68</v>
      </c>
      <c r="O7" s="686" t="s">
        <v>69</v>
      </c>
      <c r="P7" s="686" t="s">
        <v>70</v>
      </c>
      <c r="Q7" s="685" t="s">
        <v>71</v>
      </c>
      <c r="R7" s="685" t="s">
        <v>72</v>
      </c>
      <c r="S7" s="685" t="s">
        <v>73</v>
      </c>
      <c r="T7" s="610" t="s">
        <v>74</v>
      </c>
      <c r="U7" s="611"/>
      <c r="V7" s="611"/>
      <c r="W7" s="611"/>
      <c r="X7" s="611"/>
      <c r="Y7" s="611"/>
      <c r="Z7" s="611"/>
      <c r="AA7" s="611"/>
      <c r="AB7" s="611"/>
      <c r="AC7" s="611"/>
      <c r="AD7" s="687" t="s">
        <v>22</v>
      </c>
      <c r="AE7" s="689" t="s">
        <v>75</v>
      </c>
      <c r="AF7" s="690"/>
      <c r="AG7" s="690"/>
      <c r="AH7" s="690"/>
      <c r="AI7" s="690"/>
      <c r="AJ7" s="690"/>
      <c r="AK7" s="690"/>
      <c r="AL7" s="690"/>
      <c r="AM7" s="690"/>
      <c r="AN7" s="690"/>
      <c r="AO7" s="690"/>
      <c r="AP7" s="691"/>
    </row>
    <row r="8" spans="1:43" ht="65.25" customHeight="1" x14ac:dyDescent="0.25">
      <c r="A8" s="604"/>
      <c r="B8" s="604"/>
      <c r="C8" s="604"/>
      <c r="D8" s="604"/>
      <c r="E8" s="604"/>
      <c r="F8" s="604"/>
      <c r="G8" s="604"/>
      <c r="H8" s="604"/>
      <c r="I8" s="608"/>
      <c r="J8" s="608"/>
      <c r="K8" s="604"/>
      <c r="L8" s="608"/>
      <c r="M8" s="608"/>
      <c r="N8" s="604"/>
      <c r="O8" s="608"/>
      <c r="P8" s="608"/>
      <c r="Q8" s="604"/>
      <c r="R8" s="604"/>
      <c r="S8" s="609"/>
      <c r="T8" s="156" t="s">
        <v>76</v>
      </c>
      <c r="U8" s="156" t="s">
        <v>77</v>
      </c>
      <c r="V8" s="156" t="s">
        <v>78</v>
      </c>
      <c r="W8" s="157" t="s">
        <v>79</v>
      </c>
      <c r="X8" s="157" t="s">
        <v>80</v>
      </c>
      <c r="Y8" s="157" t="s">
        <v>81</v>
      </c>
      <c r="Z8" s="158" t="s">
        <v>82</v>
      </c>
      <c r="AA8" s="159" t="s">
        <v>83</v>
      </c>
      <c r="AB8" s="157" t="s">
        <v>84</v>
      </c>
      <c r="AC8" s="158" t="s">
        <v>85</v>
      </c>
      <c r="AD8" s="688"/>
      <c r="AE8" s="33" t="s">
        <v>86</v>
      </c>
      <c r="AF8" s="33" t="s">
        <v>87</v>
      </c>
      <c r="AG8" s="33" t="s">
        <v>88</v>
      </c>
      <c r="AH8" s="33" t="s">
        <v>89</v>
      </c>
      <c r="AI8" s="33" t="s">
        <v>90</v>
      </c>
      <c r="AJ8" s="33" t="s">
        <v>91</v>
      </c>
      <c r="AK8" s="33" t="s">
        <v>92</v>
      </c>
      <c r="AL8" s="33" t="s">
        <v>93</v>
      </c>
      <c r="AM8" s="33" t="s">
        <v>94</v>
      </c>
      <c r="AN8" s="33" t="s">
        <v>95</v>
      </c>
      <c r="AO8" s="33" t="s">
        <v>96</v>
      </c>
      <c r="AP8" s="33" t="s">
        <v>97</v>
      </c>
    </row>
    <row r="9" spans="1:43" ht="84" x14ac:dyDescent="0.25">
      <c r="A9" s="34" t="s">
        <v>55</v>
      </c>
      <c r="B9" s="34" t="s">
        <v>332</v>
      </c>
      <c r="C9" s="34" t="s">
        <v>333</v>
      </c>
      <c r="D9" s="34">
        <v>243510906</v>
      </c>
      <c r="E9" s="34">
        <v>12262001</v>
      </c>
      <c r="F9" s="74" t="s">
        <v>335</v>
      </c>
      <c r="G9" s="34" t="s">
        <v>336</v>
      </c>
      <c r="H9" s="36">
        <v>2771512000</v>
      </c>
      <c r="I9" s="39">
        <v>5705893551</v>
      </c>
      <c r="J9" s="36">
        <v>7299690042</v>
      </c>
      <c r="K9" s="36">
        <v>0</v>
      </c>
      <c r="L9" s="36"/>
      <c r="M9" s="36"/>
      <c r="N9" s="36">
        <f>H9+K9</f>
        <v>2771512000</v>
      </c>
      <c r="O9" s="36">
        <f t="shared" ref="O9:P105" si="0">I9+L9</f>
        <v>5705893551</v>
      </c>
      <c r="P9" s="36">
        <f>J9+M9</f>
        <v>7299690042</v>
      </c>
      <c r="Q9" s="36">
        <v>5143120951</v>
      </c>
      <c r="R9" s="36"/>
      <c r="S9" s="36">
        <f>Q9+R9</f>
        <v>5143120951</v>
      </c>
      <c r="T9" s="37" t="s">
        <v>551</v>
      </c>
      <c r="U9" s="37" t="s">
        <v>552</v>
      </c>
      <c r="V9" s="160">
        <v>125</v>
      </c>
      <c r="W9" s="34"/>
      <c r="X9" s="34"/>
      <c r="Y9" s="34">
        <v>125</v>
      </c>
      <c r="Z9" s="34">
        <v>121</v>
      </c>
      <c r="AA9" s="34">
        <v>150</v>
      </c>
      <c r="AB9" s="34">
        <v>75</v>
      </c>
      <c r="AC9" s="34">
        <v>182</v>
      </c>
      <c r="AD9" s="10"/>
      <c r="AE9" s="10">
        <v>0</v>
      </c>
      <c r="AF9" s="10">
        <v>0</v>
      </c>
      <c r="AG9" s="10" t="s">
        <v>218</v>
      </c>
      <c r="AH9" s="10" t="s">
        <v>218</v>
      </c>
      <c r="AI9" s="10" t="s">
        <v>218</v>
      </c>
      <c r="AJ9" s="10" t="s">
        <v>218</v>
      </c>
      <c r="AK9" s="10" t="s">
        <v>218</v>
      </c>
      <c r="AL9" s="10">
        <v>0</v>
      </c>
      <c r="AM9" s="10">
        <v>0</v>
      </c>
      <c r="AN9" s="10">
        <v>0</v>
      </c>
      <c r="AO9" s="10">
        <v>0</v>
      </c>
      <c r="AP9" s="10">
        <v>0</v>
      </c>
      <c r="AQ9" s="27"/>
    </row>
    <row r="10" spans="1:43" ht="168" x14ac:dyDescent="0.25">
      <c r="A10" s="34"/>
      <c r="B10" s="34"/>
      <c r="C10" s="34"/>
      <c r="D10" s="34"/>
      <c r="E10" s="34"/>
      <c r="F10" s="74"/>
      <c r="G10" s="34"/>
      <c r="H10" s="36"/>
      <c r="I10" s="39"/>
      <c r="J10" s="36"/>
      <c r="K10" s="36"/>
      <c r="L10" s="36"/>
      <c r="M10" s="36"/>
      <c r="N10" s="36"/>
      <c r="O10" s="36"/>
      <c r="P10" s="36"/>
      <c r="Q10" s="36"/>
      <c r="R10" s="36"/>
      <c r="S10" s="36"/>
      <c r="T10" s="37" t="s">
        <v>553</v>
      </c>
      <c r="U10" s="37" t="s">
        <v>266</v>
      </c>
      <c r="V10" s="160">
        <v>9</v>
      </c>
      <c r="W10" s="34"/>
      <c r="X10" s="34"/>
      <c r="Y10" s="34">
        <v>5</v>
      </c>
      <c r="Z10" s="34">
        <v>9</v>
      </c>
      <c r="AA10" s="34">
        <v>150</v>
      </c>
      <c r="AB10" s="34">
        <v>75</v>
      </c>
      <c r="AC10" s="34">
        <v>182</v>
      </c>
      <c r="AD10" s="10"/>
      <c r="AE10" s="10"/>
      <c r="AF10" s="10"/>
      <c r="AG10" s="10" t="s">
        <v>218</v>
      </c>
      <c r="AH10" s="10" t="s">
        <v>218</v>
      </c>
      <c r="AI10" s="10" t="s">
        <v>218</v>
      </c>
      <c r="AJ10" s="10" t="s">
        <v>218</v>
      </c>
      <c r="AK10" s="10" t="s">
        <v>218</v>
      </c>
      <c r="AL10" s="10"/>
      <c r="AM10" s="10"/>
      <c r="AN10" s="10"/>
      <c r="AO10" s="10"/>
      <c r="AP10" s="10"/>
      <c r="AQ10" s="27"/>
    </row>
    <row r="11" spans="1:43" ht="24" x14ac:dyDescent="0.25">
      <c r="A11" s="34"/>
      <c r="B11" s="34"/>
      <c r="C11" s="34"/>
      <c r="D11" s="34"/>
      <c r="E11" s="34"/>
      <c r="F11" s="74"/>
      <c r="G11" s="34"/>
      <c r="H11" s="36"/>
      <c r="I11" s="39"/>
      <c r="J11" s="36"/>
      <c r="K11" s="36"/>
      <c r="L11" s="36"/>
      <c r="M11" s="36"/>
      <c r="N11" s="36"/>
      <c r="O11" s="36"/>
      <c r="P11" s="36"/>
      <c r="Q11" s="36"/>
      <c r="R11" s="36"/>
      <c r="S11" s="36"/>
      <c r="T11" s="37" t="s">
        <v>554</v>
      </c>
      <c r="U11" s="37" t="s">
        <v>316</v>
      </c>
      <c r="V11" s="160">
        <v>1</v>
      </c>
      <c r="W11" s="34"/>
      <c r="X11" s="34"/>
      <c r="Y11" s="34">
        <v>1</v>
      </c>
      <c r="Z11" s="34"/>
      <c r="AA11" s="34">
        <v>150</v>
      </c>
      <c r="AB11" s="34">
        <v>75</v>
      </c>
      <c r="AC11" s="34">
        <v>182</v>
      </c>
      <c r="AD11" s="10"/>
      <c r="AE11" s="10"/>
      <c r="AF11" s="10"/>
      <c r="AG11" s="10" t="s">
        <v>218</v>
      </c>
      <c r="AH11" s="10" t="s">
        <v>218</v>
      </c>
      <c r="AI11" s="10" t="s">
        <v>218</v>
      </c>
      <c r="AJ11" s="10" t="s">
        <v>218</v>
      </c>
      <c r="AK11" s="10" t="s">
        <v>218</v>
      </c>
      <c r="AL11" s="10"/>
      <c r="AM11" s="10"/>
      <c r="AN11" s="10"/>
      <c r="AO11" s="10"/>
      <c r="AP11" s="10"/>
      <c r="AQ11" s="27"/>
    </row>
    <row r="12" spans="1:43" ht="60" x14ac:dyDescent="0.25">
      <c r="A12" s="34">
        <v>0</v>
      </c>
      <c r="B12" s="34">
        <v>0</v>
      </c>
      <c r="C12" s="34">
        <v>0</v>
      </c>
      <c r="D12" s="34">
        <v>0</v>
      </c>
      <c r="E12" s="34">
        <v>0</v>
      </c>
      <c r="F12" s="74">
        <v>0</v>
      </c>
      <c r="G12" s="34">
        <v>0</v>
      </c>
      <c r="H12" s="36">
        <v>0</v>
      </c>
      <c r="I12" s="39"/>
      <c r="J12" s="39"/>
      <c r="K12" s="39"/>
      <c r="L12" s="39"/>
      <c r="M12" s="39"/>
      <c r="N12" s="36">
        <f t="shared" ref="N12:N105" si="1">H12+K12</f>
        <v>0</v>
      </c>
      <c r="O12" s="36">
        <f t="shared" si="0"/>
        <v>0</v>
      </c>
      <c r="P12" s="36">
        <f t="shared" si="0"/>
        <v>0</v>
      </c>
      <c r="Q12" s="36"/>
      <c r="R12" s="36"/>
      <c r="S12" s="36">
        <f t="shared" ref="S12:S105" si="2">Q12+R12</f>
        <v>0</v>
      </c>
      <c r="T12" s="37" t="s">
        <v>555</v>
      </c>
      <c r="U12" s="37" t="s">
        <v>556</v>
      </c>
      <c r="V12" s="37">
        <v>1440</v>
      </c>
      <c r="W12" s="10"/>
      <c r="X12" s="10"/>
      <c r="Y12" s="10"/>
      <c r="Z12" s="10"/>
      <c r="AA12" s="34"/>
      <c r="AB12" s="10"/>
      <c r="AC12" s="10"/>
      <c r="AD12" s="10" t="s">
        <v>557</v>
      </c>
      <c r="AE12" s="10">
        <v>0</v>
      </c>
      <c r="AF12" s="10"/>
      <c r="AG12" s="10"/>
      <c r="AH12" s="10"/>
      <c r="AI12" s="10"/>
      <c r="AJ12" s="10"/>
      <c r="AK12" s="10"/>
      <c r="AL12" s="10"/>
      <c r="AM12" s="10"/>
      <c r="AN12" s="10"/>
      <c r="AO12" s="10"/>
      <c r="AP12" s="10">
        <v>0</v>
      </c>
      <c r="AQ12" s="27"/>
    </row>
    <row r="13" spans="1:43" ht="60" x14ac:dyDescent="0.25">
      <c r="A13" s="34">
        <v>0</v>
      </c>
      <c r="B13" s="34">
        <v>0</v>
      </c>
      <c r="C13" s="34">
        <v>0</v>
      </c>
      <c r="D13" s="34">
        <v>0</v>
      </c>
      <c r="E13" s="34">
        <v>0</v>
      </c>
      <c r="F13" s="74">
        <v>0</v>
      </c>
      <c r="G13" s="34">
        <v>0</v>
      </c>
      <c r="H13" s="36">
        <v>0</v>
      </c>
      <c r="I13" s="39"/>
      <c r="J13" s="39"/>
      <c r="K13" s="39"/>
      <c r="L13" s="39"/>
      <c r="M13" s="39"/>
      <c r="N13" s="36">
        <f t="shared" si="1"/>
        <v>0</v>
      </c>
      <c r="O13" s="36">
        <f t="shared" si="0"/>
        <v>0</v>
      </c>
      <c r="P13" s="36">
        <f t="shared" si="0"/>
        <v>0</v>
      </c>
      <c r="Q13" s="36"/>
      <c r="R13" s="36"/>
      <c r="S13" s="36">
        <f t="shared" si="2"/>
        <v>0</v>
      </c>
      <c r="T13" s="37" t="s">
        <v>558</v>
      </c>
      <c r="U13" s="37" t="s">
        <v>556</v>
      </c>
      <c r="V13" s="37">
        <v>1240</v>
      </c>
      <c r="W13" s="10"/>
      <c r="X13" s="10"/>
      <c r="Y13" s="10"/>
      <c r="Z13" s="10"/>
      <c r="AA13" s="34"/>
      <c r="AB13" s="10"/>
      <c r="AC13" s="10"/>
      <c r="AD13" s="10" t="s">
        <v>557</v>
      </c>
      <c r="AE13" s="10">
        <v>0</v>
      </c>
      <c r="AF13" s="10"/>
      <c r="AG13" s="10"/>
      <c r="AH13" s="10"/>
      <c r="AI13" s="10"/>
      <c r="AJ13" s="10"/>
      <c r="AK13" s="10"/>
      <c r="AL13" s="10"/>
      <c r="AM13" s="10"/>
      <c r="AN13" s="10"/>
      <c r="AO13" s="10"/>
      <c r="AP13" s="10">
        <v>0</v>
      </c>
      <c r="AQ13" s="27"/>
    </row>
    <row r="14" spans="1:43" ht="69" customHeight="1" x14ac:dyDescent="0.25">
      <c r="A14" s="34">
        <v>0</v>
      </c>
      <c r="B14" s="34">
        <v>0</v>
      </c>
      <c r="C14" s="34">
        <v>0</v>
      </c>
      <c r="D14" s="34">
        <v>0</v>
      </c>
      <c r="E14" s="34">
        <v>0</v>
      </c>
      <c r="F14" s="74">
        <v>0</v>
      </c>
      <c r="G14" s="34">
        <v>0</v>
      </c>
      <c r="H14" s="36">
        <v>0</v>
      </c>
      <c r="I14" s="39"/>
      <c r="J14" s="39"/>
      <c r="K14" s="39"/>
      <c r="L14" s="39"/>
      <c r="M14" s="39"/>
      <c r="N14" s="36">
        <f t="shared" si="1"/>
        <v>0</v>
      </c>
      <c r="O14" s="36">
        <f t="shared" si="0"/>
        <v>0</v>
      </c>
      <c r="P14" s="36">
        <f t="shared" si="0"/>
        <v>0</v>
      </c>
      <c r="Q14" s="36"/>
      <c r="R14" s="36"/>
      <c r="S14" s="36">
        <f t="shared" si="2"/>
        <v>0</v>
      </c>
      <c r="T14" s="37" t="s">
        <v>559</v>
      </c>
      <c r="U14" s="37" t="s">
        <v>556</v>
      </c>
      <c r="V14" s="37">
        <v>125</v>
      </c>
      <c r="W14" s="10"/>
      <c r="X14" s="10"/>
      <c r="Y14" s="10"/>
      <c r="Z14" s="10">
        <v>115</v>
      </c>
      <c r="AA14" s="34"/>
      <c r="AB14" s="10"/>
      <c r="AC14" s="10"/>
      <c r="AD14" s="10" t="s">
        <v>560</v>
      </c>
      <c r="AE14" s="10">
        <v>0</v>
      </c>
      <c r="AF14" s="10"/>
      <c r="AG14" s="10"/>
      <c r="AH14" s="10"/>
      <c r="AI14" s="10"/>
      <c r="AJ14" s="10"/>
      <c r="AK14" s="10"/>
      <c r="AL14" s="10"/>
      <c r="AM14" s="10"/>
      <c r="AN14" s="10"/>
      <c r="AO14" s="10"/>
      <c r="AP14" s="10"/>
      <c r="AQ14" s="27"/>
    </row>
    <row r="15" spans="1:43" ht="168" x14ac:dyDescent="0.25">
      <c r="A15" s="34">
        <v>0</v>
      </c>
      <c r="B15" s="34">
        <v>0</v>
      </c>
      <c r="C15" s="34">
        <v>0</v>
      </c>
      <c r="D15" s="34">
        <v>0</v>
      </c>
      <c r="E15" s="34">
        <v>0</v>
      </c>
      <c r="F15" s="74">
        <v>0</v>
      </c>
      <c r="G15" s="34">
        <v>0</v>
      </c>
      <c r="H15" s="36">
        <v>0</v>
      </c>
      <c r="I15" s="39"/>
      <c r="J15" s="39"/>
      <c r="K15" s="39"/>
      <c r="L15" s="39"/>
      <c r="M15" s="39"/>
      <c r="N15" s="36">
        <f t="shared" si="1"/>
        <v>0</v>
      </c>
      <c r="O15" s="36">
        <f t="shared" si="0"/>
        <v>0</v>
      </c>
      <c r="P15" s="36">
        <f t="shared" si="0"/>
        <v>0</v>
      </c>
      <c r="Q15" s="36"/>
      <c r="R15" s="36"/>
      <c r="S15" s="36">
        <f t="shared" si="2"/>
        <v>0</v>
      </c>
      <c r="T15" s="37" t="s">
        <v>561</v>
      </c>
      <c r="U15" s="37" t="s">
        <v>556</v>
      </c>
      <c r="V15" s="37">
        <v>123</v>
      </c>
      <c r="W15" s="10"/>
      <c r="X15" s="10"/>
      <c r="Y15" s="10"/>
      <c r="Z15" s="10">
        <v>365</v>
      </c>
      <c r="AA15" s="34"/>
      <c r="AB15" s="10"/>
      <c r="AC15" s="10"/>
      <c r="AD15" s="10" t="s">
        <v>560</v>
      </c>
      <c r="AE15" s="10">
        <v>0</v>
      </c>
      <c r="AF15" s="10"/>
      <c r="AG15" s="10"/>
      <c r="AH15" s="10"/>
      <c r="AI15" s="10"/>
      <c r="AJ15" s="10"/>
      <c r="AK15" s="10"/>
      <c r="AL15" s="10"/>
      <c r="AM15" s="10"/>
      <c r="AN15" s="10"/>
      <c r="AO15" s="10"/>
      <c r="AP15" s="10"/>
      <c r="AQ15" s="27"/>
    </row>
    <row r="16" spans="1:43" ht="60" x14ac:dyDescent="0.25">
      <c r="A16" s="34" t="s">
        <v>55</v>
      </c>
      <c r="B16" s="34" t="s">
        <v>332</v>
      </c>
      <c r="C16" s="34" t="s">
        <v>333</v>
      </c>
      <c r="D16" s="34">
        <v>243510906</v>
      </c>
      <c r="E16" s="34">
        <v>12262002</v>
      </c>
      <c r="F16" s="74" t="s">
        <v>335</v>
      </c>
      <c r="G16" s="34" t="s">
        <v>336</v>
      </c>
      <c r="H16" s="36"/>
      <c r="I16" s="161">
        <v>51860000</v>
      </c>
      <c r="J16" s="39">
        <v>51860000</v>
      </c>
      <c r="K16" s="39"/>
      <c r="L16" s="39"/>
      <c r="M16" s="39"/>
      <c r="N16" s="36"/>
      <c r="O16" s="36"/>
      <c r="P16" s="36">
        <v>51860000</v>
      </c>
      <c r="Q16" s="39">
        <v>35077733</v>
      </c>
      <c r="R16" s="36"/>
      <c r="S16" s="36"/>
      <c r="T16" s="10"/>
      <c r="U16" s="37"/>
      <c r="V16" s="37"/>
      <c r="W16" s="10"/>
      <c r="X16" s="10"/>
      <c r="Y16" s="10"/>
      <c r="Z16" s="10"/>
      <c r="AA16" s="34"/>
      <c r="AB16" s="10"/>
      <c r="AC16" s="10"/>
      <c r="AD16" s="10"/>
      <c r="AE16" s="10"/>
      <c r="AF16" s="10"/>
      <c r="AG16" s="10"/>
      <c r="AH16" s="10"/>
      <c r="AI16" s="10"/>
      <c r="AJ16" s="10"/>
      <c r="AK16" s="10"/>
      <c r="AL16" s="10"/>
      <c r="AM16" s="10"/>
      <c r="AN16" s="10"/>
      <c r="AO16" s="10"/>
      <c r="AP16" s="10"/>
      <c r="AQ16" s="27"/>
    </row>
    <row r="17" spans="1:43" ht="72" x14ac:dyDescent="0.25">
      <c r="A17" s="34" t="s">
        <v>55</v>
      </c>
      <c r="B17" s="34" t="s">
        <v>332</v>
      </c>
      <c r="C17" s="34" t="s">
        <v>333</v>
      </c>
      <c r="D17" s="34">
        <v>243510906</v>
      </c>
      <c r="E17" s="34">
        <v>12262090</v>
      </c>
      <c r="F17" s="74" t="s">
        <v>335</v>
      </c>
      <c r="G17" s="34" t="s">
        <v>341</v>
      </c>
      <c r="H17" s="36">
        <v>495752000</v>
      </c>
      <c r="I17" s="161">
        <v>712902000</v>
      </c>
      <c r="J17" s="39">
        <v>721595000</v>
      </c>
      <c r="K17" s="39"/>
      <c r="L17" s="39"/>
      <c r="M17" s="39"/>
      <c r="N17" s="36">
        <f t="shared" si="1"/>
        <v>495752000</v>
      </c>
      <c r="O17" s="36">
        <f t="shared" si="0"/>
        <v>712902000</v>
      </c>
      <c r="P17" s="36">
        <f t="shared" si="0"/>
        <v>721595000</v>
      </c>
      <c r="Q17" s="36">
        <v>463055883</v>
      </c>
      <c r="R17" s="36"/>
      <c r="S17" s="36">
        <f t="shared" si="2"/>
        <v>463055883</v>
      </c>
      <c r="T17" s="37" t="s">
        <v>562</v>
      </c>
      <c r="U17" s="10" t="s">
        <v>225</v>
      </c>
      <c r="V17" s="10">
        <v>9</v>
      </c>
      <c r="W17" s="10"/>
      <c r="X17" s="10"/>
      <c r="Y17" s="10">
        <v>9</v>
      </c>
      <c r="Z17" s="10">
        <v>9</v>
      </c>
      <c r="AA17" s="34">
        <v>365</v>
      </c>
      <c r="AB17" s="10">
        <v>180</v>
      </c>
      <c r="AC17" s="10">
        <v>182</v>
      </c>
      <c r="AD17" s="10"/>
      <c r="AE17" s="10" t="s">
        <v>218</v>
      </c>
      <c r="AF17" s="10" t="s">
        <v>218</v>
      </c>
      <c r="AG17" s="10" t="s">
        <v>218</v>
      </c>
      <c r="AH17" s="10" t="s">
        <v>218</v>
      </c>
      <c r="AI17" s="10" t="s">
        <v>218</v>
      </c>
      <c r="AJ17" s="10" t="s">
        <v>218</v>
      </c>
      <c r="AK17" s="10" t="s">
        <v>218</v>
      </c>
      <c r="AL17" s="10" t="s">
        <v>218</v>
      </c>
      <c r="AM17" s="10" t="s">
        <v>218</v>
      </c>
      <c r="AN17" s="10" t="s">
        <v>218</v>
      </c>
      <c r="AO17" s="10" t="s">
        <v>218</v>
      </c>
      <c r="AP17" s="10" t="s">
        <v>218</v>
      </c>
      <c r="AQ17" s="27"/>
    </row>
    <row r="18" spans="1:43" ht="60" x14ac:dyDescent="0.25">
      <c r="A18" s="34" t="s">
        <v>55</v>
      </c>
      <c r="B18" s="34" t="s">
        <v>343</v>
      </c>
      <c r="C18" s="34" t="s">
        <v>344</v>
      </c>
      <c r="D18" s="34">
        <v>245410601</v>
      </c>
      <c r="E18" s="34">
        <v>18677090</v>
      </c>
      <c r="F18" s="74" t="s">
        <v>346</v>
      </c>
      <c r="G18" s="34" t="s">
        <v>347</v>
      </c>
      <c r="H18" s="36">
        <v>495930000</v>
      </c>
      <c r="I18" s="39">
        <v>495930000</v>
      </c>
      <c r="J18" s="39">
        <v>495930000</v>
      </c>
      <c r="K18" s="39"/>
      <c r="L18" s="39"/>
      <c r="M18" s="39"/>
      <c r="N18" s="36">
        <f t="shared" si="1"/>
        <v>495930000</v>
      </c>
      <c r="O18" s="36">
        <f>I18+L18</f>
        <v>495930000</v>
      </c>
      <c r="P18" s="36">
        <f t="shared" si="0"/>
        <v>495930000</v>
      </c>
      <c r="Q18" s="144">
        <v>325255106</v>
      </c>
      <c r="R18" s="36"/>
      <c r="S18" s="36">
        <f t="shared" si="2"/>
        <v>325255106</v>
      </c>
      <c r="T18" s="37" t="s">
        <v>563</v>
      </c>
      <c r="U18" s="10">
        <v>5</v>
      </c>
      <c r="V18" s="10">
        <v>0</v>
      </c>
      <c r="W18" s="10"/>
      <c r="X18" s="10"/>
      <c r="Y18" s="10">
        <v>5</v>
      </c>
      <c r="Z18" s="10">
        <v>5</v>
      </c>
      <c r="AA18" s="34">
        <v>365</v>
      </c>
      <c r="AB18" s="10">
        <v>182</v>
      </c>
      <c r="AC18" s="10">
        <v>365</v>
      </c>
      <c r="AD18" s="10"/>
      <c r="AE18" s="10" t="s">
        <v>218</v>
      </c>
      <c r="AF18" s="10" t="s">
        <v>218</v>
      </c>
      <c r="AG18" s="10" t="s">
        <v>218</v>
      </c>
      <c r="AH18" s="10" t="s">
        <v>218</v>
      </c>
      <c r="AI18" s="10" t="s">
        <v>218</v>
      </c>
      <c r="AJ18" s="10" t="s">
        <v>218</v>
      </c>
      <c r="AK18" s="10" t="s">
        <v>218</v>
      </c>
      <c r="AL18" s="10" t="s">
        <v>218</v>
      </c>
      <c r="AM18" s="10" t="s">
        <v>218</v>
      </c>
      <c r="AN18" s="10" t="s">
        <v>218</v>
      </c>
      <c r="AO18" s="10" t="s">
        <v>218</v>
      </c>
      <c r="AP18" s="10" t="s">
        <v>218</v>
      </c>
      <c r="AQ18" s="27"/>
    </row>
    <row r="19" spans="1:43" ht="72" x14ac:dyDescent="0.25">
      <c r="A19" s="34" t="s">
        <v>55</v>
      </c>
      <c r="B19" s="34" t="s">
        <v>343</v>
      </c>
      <c r="C19" s="34" t="s">
        <v>344</v>
      </c>
      <c r="D19" s="34">
        <v>245410901</v>
      </c>
      <c r="E19" s="34">
        <v>18677001</v>
      </c>
      <c r="F19" s="74" t="s">
        <v>346</v>
      </c>
      <c r="G19" s="34" t="s">
        <v>352</v>
      </c>
      <c r="H19" s="36">
        <v>433000000</v>
      </c>
      <c r="I19" s="39">
        <v>433000000</v>
      </c>
      <c r="J19" s="39">
        <v>433000000</v>
      </c>
      <c r="K19" s="39"/>
      <c r="L19" s="39"/>
      <c r="M19" s="39"/>
      <c r="N19" s="36">
        <f t="shared" si="1"/>
        <v>433000000</v>
      </c>
      <c r="O19" s="36">
        <f t="shared" si="0"/>
        <v>433000000</v>
      </c>
      <c r="P19" s="36">
        <f t="shared" si="0"/>
        <v>433000000</v>
      </c>
      <c r="Q19" s="144">
        <v>312586309</v>
      </c>
      <c r="R19" s="36"/>
      <c r="S19" s="36">
        <f t="shared" si="2"/>
        <v>312586309</v>
      </c>
      <c r="T19" s="37" t="s">
        <v>564</v>
      </c>
      <c r="U19" s="37" t="s">
        <v>225</v>
      </c>
      <c r="V19" s="160">
        <v>8</v>
      </c>
      <c r="W19" s="10"/>
      <c r="X19" s="10"/>
      <c r="Y19" s="10">
        <v>0</v>
      </c>
      <c r="Z19" s="10"/>
      <c r="AA19" s="34">
        <v>335</v>
      </c>
      <c r="AB19" s="10">
        <v>167</v>
      </c>
      <c r="AC19" s="10">
        <v>182</v>
      </c>
      <c r="AD19" s="10"/>
      <c r="AE19" s="10">
        <v>0</v>
      </c>
      <c r="AF19" s="10" t="s">
        <v>218</v>
      </c>
      <c r="AG19" s="10" t="s">
        <v>218</v>
      </c>
      <c r="AH19" s="10" t="s">
        <v>218</v>
      </c>
      <c r="AI19" s="10" t="s">
        <v>218</v>
      </c>
      <c r="AJ19" s="10" t="s">
        <v>218</v>
      </c>
      <c r="AK19" s="10" t="s">
        <v>218</v>
      </c>
      <c r="AL19" s="10" t="s">
        <v>218</v>
      </c>
      <c r="AM19" s="10" t="s">
        <v>218</v>
      </c>
      <c r="AN19" s="10" t="s">
        <v>218</v>
      </c>
      <c r="AO19" s="10" t="s">
        <v>218</v>
      </c>
      <c r="AP19" s="10" t="s">
        <v>218</v>
      </c>
      <c r="AQ19" s="27"/>
    </row>
    <row r="20" spans="1:43" ht="60" x14ac:dyDescent="0.25">
      <c r="A20" s="34" t="s">
        <v>55</v>
      </c>
      <c r="B20" s="34" t="s">
        <v>343</v>
      </c>
      <c r="C20" s="34" t="s">
        <v>344</v>
      </c>
      <c r="D20" s="34">
        <v>245410901</v>
      </c>
      <c r="E20" s="34">
        <v>18677002</v>
      </c>
      <c r="F20" s="74" t="s">
        <v>346</v>
      </c>
      <c r="G20" s="34" t="s">
        <v>353</v>
      </c>
      <c r="H20" s="36">
        <v>87000000</v>
      </c>
      <c r="I20" s="39">
        <v>964610154</v>
      </c>
      <c r="J20" s="39">
        <v>1099226154</v>
      </c>
      <c r="K20" s="39"/>
      <c r="L20" s="39"/>
      <c r="M20" s="39"/>
      <c r="N20" s="36">
        <f t="shared" si="1"/>
        <v>87000000</v>
      </c>
      <c r="O20" s="36">
        <f>I20+L20</f>
        <v>964610154</v>
      </c>
      <c r="P20" s="36">
        <f t="shared" si="0"/>
        <v>1099226154</v>
      </c>
      <c r="Q20" s="144">
        <v>820529137</v>
      </c>
      <c r="R20" s="36"/>
      <c r="S20" s="36">
        <f t="shared" si="2"/>
        <v>820529137</v>
      </c>
      <c r="T20" s="37" t="s">
        <v>565</v>
      </c>
      <c r="U20" s="37" t="s">
        <v>225</v>
      </c>
      <c r="V20" s="160">
        <v>17</v>
      </c>
      <c r="W20" s="10">
        <v>88</v>
      </c>
      <c r="X20" s="10"/>
      <c r="Y20" s="10">
        <v>103</v>
      </c>
      <c r="Z20" s="10">
        <v>115</v>
      </c>
      <c r="AA20" s="34">
        <v>275</v>
      </c>
      <c r="AB20" s="10">
        <v>137</v>
      </c>
      <c r="AC20" s="10">
        <v>264</v>
      </c>
      <c r="AD20" s="10"/>
      <c r="AE20" s="10">
        <v>0</v>
      </c>
      <c r="AF20" s="10">
        <v>0</v>
      </c>
      <c r="AG20" s="10">
        <v>0</v>
      </c>
      <c r="AH20" s="10" t="s">
        <v>218</v>
      </c>
      <c r="AI20" s="10" t="s">
        <v>218</v>
      </c>
      <c r="AJ20" s="10" t="s">
        <v>218</v>
      </c>
      <c r="AK20" s="10" t="s">
        <v>218</v>
      </c>
      <c r="AL20" s="10" t="s">
        <v>218</v>
      </c>
      <c r="AM20" s="10" t="s">
        <v>218</v>
      </c>
      <c r="AN20" s="10" t="s">
        <v>218</v>
      </c>
      <c r="AO20" s="10" t="s">
        <v>218</v>
      </c>
      <c r="AP20" s="10" t="s">
        <v>218</v>
      </c>
      <c r="AQ20" s="27"/>
    </row>
    <row r="21" spans="1:43" ht="60" x14ac:dyDescent="0.25">
      <c r="A21" s="34" t="s">
        <v>55</v>
      </c>
      <c r="B21" s="34" t="s">
        <v>343</v>
      </c>
      <c r="C21" s="34" t="s">
        <v>344</v>
      </c>
      <c r="D21" s="34">
        <v>245410901</v>
      </c>
      <c r="E21" s="34">
        <v>18677003</v>
      </c>
      <c r="F21" s="74" t="s">
        <v>346</v>
      </c>
      <c r="G21" s="34" t="s">
        <v>353</v>
      </c>
      <c r="H21" s="36">
        <v>0</v>
      </c>
      <c r="I21" s="39">
        <v>53462000</v>
      </c>
      <c r="J21" s="39">
        <v>53462000</v>
      </c>
      <c r="K21" s="39"/>
      <c r="L21" s="39"/>
      <c r="M21" s="39"/>
      <c r="N21" s="36">
        <f t="shared" si="1"/>
        <v>0</v>
      </c>
      <c r="O21" s="36">
        <f t="shared" si="0"/>
        <v>53462000</v>
      </c>
      <c r="P21" s="36">
        <f t="shared" si="0"/>
        <v>53462000</v>
      </c>
      <c r="Q21" s="144">
        <v>0</v>
      </c>
      <c r="R21" s="36"/>
      <c r="S21" s="36">
        <f t="shared" si="2"/>
        <v>0</v>
      </c>
      <c r="T21" s="37" t="s">
        <v>566</v>
      </c>
      <c r="U21" s="37" t="s">
        <v>225</v>
      </c>
      <c r="V21" s="160">
        <v>25</v>
      </c>
      <c r="W21" s="10">
        <v>56</v>
      </c>
      <c r="X21" s="10"/>
      <c r="Y21" s="10">
        <v>0</v>
      </c>
      <c r="Z21" s="10">
        <v>35</v>
      </c>
      <c r="AA21" s="34">
        <v>335</v>
      </c>
      <c r="AB21" s="10">
        <v>167</v>
      </c>
      <c r="AC21" s="10">
        <v>274</v>
      </c>
      <c r="AD21" s="10"/>
      <c r="AE21" s="10">
        <v>0</v>
      </c>
      <c r="AF21" s="10" t="s">
        <v>218</v>
      </c>
      <c r="AG21" s="10" t="s">
        <v>218</v>
      </c>
      <c r="AH21" s="10" t="s">
        <v>218</v>
      </c>
      <c r="AI21" s="10" t="s">
        <v>218</v>
      </c>
      <c r="AJ21" s="10" t="s">
        <v>218</v>
      </c>
      <c r="AK21" s="10" t="s">
        <v>218</v>
      </c>
      <c r="AL21" s="10" t="s">
        <v>218</v>
      </c>
      <c r="AM21" s="10" t="s">
        <v>218</v>
      </c>
      <c r="AN21" s="10" t="s">
        <v>218</v>
      </c>
      <c r="AO21" s="10" t="s">
        <v>218</v>
      </c>
      <c r="AP21" s="10" t="s">
        <v>218</v>
      </c>
      <c r="AQ21" s="27"/>
    </row>
    <row r="22" spans="1:43" ht="72" x14ac:dyDescent="0.25">
      <c r="A22" s="34">
        <v>0</v>
      </c>
      <c r="B22" s="34">
        <v>0</v>
      </c>
      <c r="C22" s="34">
        <v>0</v>
      </c>
      <c r="D22" s="34">
        <v>0</v>
      </c>
      <c r="E22" s="34">
        <v>0</v>
      </c>
      <c r="F22" s="74">
        <v>0</v>
      </c>
      <c r="G22" s="34">
        <v>0</v>
      </c>
      <c r="H22" s="36">
        <v>0</v>
      </c>
      <c r="I22" s="39"/>
      <c r="J22" s="39"/>
      <c r="K22" s="39"/>
      <c r="L22" s="39"/>
      <c r="M22" s="39"/>
      <c r="N22" s="36">
        <f t="shared" si="1"/>
        <v>0</v>
      </c>
      <c r="O22" s="36">
        <f t="shared" si="0"/>
        <v>0</v>
      </c>
      <c r="P22" s="36">
        <f t="shared" si="0"/>
        <v>0</v>
      </c>
      <c r="Q22" s="36"/>
      <c r="R22" s="36"/>
      <c r="S22" s="36">
        <f t="shared" si="2"/>
        <v>0</v>
      </c>
      <c r="T22" s="37" t="s">
        <v>567</v>
      </c>
      <c r="U22" s="37" t="s">
        <v>225</v>
      </c>
      <c r="V22" s="160">
        <v>37</v>
      </c>
      <c r="W22" s="10">
        <v>125</v>
      </c>
      <c r="X22" s="10"/>
      <c r="Y22" s="10">
        <v>84</v>
      </c>
      <c r="Z22" s="10">
        <v>98</v>
      </c>
      <c r="AA22" s="34">
        <v>191</v>
      </c>
      <c r="AB22" s="10">
        <v>137</v>
      </c>
      <c r="AC22" s="10">
        <v>274</v>
      </c>
      <c r="AD22" s="10"/>
      <c r="AE22" s="10">
        <v>0</v>
      </c>
      <c r="AF22" s="10">
        <v>0</v>
      </c>
      <c r="AG22" s="10">
        <v>0</v>
      </c>
      <c r="AH22" s="10" t="s">
        <v>218</v>
      </c>
      <c r="AI22" s="10" t="s">
        <v>218</v>
      </c>
      <c r="AJ22" s="10" t="s">
        <v>218</v>
      </c>
      <c r="AK22" s="10" t="s">
        <v>218</v>
      </c>
      <c r="AL22" s="10" t="s">
        <v>218</v>
      </c>
      <c r="AM22" s="10" t="s">
        <v>218</v>
      </c>
      <c r="AN22" s="10" t="s">
        <v>218</v>
      </c>
      <c r="AO22" s="10" t="s">
        <v>218</v>
      </c>
      <c r="AP22" s="10" t="s">
        <v>218</v>
      </c>
      <c r="AQ22" s="27"/>
    </row>
    <row r="23" spans="1:43" ht="24" x14ac:dyDescent="0.25">
      <c r="A23" s="34"/>
      <c r="B23" s="34"/>
      <c r="C23" s="34"/>
      <c r="D23" s="34"/>
      <c r="E23" s="34"/>
      <c r="F23" s="74"/>
      <c r="G23" s="34"/>
      <c r="H23" s="36"/>
      <c r="I23" s="39"/>
      <c r="J23" s="39"/>
      <c r="K23" s="39"/>
      <c r="L23" s="39"/>
      <c r="M23" s="39"/>
      <c r="N23" s="36"/>
      <c r="O23" s="36"/>
      <c r="P23" s="36"/>
      <c r="Q23" s="36"/>
      <c r="R23" s="36"/>
      <c r="S23" s="36"/>
      <c r="T23" s="37" t="s">
        <v>568</v>
      </c>
      <c r="U23" s="37" t="s">
        <v>225</v>
      </c>
      <c r="V23" s="160">
        <v>215</v>
      </c>
      <c r="W23" s="10"/>
      <c r="X23" s="10"/>
      <c r="Y23" s="10">
        <v>0</v>
      </c>
      <c r="Z23" s="10">
        <v>191</v>
      </c>
      <c r="AA23" s="34"/>
      <c r="AB23" s="10"/>
      <c r="AC23" s="10"/>
      <c r="AD23" s="10"/>
      <c r="AE23" s="10"/>
      <c r="AF23" s="10"/>
      <c r="AG23" s="10"/>
      <c r="AH23" s="10"/>
      <c r="AI23" s="10"/>
      <c r="AJ23" s="10"/>
      <c r="AK23" s="10"/>
      <c r="AL23" s="10"/>
      <c r="AM23" s="10"/>
      <c r="AN23" s="10"/>
      <c r="AO23" s="10"/>
      <c r="AP23" s="10"/>
      <c r="AQ23" s="27"/>
    </row>
    <row r="24" spans="1:43" ht="36" x14ac:dyDescent="0.25">
      <c r="A24" s="34"/>
      <c r="B24" s="34"/>
      <c r="C24" s="34"/>
      <c r="D24" s="34"/>
      <c r="E24" s="34"/>
      <c r="F24" s="74"/>
      <c r="G24" s="34"/>
      <c r="H24" s="36"/>
      <c r="I24" s="39"/>
      <c r="J24" s="39"/>
      <c r="K24" s="39"/>
      <c r="L24" s="39"/>
      <c r="M24" s="39"/>
      <c r="N24" s="36"/>
      <c r="O24" s="36"/>
      <c r="P24" s="36"/>
      <c r="Q24" s="36"/>
      <c r="R24" s="36"/>
      <c r="S24" s="36"/>
      <c r="T24" s="37" t="s">
        <v>569</v>
      </c>
      <c r="U24" s="37" t="s">
        <v>225</v>
      </c>
      <c r="V24" s="160">
        <v>128</v>
      </c>
      <c r="W24" s="10"/>
      <c r="X24" s="10"/>
      <c r="Y24" s="10">
        <v>0</v>
      </c>
      <c r="Z24" s="10"/>
      <c r="AA24" s="34"/>
      <c r="AB24" s="10"/>
      <c r="AC24" s="10"/>
      <c r="AD24" s="10"/>
      <c r="AE24" s="10"/>
      <c r="AF24" s="10"/>
      <c r="AG24" s="10"/>
      <c r="AH24" s="10"/>
      <c r="AI24" s="10"/>
      <c r="AJ24" s="10"/>
      <c r="AK24" s="10"/>
      <c r="AL24" s="10"/>
      <c r="AM24" s="10"/>
      <c r="AN24" s="10"/>
      <c r="AO24" s="10"/>
      <c r="AP24" s="10"/>
      <c r="AQ24" s="27"/>
    </row>
    <row r="25" spans="1:43" ht="72" x14ac:dyDescent="0.25">
      <c r="A25" s="34"/>
      <c r="B25" s="34"/>
      <c r="C25" s="34"/>
      <c r="D25" s="34"/>
      <c r="E25" s="34"/>
      <c r="F25" s="74"/>
      <c r="G25" s="34"/>
      <c r="H25" s="36"/>
      <c r="I25" s="39"/>
      <c r="J25" s="39"/>
      <c r="K25" s="39"/>
      <c r="L25" s="39"/>
      <c r="M25" s="39"/>
      <c r="N25" s="36"/>
      <c r="O25" s="36"/>
      <c r="P25" s="36"/>
      <c r="Q25" s="36"/>
      <c r="R25" s="36"/>
      <c r="S25" s="36"/>
      <c r="T25" s="37" t="s">
        <v>570</v>
      </c>
      <c r="U25" s="37" t="s">
        <v>225</v>
      </c>
      <c r="V25" s="160">
        <v>12</v>
      </c>
      <c r="W25" s="10"/>
      <c r="X25" s="10"/>
      <c r="Y25" s="10">
        <v>0</v>
      </c>
      <c r="Z25" s="10">
        <v>10</v>
      </c>
      <c r="AA25" s="34"/>
      <c r="AB25" s="10"/>
      <c r="AC25" s="10"/>
      <c r="AD25" s="10"/>
      <c r="AE25" s="10"/>
      <c r="AF25" s="10"/>
      <c r="AG25" s="10"/>
      <c r="AH25" s="10"/>
      <c r="AI25" s="10"/>
      <c r="AJ25" s="10"/>
      <c r="AK25" s="10"/>
      <c r="AL25" s="10"/>
      <c r="AM25" s="10"/>
      <c r="AN25" s="10"/>
      <c r="AO25" s="10"/>
      <c r="AP25" s="10"/>
      <c r="AQ25" s="27"/>
    </row>
    <row r="26" spans="1:43" ht="36" x14ac:dyDescent="0.25">
      <c r="A26" s="34"/>
      <c r="B26" s="34"/>
      <c r="C26" s="34"/>
      <c r="D26" s="34"/>
      <c r="E26" s="34"/>
      <c r="F26" s="74"/>
      <c r="G26" s="34"/>
      <c r="H26" s="36"/>
      <c r="I26" s="39"/>
      <c r="J26" s="39"/>
      <c r="K26" s="39"/>
      <c r="L26" s="39"/>
      <c r="M26" s="39"/>
      <c r="N26" s="36"/>
      <c r="O26" s="36"/>
      <c r="P26" s="36"/>
      <c r="Q26" s="36"/>
      <c r="R26" s="36"/>
      <c r="S26" s="36"/>
      <c r="T26" s="37" t="s">
        <v>571</v>
      </c>
      <c r="U26" s="37" t="s">
        <v>225</v>
      </c>
      <c r="V26" s="160">
        <v>1</v>
      </c>
      <c r="W26" s="10"/>
      <c r="X26" s="10"/>
      <c r="Y26" s="10">
        <v>0</v>
      </c>
      <c r="Z26" s="10">
        <v>1</v>
      </c>
      <c r="AA26" s="34"/>
      <c r="AB26" s="10"/>
      <c r="AC26" s="10"/>
      <c r="AD26" s="10"/>
      <c r="AE26" s="10"/>
      <c r="AF26" s="10"/>
      <c r="AG26" s="10"/>
      <c r="AH26" s="10"/>
      <c r="AI26" s="10"/>
      <c r="AJ26" s="10"/>
      <c r="AK26" s="10"/>
      <c r="AL26" s="10"/>
      <c r="AM26" s="10"/>
      <c r="AN26" s="10"/>
      <c r="AO26" s="10"/>
      <c r="AP26" s="10"/>
      <c r="AQ26" s="27"/>
    </row>
    <row r="27" spans="1:43" ht="36" x14ac:dyDescent="0.25">
      <c r="A27" s="34"/>
      <c r="B27" s="34"/>
      <c r="C27" s="34"/>
      <c r="D27" s="34"/>
      <c r="E27" s="34"/>
      <c r="F27" s="74"/>
      <c r="G27" s="34"/>
      <c r="H27" s="36"/>
      <c r="I27" s="39"/>
      <c r="J27" s="39"/>
      <c r="K27" s="39"/>
      <c r="L27" s="39"/>
      <c r="M27" s="39"/>
      <c r="N27" s="36"/>
      <c r="O27" s="36"/>
      <c r="P27" s="36"/>
      <c r="Q27" s="36"/>
      <c r="R27" s="36"/>
      <c r="S27" s="36"/>
      <c r="T27" s="37" t="s">
        <v>572</v>
      </c>
      <c r="U27" s="37" t="s">
        <v>225</v>
      </c>
      <c r="V27" s="160">
        <v>1</v>
      </c>
      <c r="W27" s="10"/>
      <c r="X27" s="10"/>
      <c r="Y27" s="10">
        <v>0</v>
      </c>
      <c r="Z27" s="10">
        <v>1</v>
      </c>
      <c r="AA27" s="34"/>
      <c r="AB27" s="10"/>
      <c r="AC27" s="10"/>
      <c r="AD27" s="10"/>
      <c r="AE27" s="10"/>
      <c r="AF27" s="10"/>
      <c r="AG27" s="10"/>
      <c r="AH27" s="10"/>
      <c r="AI27" s="10"/>
      <c r="AJ27" s="10"/>
      <c r="AK27" s="10"/>
      <c r="AL27" s="10"/>
      <c r="AM27" s="10"/>
      <c r="AN27" s="10"/>
      <c r="AO27" s="10"/>
      <c r="AP27" s="10"/>
      <c r="AQ27" s="27"/>
    </row>
    <row r="28" spans="1:43" ht="48" x14ac:dyDescent="0.25">
      <c r="A28" s="34"/>
      <c r="B28" s="34"/>
      <c r="C28" s="34"/>
      <c r="D28" s="34"/>
      <c r="E28" s="34"/>
      <c r="F28" s="74"/>
      <c r="G28" s="34"/>
      <c r="H28" s="36"/>
      <c r="I28" s="39"/>
      <c r="J28" s="39"/>
      <c r="K28" s="39"/>
      <c r="L28" s="39"/>
      <c r="M28" s="39"/>
      <c r="N28" s="36"/>
      <c r="O28" s="36"/>
      <c r="P28" s="36"/>
      <c r="Q28" s="36"/>
      <c r="R28" s="36"/>
      <c r="S28" s="36"/>
      <c r="T28" s="37" t="s">
        <v>573</v>
      </c>
      <c r="U28" s="37" t="s">
        <v>225</v>
      </c>
      <c r="V28" s="160">
        <v>158</v>
      </c>
      <c r="W28" s="10"/>
      <c r="X28" s="10"/>
      <c r="Y28" s="10">
        <v>127</v>
      </c>
      <c r="Z28" s="10">
        <v>142</v>
      </c>
      <c r="AA28" s="34"/>
      <c r="AB28" s="10"/>
      <c r="AC28" s="10"/>
      <c r="AD28" s="10"/>
      <c r="AE28" s="10"/>
      <c r="AF28" s="10"/>
      <c r="AG28" s="10"/>
      <c r="AH28" s="10"/>
      <c r="AI28" s="10"/>
      <c r="AJ28" s="10"/>
      <c r="AK28" s="10"/>
      <c r="AL28" s="10"/>
      <c r="AM28" s="10"/>
      <c r="AN28" s="10"/>
      <c r="AO28" s="10"/>
      <c r="AP28" s="10"/>
      <c r="AQ28" s="27"/>
    </row>
    <row r="29" spans="1:43" ht="72" x14ac:dyDescent="0.25">
      <c r="A29" s="34" t="s">
        <v>55</v>
      </c>
      <c r="B29" s="34" t="s">
        <v>354</v>
      </c>
      <c r="C29" s="34" t="s">
        <v>355</v>
      </c>
      <c r="D29" s="34">
        <v>241110700</v>
      </c>
      <c r="E29" s="34">
        <v>12271001</v>
      </c>
      <c r="F29" s="74" t="s">
        <v>357</v>
      </c>
      <c r="G29" s="34" t="s">
        <v>358</v>
      </c>
      <c r="H29" s="36">
        <v>28870000000</v>
      </c>
      <c r="I29" s="39">
        <v>37020706344</v>
      </c>
      <c r="J29" s="39">
        <v>37055652201</v>
      </c>
      <c r="K29" s="39"/>
      <c r="L29" s="39"/>
      <c r="M29" s="39"/>
      <c r="N29" s="36">
        <f t="shared" si="1"/>
        <v>28870000000</v>
      </c>
      <c r="O29" s="36">
        <f t="shared" si="0"/>
        <v>37020706344</v>
      </c>
      <c r="P29" s="36">
        <f t="shared" si="0"/>
        <v>37055652201</v>
      </c>
      <c r="Q29" s="162">
        <v>37020706344</v>
      </c>
      <c r="R29" s="36"/>
      <c r="S29" s="36">
        <f t="shared" si="2"/>
        <v>37020706344</v>
      </c>
      <c r="T29" s="37" t="s">
        <v>574</v>
      </c>
      <c r="U29" s="37" t="s">
        <v>225</v>
      </c>
      <c r="V29" s="37">
        <v>125</v>
      </c>
      <c r="W29" s="10"/>
      <c r="X29" s="10"/>
      <c r="Y29" s="10">
        <v>125</v>
      </c>
      <c r="Z29" s="10">
        <v>125</v>
      </c>
      <c r="AA29" s="34">
        <v>180</v>
      </c>
      <c r="AB29" s="10">
        <v>90</v>
      </c>
      <c r="AC29" s="10">
        <v>360</v>
      </c>
      <c r="AD29" s="10"/>
      <c r="AE29" s="10" t="s">
        <v>218</v>
      </c>
      <c r="AF29" s="10" t="s">
        <v>218</v>
      </c>
      <c r="AG29" s="10" t="s">
        <v>218</v>
      </c>
      <c r="AH29" s="10" t="s">
        <v>218</v>
      </c>
      <c r="AI29" s="10" t="s">
        <v>218</v>
      </c>
      <c r="AJ29" s="10" t="s">
        <v>218</v>
      </c>
      <c r="AK29" s="10" t="s">
        <v>218</v>
      </c>
      <c r="AL29" s="10" t="s">
        <v>218</v>
      </c>
      <c r="AM29" s="10" t="s">
        <v>218</v>
      </c>
      <c r="AN29" s="10" t="s">
        <v>218</v>
      </c>
      <c r="AO29" s="10" t="s">
        <v>218</v>
      </c>
      <c r="AP29" s="10" t="s">
        <v>218</v>
      </c>
      <c r="AQ29" s="27"/>
    </row>
    <row r="30" spans="1:43" ht="72" x14ac:dyDescent="0.25">
      <c r="A30" s="34" t="s">
        <v>55</v>
      </c>
      <c r="B30" s="34" t="s">
        <v>354</v>
      </c>
      <c r="C30" s="34" t="s">
        <v>355</v>
      </c>
      <c r="D30" s="34">
        <v>241110700</v>
      </c>
      <c r="E30" s="34">
        <v>12271002</v>
      </c>
      <c r="F30" s="74" t="s">
        <v>357</v>
      </c>
      <c r="G30" s="34" t="s">
        <v>361</v>
      </c>
      <c r="H30" s="36">
        <v>109330050000</v>
      </c>
      <c r="I30" s="39">
        <v>113029556989</v>
      </c>
      <c r="J30" s="39">
        <v>118799721752</v>
      </c>
      <c r="K30" s="39"/>
      <c r="L30" s="39"/>
      <c r="M30" s="39"/>
      <c r="N30" s="36">
        <f t="shared" si="1"/>
        <v>109330050000</v>
      </c>
      <c r="O30" s="36">
        <f t="shared" si="0"/>
        <v>113029556989</v>
      </c>
      <c r="P30" s="36">
        <f t="shared" si="0"/>
        <v>118799721752</v>
      </c>
      <c r="Q30" s="162">
        <v>107713528444</v>
      </c>
      <c r="R30" s="36"/>
      <c r="S30" s="36">
        <f t="shared" si="2"/>
        <v>107713528444</v>
      </c>
      <c r="T30" s="37" t="s">
        <v>575</v>
      </c>
      <c r="U30" s="37" t="s">
        <v>225</v>
      </c>
      <c r="V30" s="37">
        <v>125</v>
      </c>
      <c r="W30" s="10"/>
      <c r="X30" s="10"/>
      <c r="Y30" s="10">
        <v>117</v>
      </c>
      <c r="Z30" s="10">
        <v>121</v>
      </c>
      <c r="AA30" s="34">
        <v>365</v>
      </c>
      <c r="AB30" s="10">
        <v>180</v>
      </c>
      <c r="AC30" s="10">
        <v>360</v>
      </c>
      <c r="AD30" s="10"/>
      <c r="AE30" s="10" t="s">
        <v>218</v>
      </c>
      <c r="AF30" s="10" t="s">
        <v>218</v>
      </c>
      <c r="AG30" s="10" t="s">
        <v>218</v>
      </c>
      <c r="AH30" s="10" t="s">
        <v>218</v>
      </c>
      <c r="AI30" s="10" t="s">
        <v>218</v>
      </c>
      <c r="AJ30" s="10" t="s">
        <v>218</v>
      </c>
      <c r="AK30" s="10" t="s">
        <v>218</v>
      </c>
      <c r="AL30" s="10" t="s">
        <v>218</v>
      </c>
      <c r="AM30" s="10" t="s">
        <v>218</v>
      </c>
      <c r="AN30" s="10" t="s">
        <v>218</v>
      </c>
      <c r="AO30" s="10" t="s">
        <v>218</v>
      </c>
      <c r="AP30" s="10" t="s">
        <v>218</v>
      </c>
      <c r="AQ30" s="27"/>
    </row>
    <row r="31" spans="1:43" ht="72" x14ac:dyDescent="0.25">
      <c r="A31" s="34" t="s">
        <v>55</v>
      </c>
      <c r="B31" s="34" t="s">
        <v>354</v>
      </c>
      <c r="C31" s="34" t="s">
        <v>355</v>
      </c>
      <c r="D31" s="34">
        <v>241110700</v>
      </c>
      <c r="E31" s="34">
        <v>12271003</v>
      </c>
      <c r="F31" s="74" t="s">
        <v>357</v>
      </c>
      <c r="G31" s="34" t="s">
        <v>362</v>
      </c>
      <c r="H31" s="36">
        <v>200000000</v>
      </c>
      <c r="I31" s="39">
        <v>200000000</v>
      </c>
      <c r="J31" s="39">
        <v>1195976401</v>
      </c>
      <c r="K31" s="39"/>
      <c r="L31" s="39"/>
      <c r="M31" s="39"/>
      <c r="N31" s="36">
        <f t="shared" si="1"/>
        <v>200000000</v>
      </c>
      <c r="O31" s="36">
        <f t="shared" si="0"/>
        <v>200000000</v>
      </c>
      <c r="P31" s="36">
        <f t="shared" si="0"/>
        <v>1195976401</v>
      </c>
      <c r="Q31" s="162"/>
      <c r="R31" s="36"/>
      <c r="S31" s="36">
        <f t="shared" si="2"/>
        <v>0</v>
      </c>
      <c r="T31" s="37" t="s">
        <v>575</v>
      </c>
      <c r="U31" s="37" t="s">
        <v>225</v>
      </c>
      <c r="V31" s="37">
        <v>125</v>
      </c>
      <c r="W31" s="10"/>
      <c r="X31" s="10"/>
      <c r="Y31" s="10">
        <v>117</v>
      </c>
      <c r="Z31" s="10">
        <v>121</v>
      </c>
      <c r="AA31" s="34">
        <v>365</v>
      </c>
      <c r="AB31" s="10">
        <v>180</v>
      </c>
      <c r="AC31" s="10">
        <v>360</v>
      </c>
      <c r="AD31" s="10"/>
      <c r="AE31" s="10" t="s">
        <v>218</v>
      </c>
      <c r="AF31" s="10" t="s">
        <v>218</v>
      </c>
      <c r="AG31" s="10" t="s">
        <v>218</v>
      </c>
      <c r="AH31" s="10" t="s">
        <v>218</v>
      </c>
      <c r="AI31" s="10" t="s">
        <v>218</v>
      </c>
      <c r="AJ31" s="10" t="s">
        <v>218</v>
      </c>
      <c r="AK31" s="10" t="s">
        <v>218</v>
      </c>
      <c r="AL31" s="10" t="s">
        <v>218</v>
      </c>
      <c r="AM31" s="10" t="s">
        <v>218</v>
      </c>
      <c r="AN31" s="10" t="s">
        <v>218</v>
      </c>
      <c r="AO31" s="10" t="s">
        <v>218</v>
      </c>
      <c r="AP31" s="10" t="s">
        <v>218</v>
      </c>
      <c r="AQ31" s="27"/>
    </row>
    <row r="32" spans="1:43" ht="84" x14ac:dyDescent="0.25">
      <c r="A32" s="34" t="s">
        <v>55</v>
      </c>
      <c r="B32" s="34" t="s">
        <v>354</v>
      </c>
      <c r="C32" s="34" t="s">
        <v>355</v>
      </c>
      <c r="D32" s="34">
        <v>241110700</v>
      </c>
      <c r="E32" s="34">
        <v>12271004</v>
      </c>
      <c r="F32" s="74" t="s">
        <v>357</v>
      </c>
      <c r="G32" s="34" t="s">
        <v>363</v>
      </c>
      <c r="H32" s="36">
        <v>300000000</v>
      </c>
      <c r="I32" s="39">
        <v>432737681</v>
      </c>
      <c r="J32" s="39">
        <v>3217107468</v>
      </c>
      <c r="K32" s="39"/>
      <c r="L32" s="39"/>
      <c r="M32" s="39"/>
      <c r="N32" s="36">
        <f t="shared" si="1"/>
        <v>300000000</v>
      </c>
      <c r="O32" s="36">
        <f t="shared" si="0"/>
        <v>432737681</v>
      </c>
      <c r="P32" s="36">
        <f t="shared" si="0"/>
        <v>3217107468</v>
      </c>
      <c r="Q32" s="162"/>
      <c r="R32" s="36"/>
      <c r="S32" s="36">
        <f t="shared" si="2"/>
        <v>0</v>
      </c>
      <c r="T32" s="37" t="s">
        <v>575</v>
      </c>
      <c r="U32" s="37" t="s">
        <v>225</v>
      </c>
      <c r="V32" s="37">
        <v>125</v>
      </c>
      <c r="W32" s="10"/>
      <c r="X32" s="10"/>
      <c r="Y32" s="10">
        <v>117</v>
      </c>
      <c r="Z32" s="10">
        <v>121</v>
      </c>
      <c r="AA32" s="34">
        <v>365</v>
      </c>
      <c r="AB32" s="10">
        <v>180</v>
      </c>
      <c r="AC32" s="10">
        <v>360</v>
      </c>
      <c r="AD32" s="10"/>
      <c r="AE32" s="10" t="s">
        <v>218</v>
      </c>
      <c r="AF32" s="10" t="s">
        <v>218</v>
      </c>
      <c r="AG32" s="10" t="s">
        <v>218</v>
      </c>
      <c r="AH32" s="10" t="s">
        <v>218</v>
      </c>
      <c r="AI32" s="10" t="s">
        <v>218</v>
      </c>
      <c r="AJ32" s="10" t="s">
        <v>218</v>
      </c>
      <c r="AK32" s="10" t="s">
        <v>218</v>
      </c>
      <c r="AL32" s="10" t="s">
        <v>218</v>
      </c>
      <c r="AM32" s="10" t="s">
        <v>218</v>
      </c>
      <c r="AN32" s="10" t="s">
        <v>218</v>
      </c>
      <c r="AO32" s="10" t="s">
        <v>218</v>
      </c>
      <c r="AP32" s="10" t="s">
        <v>218</v>
      </c>
      <c r="AQ32" s="27"/>
    </row>
    <row r="33" spans="1:43" ht="84" x14ac:dyDescent="0.25">
      <c r="A33" s="34" t="s">
        <v>55</v>
      </c>
      <c r="B33" s="34" t="s">
        <v>354</v>
      </c>
      <c r="C33" s="34" t="s">
        <v>355</v>
      </c>
      <c r="D33" s="34">
        <v>241110900</v>
      </c>
      <c r="E33" s="34">
        <v>12271005</v>
      </c>
      <c r="F33" s="74" t="s">
        <v>357</v>
      </c>
      <c r="G33" s="34" t="s">
        <v>364</v>
      </c>
      <c r="H33" s="36">
        <v>370000000</v>
      </c>
      <c r="I33" s="39">
        <v>370000000</v>
      </c>
      <c r="J33" s="39">
        <v>370000000</v>
      </c>
      <c r="K33" s="39"/>
      <c r="L33" s="39"/>
      <c r="M33" s="39"/>
      <c r="N33" s="36">
        <f t="shared" si="1"/>
        <v>370000000</v>
      </c>
      <c r="O33" s="36">
        <f t="shared" si="0"/>
        <v>370000000</v>
      </c>
      <c r="P33" s="36">
        <f t="shared" si="0"/>
        <v>370000000</v>
      </c>
      <c r="Q33" s="162">
        <v>179593005</v>
      </c>
      <c r="R33" s="36"/>
      <c r="S33" s="36">
        <f t="shared" si="2"/>
        <v>179593005</v>
      </c>
      <c r="T33" s="37" t="s">
        <v>576</v>
      </c>
      <c r="U33" s="37" t="s">
        <v>225</v>
      </c>
      <c r="V33" s="37">
        <v>125</v>
      </c>
      <c r="W33" s="10"/>
      <c r="X33" s="10"/>
      <c r="Y33" s="10">
        <v>125</v>
      </c>
      <c r="Z33" s="10">
        <v>125</v>
      </c>
      <c r="AA33" s="34">
        <v>365</v>
      </c>
      <c r="AB33" s="10">
        <v>180</v>
      </c>
      <c r="AC33" s="10">
        <v>360</v>
      </c>
      <c r="AD33" s="10"/>
      <c r="AE33" s="10" t="s">
        <v>218</v>
      </c>
      <c r="AF33" s="10" t="s">
        <v>218</v>
      </c>
      <c r="AG33" s="10" t="s">
        <v>218</v>
      </c>
      <c r="AH33" s="10" t="s">
        <v>218</v>
      </c>
      <c r="AI33" s="10" t="s">
        <v>218</v>
      </c>
      <c r="AJ33" s="10" t="s">
        <v>218</v>
      </c>
      <c r="AK33" s="10" t="s">
        <v>218</v>
      </c>
      <c r="AL33" s="10" t="s">
        <v>218</v>
      </c>
      <c r="AM33" s="10" t="s">
        <v>218</v>
      </c>
      <c r="AN33" s="10" t="s">
        <v>218</v>
      </c>
      <c r="AO33" s="10" t="s">
        <v>218</v>
      </c>
      <c r="AP33" s="10" t="s">
        <v>218</v>
      </c>
      <c r="AQ33" s="27"/>
    </row>
    <row r="34" spans="1:43" ht="120" x14ac:dyDescent="0.25">
      <c r="A34" s="34">
        <v>0</v>
      </c>
      <c r="B34" s="34">
        <v>0</v>
      </c>
      <c r="C34" s="34">
        <v>0</v>
      </c>
      <c r="D34" s="34">
        <v>0</v>
      </c>
      <c r="E34" s="34">
        <v>0</v>
      </c>
      <c r="F34" s="74">
        <v>0</v>
      </c>
      <c r="G34" s="34">
        <v>0</v>
      </c>
      <c r="H34" s="36">
        <v>0</v>
      </c>
      <c r="I34" s="39"/>
      <c r="J34" s="39"/>
      <c r="K34" s="39"/>
      <c r="L34" s="39"/>
      <c r="M34" s="39"/>
      <c r="N34" s="36">
        <f t="shared" si="1"/>
        <v>0</v>
      </c>
      <c r="O34" s="36">
        <f t="shared" si="0"/>
        <v>0</v>
      </c>
      <c r="P34" s="36">
        <f t="shared" si="0"/>
        <v>0</v>
      </c>
      <c r="Q34" s="36"/>
      <c r="R34" s="36"/>
      <c r="S34" s="36">
        <f t="shared" si="2"/>
        <v>0</v>
      </c>
      <c r="T34" s="37" t="s">
        <v>577</v>
      </c>
      <c r="U34" s="37" t="s">
        <v>556</v>
      </c>
      <c r="V34" s="37">
        <v>125</v>
      </c>
      <c r="W34" s="10"/>
      <c r="X34" s="10"/>
      <c r="Y34" s="10"/>
      <c r="Z34" s="10">
        <v>125</v>
      </c>
      <c r="AA34" s="34">
        <v>365</v>
      </c>
      <c r="AB34" s="10">
        <v>180</v>
      </c>
      <c r="AC34" s="10">
        <v>360</v>
      </c>
      <c r="AD34" s="10"/>
      <c r="AE34" s="10" t="s">
        <v>218</v>
      </c>
      <c r="AF34" s="10" t="s">
        <v>218</v>
      </c>
      <c r="AG34" s="10" t="s">
        <v>218</v>
      </c>
      <c r="AH34" s="10" t="s">
        <v>218</v>
      </c>
      <c r="AI34" s="10" t="s">
        <v>218</v>
      </c>
      <c r="AJ34" s="10" t="s">
        <v>218</v>
      </c>
      <c r="AK34" s="10" t="s">
        <v>218</v>
      </c>
      <c r="AL34" s="10" t="s">
        <v>218</v>
      </c>
      <c r="AM34" s="10" t="s">
        <v>218</v>
      </c>
      <c r="AN34" s="10" t="s">
        <v>218</v>
      </c>
      <c r="AO34" s="10" t="s">
        <v>218</v>
      </c>
      <c r="AP34" s="10" t="s">
        <v>218</v>
      </c>
      <c r="AQ34" s="27"/>
    </row>
    <row r="35" spans="1:43" ht="72" x14ac:dyDescent="0.25">
      <c r="A35" s="34" t="s">
        <v>55</v>
      </c>
      <c r="B35" s="34" t="s">
        <v>354</v>
      </c>
      <c r="C35" s="34" t="s">
        <v>355</v>
      </c>
      <c r="D35" s="34">
        <v>241110900</v>
      </c>
      <c r="E35" s="34">
        <v>12271090</v>
      </c>
      <c r="F35" s="74" t="s">
        <v>357</v>
      </c>
      <c r="G35" s="34" t="s">
        <v>365</v>
      </c>
      <c r="H35" s="36">
        <v>931590720</v>
      </c>
      <c r="I35" s="39">
        <v>1514200000</v>
      </c>
      <c r="J35" s="39">
        <v>1627833064</v>
      </c>
      <c r="K35" s="39"/>
      <c r="L35" s="39"/>
      <c r="M35" s="39"/>
      <c r="N35" s="36">
        <f t="shared" si="1"/>
        <v>931590720</v>
      </c>
      <c r="O35" s="36">
        <f t="shared" si="0"/>
        <v>1514200000</v>
      </c>
      <c r="P35" s="36">
        <f t="shared" si="0"/>
        <v>1627833064</v>
      </c>
      <c r="Q35" s="162">
        <v>963985042</v>
      </c>
      <c r="R35" s="36"/>
      <c r="S35" s="36">
        <f t="shared" si="2"/>
        <v>963985042</v>
      </c>
      <c r="T35" s="37" t="s">
        <v>578</v>
      </c>
      <c r="U35" s="37" t="s">
        <v>225</v>
      </c>
      <c r="V35" s="37">
        <v>21</v>
      </c>
      <c r="W35" s="10"/>
      <c r="X35" s="10"/>
      <c r="Y35" s="10">
        <v>21</v>
      </c>
      <c r="Z35" s="10">
        <v>23</v>
      </c>
      <c r="AA35" s="34">
        <v>365</v>
      </c>
      <c r="AB35" s="10">
        <v>180</v>
      </c>
      <c r="AC35" s="10">
        <v>360</v>
      </c>
      <c r="AD35" s="10"/>
      <c r="AE35" s="10" t="s">
        <v>218</v>
      </c>
      <c r="AF35" s="10" t="s">
        <v>218</v>
      </c>
      <c r="AG35" s="10" t="s">
        <v>218</v>
      </c>
      <c r="AH35" s="10" t="s">
        <v>218</v>
      </c>
      <c r="AI35" s="10" t="s">
        <v>218</v>
      </c>
      <c r="AJ35" s="10" t="s">
        <v>218</v>
      </c>
      <c r="AK35" s="10" t="s">
        <v>218</v>
      </c>
      <c r="AL35" s="10" t="s">
        <v>218</v>
      </c>
      <c r="AM35" s="10" t="s">
        <v>218</v>
      </c>
      <c r="AN35" s="10" t="s">
        <v>218</v>
      </c>
      <c r="AO35" s="10" t="s">
        <v>218</v>
      </c>
      <c r="AP35" s="10" t="s">
        <v>218</v>
      </c>
      <c r="AQ35" s="27"/>
    </row>
    <row r="36" spans="1:43" ht="60" x14ac:dyDescent="0.25">
      <c r="A36" s="34" t="s">
        <v>55</v>
      </c>
      <c r="B36" s="34" t="s">
        <v>354</v>
      </c>
      <c r="C36" s="34" t="s">
        <v>355</v>
      </c>
      <c r="D36" s="34">
        <v>241110800</v>
      </c>
      <c r="E36" s="34">
        <v>12275001</v>
      </c>
      <c r="F36" s="74" t="s">
        <v>366</v>
      </c>
      <c r="G36" s="34" t="s">
        <v>367</v>
      </c>
      <c r="H36" s="36">
        <v>22075000000</v>
      </c>
      <c r="I36" s="39">
        <v>30636904818</v>
      </c>
      <c r="J36" s="39">
        <v>25948445191</v>
      </c>
      <c r="K36" s="39"/>
      <c r="L36" s="39"/>
      <c r="M36" s="39"/>
      <c r="N36" s="36">
        <f t="shared" si="1"/>
        <v>22075000000</v>
      </c>
      <c r="O36" s="36">
        <f t="shared" si="0"/>
        <v>30636904818</v>
      </c>
      <c r="P36" s="36">
        <f t="shared" si="0"/>
        <v>25948445191</v>
      </c>
      <c r="Q36" s="162">
        <v>25948445191</v>
      </c>
      <c r="R36" s="36"/>
      <c r="S36" s="36">
        <f t="shared" si="2"/>
        <v>25948445191</v>
      </c>
      <c r="T36" s="37" t="s">
        <v>579</v>
      </c>
      <c r="U36" s="37" t="s">
        <v>225</v>
      </c>
      <c r="V36" s="37">
        <v>77587</v>
      </c>
      <c r="W36" s="10"/>
      <c r="X36" s="10"/>
      <c r="Y36" s="10">
        <v>18988</v>
      </c>
      <c r="Z36" s="10">
        <v>32771</v>
      </c>
      <c r="AA36" s="34">
        <v>365</v>
      </c>
      <c r="AB36" s="10">
        <v>180</v>
      </c>
      <c r="AC36" s="10">
        <v>365</v>
      </c>
      <c r="AD36" s="10"/>
      <c r="AE36" s="10" t="s">
        <v>218</v>
      </c>
      <c r="AF36" s="10" t="s">
        <v>218</v>
      </c>
      <c r="AG36" s="10" t="s">
        <v>218</v>
      </c>
      <c r="AH36" s="10" t="s">
        <v>218</v>
      </c>
      <c r="AI36" s="10" t="s">
        <v>218</v>
      </c>
      <c r="AJ36" s="10" t="s">
        <v>218</v>
      </c>
      <c r="AK36" s="10" t="s">
        <v>218</v>
      </c>
      <c r="AL36" s="10" t="s">
        <v>218</v>
      </c>
      <c r="AM36" s="10" t="s">
        <v>218</v>
      </c>
      <c r="AN36" s="10" t="s">
        <v>218</v>
      </c>
      <c r="AO36" s="10" t="s">
        <v>218</v>
      </c>
      <c r="AP36" s="10" t="s">
        <v>218</v>
      </c>
      <c r="AQ36" s="27"/>
    </row>
    <row r="37" spans="1:43" ht="60" x14ac:dyDescent="0.25">
      <c r="A37" s="34" t="s">
        <v>55</v>
      </c>
      <c r="B37" s="34" t="s">
        <v>354</v>
      </c>
      <c r="C37" s="34" t="s">
        <v>355</v>
      </c>
      <c r="D37" s="34">
        <v>241110800</v>
      </c>
      <c r="E37" s="34">
        <v>12275002</v>
      </c>
      <c r="F37" s="74" t="s">
        <v>366</v>
      </c>
      <c r="G37" s="34" t="s">
        <v>370</v>
      </c>
      <c r="H37" s="36">
        <v>8731000000</v>
      </c>
      <c r="I37" s="39">
        <v>8866169586</v>
      </c>
      <c r="J37" s="39">
        <v>6865373178</v>
      </c>
      <c r="K37" s="39"/>
      <c r="L37" s="39"/>
      <c r="M37" s="39"/>
      <c r="N37" s="36">
        <f t="shared" si="1"/>
        <v>8731000000</v>
      </c>
      <c r="O37" s="36">
        <f t="shared" si="0"/>
        <v>8866169586</v>
      </c>
      <c r="P37" s="36">
        <f t="shared" si="0"/>
        <v>6865373178</v>
      </c>
      <c r="Q37" s="162">
        <v>5329523772</v>
      </c>
      <c r="R37" s="36"/>
      <c r="S37" s="36">
        <f t="shared" si="2"/>
        <v>5329523772</v>
      </c>
      <c r="T37" s="37" t="s">
        <v>580</v>
      </c>
      <c r="U37" s="37" t="s">
        <v>225</v>
      </c>
      <c r="V37" s="37">
        <v>50203</v>
      </c>
      <c r="W37" s="10"/>
      <c r="X37" s="10"/>
      <c r="Y37" s="10">
        <v>38235</v>
      </c>
      <c r="Z37" s="10">
        <v>24576</v>
      </c>
      <c r="AA37" s="34">
        <v>365</v>
      </c>
      <c r="AB37" s="10">
        <v>180</v>
      </c>
      <c r="AC37" s="10">
        <v>365</v>
      </c>
      <c r="AD37" s="10"/>
      <c r="AE37" s="10" t="s">
        <v>218</v>
      </c>
      <c r="AF37" s="10" t="s">
        <v>218</v>
      </c>
      <c r="AG37" s="10" t="s">
        <v>218</v>
      </c>
      <c r="AH37" s="10" t="s">
        <v>218</v>
      </c>
      <c r="AI37" s="10" t="s">
        <v>218</v>
      </c>
      <c r="AJ37" s="10" t="s">
        <v>218</v>
      </c>
      <c r="AK37" s="10" t="s">
        <v>218</v>
      </c>
      <c r="AL37" s="10" t="s">
        <v>218</v>
      </c>
      <c r="AM37" s="10" t="s">
        <v>218</v>
      </c>
      <c r="AN37" s="10" t="s">
        <v>218</v>
      </c>
      <c r="AO37" s="10" t="s">
        <v>218</v>
      </c>
      <c r="AP37" s="10" t="s">
        <v>218</v>
      </c>
      <c r="AQ37" s="27"/>
    </row>
    <row r="38" spans="1:43" ht="60" x14ac:dyDescent="0.25">
      <c r="A38" s="34" t="s">
        <v>55</v>
      </c>
      <c r="B38" s="34" t="s">
        <v>354</v>
      </c>
      <c r="C38" s="34" t="s">
        <v>355</v>
      </c>
      <c r="D38" s="34">
        <v>241110800</v>
      </c>
      <c r="E38" s="34">
        <v>12275003</v>
      </c>
      <c r="F38" s="74" t="s">
        <v>366</v>
      </c>
      <c r="G38" s="34" t="s">
        <v>371</v>
      </c>
      <c r="H38" s="36">
        <v>13711000000</v>
      </c>
      <c r="I38" s="39">
        <v>13711000000</v>
      </c>
      <c r="J38" s="39">
        <v>1254986018</v>
      </c>
      <c r="K38" s="39"/>
      <c r="L38" s="39"/>
      <c r="M38" s="39"/>
      <c r="N38" s="36">
        <f t="shared" si="1"/>
        <v>13711000000</v>
      </c>
      <c r="O38" s="36">
        <f t="shared" si="0"/>
        <v>13711000000</v>
      </c>
      <c r="P38" s="36">
        <f t="shared" si="0"/>
        <v>1254986018</v>
      </c>
      <c r="Q38" s="162">
        <v>1254986018</v>
      </c>
      <c r="R38" s="36"/>
      <c r="S38" s="36">
        <f t="shared" si="2"/>
        <v>1254986018</v>
      </c>
      <c r="T38" s="37" t="s">
        <v>579</v>
      </c>
      <c r="U38" s="37" t="s">
        <v>225</v>
      </c>
      <c r="V38" s="37">
        <v>77587</v>
      </c>
      <c r="W38" s="10"/>
      <c r="X38" s="10"/>
      <c r="Y38" s="10">
        <v>18988</v>
      </c>
      <c r="Z38" s="10">
        <v>32771</v>
      </c>
      <c r="AA38" s="34">
        <v>365</v>
      </c>
      <c r="AB38" s="10">
        <v>180</v>
      </c>
      <c r="AC38" s="10">
        <v>365</v>
      </c>
      <c r="AD38" s="10"/>
      <c r="AE38" s="10" t="s">
        <v>218</v>
      </c>
      <c r="AF38" s="10" t="s">
        <v>218</v>
      </c>
      <c r="AG38" s="10" t="s">
        <v>218</v>
      </c>
      <c r="AH38" s="10" t="s">
        <v>218</v>
      </c>
      <c r="AI38" s="10" t="s">
        <v>218</v>
      </c>
      <c r="AJ38" s="10" t="s">
        <v>218</v>
      </c>
      <c r="AK38" s="10" t="s">
        <v>218</v>
      </c>
      <c r="AL38" s="10" t="s">
        <v>218</v>
      </c>
      <c r="AM38" s="10" t="s">
        <v>218</v>
      </c>
      <c r="AN38" s="10" t="s">
        <v>218</v>
      </c>
      <c r="AO38" s="10" t="s">
        <v>218</v>
      </c>
      <c r="AP38" s="10" t="s">
        <v>218</v>
      </c>
      <c r="AQ38" s="27"/>
    </row>
    <row r="39" spans="1:43" ht="60" x14ac:dyDescent="0.25">
      <c r="A39" s="34" t="s">
        <v>55</v>
      </c>
      <c r="B39" s="34" t="s">
        <v>354</v>
      </c>
      <c r="C39" s="34" t="s">
        <v>355</v>
      </c>
      <c r="D39" s="34">
        <v>241110800</v>
      </c>
      <c r="E39" s="34">
        <v>12275004</v>
      </c>
      <c r="F39" s="74" t="s">
        <v>366</v>
      </c>
      <c r="G39" s="34" t="s">
        <v>372</v>
      </c>
      <c r="H39" s="36">
        <v>6000000000</v>
      </c>
      <c r="I39" s="39">
        <v>6056031041</v>
      </c>
      <c r="J39" s="39">
        <v>10541056641</v>
      </c>
      <c r="K39" s="39"/>
      <c r="L39" s="39"/>
      <c r="M39" s="39"/>
      <c r="N39" s="36">
        <f t="shared" si="1"/>
        <v>6000000000</v>
      </c>
      <c r="O39" s="36">
        <f t="shared" si="0"/>
        <v>6056031041</v>
      </c>
      <c r="P39" s="36">
        <f t="shared" si="0"/>
        <v>10541056641</v>
      </c>
      <c r="Q39" s="162">
        <v>8774587492</v>
      </c>
      <c r="R39" s="36"/>
      <c r="S39" s="36">
        <f t="shared" si="2"/>
        <v>8774587492</v>
      </c>
      <c r="T39" s="37" t="s">
        <v>580</v>
      </c>
      <c r="U39" s="37" t="s">
        <v>225</v>
      </c>
      <c r="V39" s="37">
        <v>50203</v>
      </c>
      <c r="W39" s="10"/>
      <c r="X39" s="10"/>
      <c r="Y39" s="10">
        <v>38235</v>
      </c>
      <c r="Z39" s="10">
        <v>24576</v>
      </c>
      <c r="AA39" s="34">
        <v>365</v>
      </c>
      <c r="AB39" s="10">
        <v>180</v>
      </c>
      <c r="AC39" s="10">
        <v>365</v>
      </c>
      <c r="AD39" s="10"/>
      <c r="AE39" s="10" t="s">
        <v>218</v>
      </c>
      <c r="AF39" s="10" t="s">
        <v>218</v>
      </c>
      <c r="AG39" s="10" t="s">
        <v>218</v>
      </c>
      <c r="AH39" s="10" t="s">
        <v>218</v>
      </c>
      <c r="AI39" s="10" t="s">
        <v>218</v>
      </c>
      <c r="AJ39" s="10" t="s">
        <v>218</v>
      </c>
      <c r="AK39" s="10" t="s">
        <v>218</v>
      </c>
      <c r="AL39" s="10" t="s">
        <v>218</v>
      </c>
      <c r="AM39" s="10" t="s">
        <v>218</v>
      </c>
      <c r="AN39" s="10" t="s">
        <v>218</v>
      </c>
      <c r="AO39" s="10" t="s">
        <v>218</v>
      </c>
      <c r="AP39" s="10" t="s">
        <v>218</v>
      </c>
      <c r="AQ39" s="27"/>
    </row>
    <row r="40" spans="1:43" ht="60" x14ac:dyDescent="0.25">
      <c r="A40" s="34" t="s">
        <v>55</v>
      </c>
      <c r="B40" s="34" t="s">
        <v>354</v>
      </c>
      <c r="C40" s="34" t="s">
        <v>355</v>
      </c>
      <c r="D40" s="34">
        <v>241110800</v>
      </c>
      <c r="E40" s="34">
        <v>12275005</v>
      </c>
      <c r="F40" s="74" t="s">
        <v>366</v>
      </c>
      <c r="G40" s="34" t="s">
        <v>373</v>
      </c>
      <c r="H40" s="36">
        <v>14293000000</v>
      </c>
      <c r="I40" s="39">
        <v>19836615201</v>
      </c>
      <c r="J40" s="39">
        <v>16800954809</v>
      </c>
      <c r="K40" s="39"/>
      <c r="L40" s="39"/>
      <c r="M40" s="39"/>
      <c r="N40" s="36">
        <f t="shared" si="1"/>
        <v>14293000000</v>
      </c>
      <c r="O40" s="36">
        <f t="shared" si="0"/>
        <v>19836615201</v>
      </c>
      <c r="P40" s="36">
        <f t="shared" si="0"/>
        <v>16800954809</v>
      </c>
      <c r="Q40" s="162">
        <v>16800954809</v>
      </c>
      <c r="R40" s="36"/>
      <c r="S40" s="36">
        <f t="shared" si="2"/>
        <v>16800954809</v>
      </c>
      <c r="T40" s="37" t="s">
        <v>579</v>
      </c>
      <c r="U40" s="37" t="s">
        <v>225</v>
      </c>
      <c r="V40" s="37">
        <v>77587</v>
      </c>
      <c r="W40" s="10"/>
      <c r="X40" s="10"/>
      <c r="Y40" s="10">
        <v>18988</v>
      </c>
      <c r="Z40" s="10">
        <v>32771</v>
      </c>
      <c r="AA40" s="34">
        <v>365</v>
      </c>
      <c r="AB40" s="10">
        <v>180</v>
      </c>
      <c r="AC40" s="10">
        <v>365</v>
      </c>
      <c r="AD40" s="10"/>
      <c r="AE40" s="10" t="s">
        <v>218</v>
      </c>
      <c r="AF40" s="10" t="s">
        <v>218</v>
      </c>
      <c r="AG40" s="10" t="s">
        <v>218</v>
      </c>
      <c r="AH40" s="10" t="s">
        <v>218</v>
      </c>
      <c r="AI40" s="10" t="s">
        <v>218</v>
      </c>
      <c r="AJ40" s="10" t="s">
        <v>218</v>
      </c>
      <c r="AK40" s="10" t="s">
        <v>218</v>
      </c>
      <c r="AL40" s="10" t="s">
        <v>218</v>
      </c>
      <c r="AM40" s="10" t="s">
        <v>218</v>
      </c>
      <c r="AN40" s="10" t="s">
        <v>218</v>
      </c>
      <c r="AO40" s="10" t="s">
        <v>218</v>
      </c>
      <c r="AP40" s="10" t="s">
        <v>218</v>
      </c>
      <c r="AQ40" s="27"/>
    </row>
    <row r="41" spans="1:43" ht="60" x14ac:dyDescent="0.25">
      <c r="A41" s="34" t="s">
        <v>55</v>
      </c>
      <c r="B41" s="34" t="s">
        <v>354</v>
      </c>
      <c r="C41" s="34" t="s">
        <v>355</v>
      </c>
      <c r="D41" s="34">
        <v>241110800</v>
      </c>
      <c r="E41" s="34">
        <v>12275006</v>
      </c>
      <c r="F41" s="74" t="s">
        <v>366</v>
      </c>
      <c r="G41" s="34" t="s">
        <v>374</v>
      </c>
      <c r="H41" s="36">
        <v>21137005000</v>
      </c>
      <c r="I41" s="39">
        <v>11365458511</v>
      </c>
      <c r="J41" s="39">
        <v>14538521721</v>
      </c>
      <c r="K41" s="39"/>
      <c r="L41" s="39"/>
      <c r="M41" s="39"/>
      <c r="N41" s="36">
        <f t="shared" si="1"/>
        <v>21137005000</v>
      </c>
      <c r="O41" s="36">
        <f t="shared" si="0"/>
        <v>11365458511</v>
      </c>
      <c r="P41" s="36">
        <f t="shared" si="0"/>
        <v>14538521721</v>
      </c>
      <c r="Q41" s="162">
        <v>11387801151</v>
      </c>
      <c r="R41" s="36"/>
      <c r="S41" s="36">
        <f t="shared" si="2"/>
        <v>11387801151</v>
      </c>
      <c r="T41" s="37" t="s">
        <v>580</v>
      </c>
      <c r="U41" s="37" t="s">
        <v>225</v>
      </c>
      <c r="V41" s="37">
        <v>50203</v>
      </c>
      <c r="W41" s="10"/>
      <c r="X41" s="10"/>
      <c r="Y41" s="10">
        <v>38235</v>
      </c>
      <c r="Z41" s="10">
        <v>24576</v>
      </c>
      <c r="AA41" s="34">
        <v>365</v>
      </c>
      <c r="AB41" s="10">
        <v>180</v>
      </c>
      <c r="AC41" s="10">
        <v>365</v>
      </c>
      <c r="AD41" s="10"/>
      <c r="AE41" s="10" t="s">
        <v>218</v>
      </c>
      <c r="AF41" s="10" t="s">
        <v>218</v>
      </c>
      <c r="AG41" s="10" t="s">
        <v>218</v>
      </c>
      <c r="AH41" s="10" t="s">
        <v>218</v>
      </c>
      <c r="AI41" s="10" t="s">
        <v>218</v>
      </c>
      <c r="AJ41" s="10" t="s">
        <v>218</v>
      </c>
      <c r="AK41" s="10" t="s">
        <v>218</v>
      </c>
      <c r="AL41" s="10" t="s">
        <v>218</v>
      </c>
      <c r="AM41" s="10" t="s">
        <v>218</v>
      </c>
      <c r="AN41" s="10" t="s">
        <v>218</v>
      </c>
      <c r="AO41" s="10" t="s">
        <v>218</v>
      </c>
      <c r="AP41" s="10" t="s">
        <v>218</v>
      </c>
      <c r="AQ41" s="27"/>
    </row>
    <row r="42" spans="1:43" ht="60" x14ac:dyDescent="0.25">
      <c r="A42" s="34" t="s">
        <v>55</v>
      </c>
      <c r="B42" s="34" t="s">
        <v>354</v>
      </c>
      <c r="C42" s="34" t="s">
        <v>355</v>
      </c>
      <c r="D42" s="34">
        <v>241110800</v>
      </c>
      <c r="E42" s="34">
        <v>12275007</v>
      </c>
      <c r="F42" s="74" t="s">
        <v>366</v>
      </c>
      <c r="G42" s="34" t="s">
        <v>375</v>
      </c>
      <c r="H42" s="36">
        <v>16000000000</v>
      </c>
      <c r="I42" s="39">
        <v>22000000</v>
      </c>
      <c r="J42" s="39">
        <v>1465013982</v>
      </c>
      <c r="K42" s="39"/>
      <c r="L42" s="39"/>
      <c r="M42" s="39"/>
      <c r="N42" s="36">
        <f t="shared" si="1"/>
        <v>16000000000</v>
      </c>
      <c r="O42" s="36">
        <f t="shared" si="0"/>
        <v>22000000</v>
      </c>
      <c r="P42" s="36">
        <f t="shared" si="0"/>
        <v>1465013982</v>
      </c>
      <c r="Q42" s="162">
        <v>1465013982</v>
      </c>
      <c r="R42" s="36"/>
      <c r="S42" s="36">
        <f t="shared" si="2"/>
        <v>1465013982</v>
      </c>
      <c r="T42" s="37" t="s">
        <v>579</v>
      </c>
      <c r="U42" s="37" t="s">
        <v>225</v>
      </c>
      <c r="V42" s="37">
        <v>77587</v>
      </c>
      <c r="W42" s="10"/>
      <c r="X42" s="10"/>
      <c r="Y42" s="10">
        <v>18988</v>
      </c>
      <c r="Z42" s="10">
        <v>32771</v>
      </c>
      <c r="AA42" s="34">
        <v>365</v>
      </c>
      <c r="AB42" s="10">
        <v>180</v>
      </c>
      <c r="AC42" s="10">
        <v>365</v>
      </c>
      <c r="AD42" s="10"/>
      <c r="AE42" s="10" t="s">
        <v>218</v>
      </c>
      <c r="AF42" s="10" t="s">
        <v>218</v>
      </c>
      <c r="AG42" s="10" t="s">
        <v>218</v>
      </c>
      <c r="AH42" s="10" t="s">
        <v>218</v>
      </c>
      <c r="AI42" s="10" t="s">
        <v>218</v>
      </c>
      <c r="AJ42" s="10" t="s">
        <v>218</v>
      </c>
      <c r="AK42" s="10" t="s">
        <v>218</v>
      </c>
      <c r="AL42" s="10" t="s">
        <v>218</v>
      </c>
      <c r="AM42" s="10" t="s">
        <v>218</v>
      </c>
      <c r="AN42" s="10" t="s">
        <v>218</v>
      </c>
      <c r="AO42" s="10" t="s">
        <v>218</v>
      </c>
      <c r="AP42" s="10" t="s">
        <v>218</v>
      </c>
      <c r="AQ42" s="27"/>
    </row>
    <row r="43" spans="1:43" ht="60" x14ac:dyDescent="0.25">
      <c r="A43" s="34" t="s">
        <v>55</v>
      </c>
      <c r="B43" s="34" t="s">
        <v>354</v>
      </c>
      <c r="C43" s="34" t="s">
        <v>355</v>
      </c>
      <c r="D43" s="34">
        <v>241110800</v>
      </c>
      <c r="E43" s="34">
        <v>12275008</v>
      </c>
      <c r="F43" s="74" t="s">
        <v>366</v>
      </c>
      <c r="G43" s="34" t="s">
        <v>376</v>
      </c>
      <c r="H43" s="36">
        <v>2937000000</v>
      </c>
      <c r="I43" s="39">
        <v>2937000000</v>
      </c>
      <c r="J43" s="39">
        <v>3437000000</v>
      </c>
      <c r="K43" s="39"/>
      <c r="L43" s="39"/>
      <c r="M43" s="39"/>
      <c r="N43" s="36">
        <f t="shared" si="1"/>
        <v>2937000000</v>
      </c>
      <c r="O43" s="36">
        <f t="shared" si="0"/>
        <v>2937000000</v>
      </c>
      <c r="P43" s="36">
        <f t="shared" si="0"/>
        <v>3437000000</v>
      </c>
      <c r="Q43" s="162">
        <v>2358062759</v>
      </c>
      <c r="R43" s="36"/>
      <c r="S43" s="36">
        <f t="shared" si="2"/>
        <v>2358062759</v>
      </c>
      <c r="T43" s="37" t="s">
        <v>581</v>
      </c>
      <c r="U43" s="37" t="s">
        <v>225</v>
      </c>
      <c r="V43" s="37">
        <v>2</v>
      </c>
      <c r="W43" s="10"/>
      <c r="X43" s="10"/>
      <c r="Y43" s="10">
        <v>2</v>
      </c>
      <c r="Z43" s="10"/>
      <c r="AA43" s="34">
        <v>60</v>
      </c>
      <c r="AB43" s="10">
        <v>180</v>
      </c>
      <c r="AC43" s="10">
        <v>365</v>
      </c>
      <c r="AD43" s="10"/>
      <c r="AE43" s="10">
        <v>0</v>
      </c>
      <c r="AF43" s="10">
        <v>0</v>
      </c>
      <c r="AG43" s="10">
        <v>0</v>
      </c>
      <c r="AH43" s="10" t="s">
        <v>218</v>
      </c>
      <c r="AI43" s="10">
        <v>0</v>
      </c>
      <c r="AJ43" s="10">
        <v>0</v>
      </c>
      <c r="AK43" s="10">
        <v>0</v>
      </c>
      <c r="AL43" s="10">
        <v>0</v>
      </c>
      <c r="AM43" s="10" t="s">
        <v>218</v>
      </c>
      <c r="AN43" s="10">
        <v>0</v>
      </c>
      <c r="AO43" s="10">
        <v>0</v>
      </c>
      <c r="AP43" s="10">
        <v>0</v>
      </c>
      <c r="AQ43" s="27"/>
    </row>
    <row r="44" spans="1:43" ht="60" x14ac:dyDescent="0.25">
      <c r="A44" s="34" t="s">
        <v>55</v>
      </c>
      <c r="B44" s="34" t="s">
        <v>354</v>
      </c>
      <c r="C44" s="34" t="s">
        <v>355</v>
      </c>
      <c r="D44" s="34">
        <v>241110800</v>
      </c>
      <c r="E44" s="34">
        <v>12275009</v>
      </c>
      <c r="F44" s="74" t="s">
        <v>366</v>
      </c>
      <c r="G44" s="34" t="s">
        <v>377</v>
      </c>
      <c r="H44" s="36">
        <v>10000000000</v>
      </c>
      <c r="I44" s="39">
        <v>10151491333</v>
      </c>
      <c r="J44" s="39">
        <v>16207598990</v>
      </c>
      <c r="K44" s="39"/>
      <c r="L44" s="39"/>
      <c r="M44" s="39"/>
      <c r="N44" s="36">
        <f t="shared" si="1"/>
        <v>10000000000</v>
      </c>
      <c r="O44" s="36">
        <f t="shared" si="0"/>
        <v>10151491333</v>
      </c>
      <c r="P44" s="36">
        <f t="shared" si="0"/>
        <v>16207598990</v>
      </c>
      <c r="Q44" s="162">
        <v>11080026480</v>
      </c>
      <c r="R44" s="36"/>
      <c r="S44" s="36">
        <f t="shared" si="2"/>
        <v>11080026480</v>
      </c>
      <c r="T44" s="37" t="s">
        <v>580</v>
      </c>
      <c r="U44" s="37" t="s">
        <v>225</v>
      </c>
      <c r="V44" s="37">
        <v>50203</v>
      </c>
      <c r="W44" s="10"/>
      <c r="X44" s="10"/>
      <c r="Y44" s="10">
        <v>38235</v>
      </c>
      <c r="Z44" s="10">
        <v>24576</v>
      </c>
      <c r="AA44" s="34">
        <v>365</v>
      </c>
      <c r="AB44" s="10">
        <v>180</v>
      </c>
      <c r="AC44" s="10">
        <v>365</v>
      </c>
      <c r="AD44" s="10"/>
      <c r="AE44" s="10" t="s">
        <v>218</v>
      </c>
      <c r="AF44" s="10" t="s">
        <v>218</v>
      </c>
      <c r="AG44" s="10" t="s">
        <v>218</v>
      </c>
      <c r="AH44" s="10" t="s">
        <v>218</v>
      </c>
      <c r="AI44" s="10" t="s">
        <v>218</v>
      </c>
      <c r="AJ44" s="10" t="s">
        <v>218</v>
      </c>
      <c r="AK44" s="10" t="s">
        <v>218</v>
      </c>
      <c r="AL44" s="10" t="s">
        <v>218</v>
      </c>
      <c r="AM44" s="10" t="s">
        <v>218</v>
      </c>
      <c r="AN44" s="10" t="s">
        <v>218</v>
      </c>
      <c r="AO44" s="10" t="s">
        <v>218</v>
      </c>
      <c r="AP44" s="10" t="s">
        <v>218</v>
      </c>
      <c r="AQ44" s="27"/>
    </row>
    <row r="45" spans="1:43" ht="72" x14ac:dyDescent="0.25">
      <c r="A45" s="34" t="s">
        <v>55</v>
      </c>
      <c r="B45" s="34" t="s">
        <v>354</v>
      </c>
      <c r="C45" s="34" t="s">
        <v>355</v>
      </c>
      <c r="D45" s="34">
        <v>241110800</v>
      </c>
      <c r="E45" s="34">
        <v>12275010</v>
      </c>
      <c r="F45" s="74" t="s">
        <v>366</v>
      </c>
      <c r="G45" s="34" t="s">
        <v>378</v>
      </c>
      <c r="H45" s="36">
        <v>14741594000</v>
      </c>
      <c r="I45" s="39">
        <v>15275484975</v>
      </c>
      <c r="J45" s="39">
        <v>617804243</v>
      </c>
      <c r="K45" s="39"/>
      <c r="L45" s="39"/>
      <c r="M45" s="39"/>
      <c r="N45" s="36">
        <f t="shared" si="1"/>
        <v>14741594000</v>
      </c>
      <c r="O45" s="36">
        <f t="shared" si="0"/>
        <v>15275484975</v>
      </c>
      <c r="P45" s="36">
        <f t="shared" si="0"/>
        <v>617804243</v>
      </c>
      <c r="Q45" s="162">
        <v>0</v>
      </c>
      <c r="R45" s="36"/>
      <c r="S45" s="36">
        <f t="shared" si="2"/>
        <v>0</v>
      </c>
      <c r="T45" s="37" t="s">
        <v>579</v>
      </c>
      <c r="U45" s="37" t="s">
        <v>225</v>
      </c>
      <c r="V45" s="37">
        <v>77587</v>
      </c>
      <c r="W45" s="10"/>
      <c r="X45" s="10"/>
      <c r="Y45" s="10">
        <v>18988</v>
      </c>
      <c r="Z45" s="10">
        <v>32771</v>
      </c>
      <c r="AA45" s="34">
        <v>365</v>
      </c>
      <c r="AB45" s="10">
        <v>180</v>
      </c>
      <c r="AC45" s="10">
        <v>365</v>
      </c>
      <c r="AD45" s="10"/>
      <c r="AE45" s="10" t="s">
        <v>218</v>
      </c>
      <c r="AF45" s="10" t="s">
        <v>218</v>
      </c>
      <c r="AG45" s="10" t="s">
        <v>218</v>
      </c>
      <c r="AH45" s="10" t="s">
        <v>218</v>
      </c>
      <c r="AI45" s="10" t="s">
        <v>218</v>
      </c>
      <c r="AJ45" s="10" t="s">
        <v>218</v>
      </c>
      <c r="AK45" s="10" t="s">
        <v>218</v>
      </c>
      <c r="AL45" s="10" t="s">
        <v>218</v>
      </c>
      <c r="AM45" s="10" t="s">
        <v>218</v>
      </c>
      <c r="AN45" s="10" t="s">
        <v>218</v>
      </c>
      <c r="AO45" s="10" t="s">
        <v>218</v>
      </c>
      <c r="AP45" s="10" t="s">
        <v>218</v>
      </c>
      <c r="AQ45" s="27"/>
    </row>
    <row r="46" spans="1:43" ht="60" x14ac:dyDescent="0.25">
      <c r="A46" s="34" t="s">
        <v>55</v>
      </c>
      <c r="B46" s="34" t="s">
        <v>354</v>
      </c>
      <c r="C46" s="34" t="s">
        <v>355</v>
      </c>
      <c r="D46" s="34">
        <v>241110800</v>
      </c>
      <c r="E46" s="34">
        <v>12275011</v>
      </c>
      <c r="F46" s="74" t="s">
        <v>366</v>
      </c>
      <c r="G46" s="34" t="s">
        <v>379</v>
      </c>
      <c r="H46" s="36">
        <v>2533489000</v>
      </c>
      <c r="I46" s="39">
        <v>3344161000</v>
      </c>
      <c r="J46" s="39">
        <v>1251970052</v>
      </c>
      <c r="K46" s="39"/>
      <c r="L46" s="39"/>
      <c r="M46" s="39"/>
      <c r="N46" s="36">
        <f t="shared" si="1"/>
        <v>2533489000</v>
      </c>
      <c r="O46" s="36">
        <f t="shared" si="0"/>
        <v>3344161000</v>
      </c>
      <c r="P46" s="36">
        <f t="shared" si="0"/>
        <v>1251970052</v>
      </c>
      <c r="Q46" s="162">
        <v>0</v>
      </c>
      <c r="R46" s="36"/>
      <c r="S46" s="36">
        <f t="shared" si="2"/>
        <v>0</v>
      </c>
      <c r="T46" s="37" t="s">
        <v>582</v>
      </c>
      <c r="U46" s="37" t="s">
        <v>225</v>
      </c>
      <c r="V46" s="37">
        <v>4412</v>
      </c>
      <c r="W46" s="10"/>
      <c r="X46" s="10"/>
      <c r="Y46" s="10">
        <v>2206</v>
      </c>
      <c r="Z46" s="10">
        <v>455</v>
      </c>
      <c r="AA46" s="34">
        <v>365</v>
      </c>
      <c r="AB46" s="10">
        <v>180</v>
      </c>
      <c r="AC46" s="10">
        <v>365</v>
      </c>
      <c r="AD46" s="10"/>
      <c r="AE46" s="10" t="s">
        <v>218</v>
      </c>
      <c r="AF46" s="10" t="s">
        <v>218</v>
      </c>
      <c r="AG46" s="10" t="s">
        <v>218</v>
      </c>
      <c r="AH46" s="10" t="s">
        <v>218</v>
      </c>
      <c r="AI46" s="10" t="s">
        <v>218</v>
      </c>
      <c r="AJ46" s="10" t="s">
        <v>218</v>
      </c>
      <c r="AK46" s="10" t="s">
        <v>218</v>
      </c>
      <c r="AL46" s="10" t="s">
        <v>218</v>
      </c>
      <c r="AM46" s="10" t="s">
        <v>218</v>
      </c>
      <c r="AN46" s="10" t="s">
        <v>218</v>
      </c>
      <c r="AO46" s="10" t="s">
        <v>218</v>
      </c>
      <c r="AP46" s="10" t="s">
        <v>218</v>
      </c>
      <c r="AQ46" s="27"/>
    </row>
    <row r="47" spans="1:43" ht="72" x14ac:dyDescent="0.25">
      <c r="A47" s="34" t="s">
        <v>55</v>
      </c>
      <c r="B47" s="34" t="s">
        <v>354</v>
      </c>
      <c r="C47" s="34" t="s">
        <v>355</v>
      </c>
      <c r="D47" s="34">
        <v>241110800</v>
      </c>
      <c r="E47" s="34">
        <v>12275012</v>
      </c>
      <c r="F47" s="74" t="s">
        <v>366</v>
      </c>
      <c r="G47" s="34" t="s">
        <v>380</v>
      </c>
      <c r="H47" s="36">
        <v>3000000000</v>
      </c>
      <c r="I47" s="39">
        <v>6287726722</v>
      </c>
      <c r="J47" s="39">
        <v>6653543710</v>
      </c>
      <c r="K47" s="39"/>
      <c r="L47" s="39"/>
      <c r="M47" s="39"/>
      <c r="N47" s="36">
        <f t="shared" si="1"/>
        <v>3000000000</v>
      </c>
      <c r="O47" s="36">
        <f t="shared" si="0"/>
        <v>6287726722</v>
      </c>
      <c r="P47" s="36">
        <f t="shared" si="0"/>
        <v>6653543710</v>
      </c>
      <c r="Q47" s="162">
        <v>0</v>
      </c>
      <c r="R47" s="36"/>
      <c r="S47" s="36">
        <f t="shared" si="2"/>
        <v>0</v>
      </c>
      <c r="T47" s="37" t="s">
        <v>583</v>
      </c>
      <c r="U47" s="37" t="s">
        <v>225</v>
      </c>
      <c r="V47" s="37">
        <v>1673</v>
      </c>
      <c r="W47" s="10"/>
      <c r="X47" s="10"/>
      <c r="Y47" s="10">
        <v>750</v>
      </c>
      <c r="Z47" s="10">
        <v>750</v>
      </c>
      <c r="AA47" s="34">
        <v>365</v>
      </c>
      <c r="AB47" s="10">
        <v>180</v>
      </c>
      <c r="AC47" s="10">
        <v>365</v>
      </c>
      <c r="AD47" s="10"/>
      <c r="AE47" s="10" t="s">
        <v>218</v>
      </c>
      <c r="AF47" s="10" t="s">
        <v>218</v>
      </c>
      <c r="AG47" s="10" t="s">
        <v>218</v>
      </c>
      <c r="AH47" s="10" t="s">
        <v>218</v>
      </c>
      <c r="AI47" s="10" t="s">
        <v>218</v>
      </c>
      <c r="AJ47" s="10" t="s">
        <v>218</v>
      </c>
      <c r="AK47" s="10" t="s">
        <v>218</v>
      </c>
      <c r="AL47" s="10" t="s">
        <v>218</v>
      </c>
      <c r="AM47" s="10" t="s">
        <v>218</v>
      </c>
      <c r="AN47" s="10" t="s">
        <v>218</v>
      </c>
      <c r="AO47" s="10" t="s">
        <v>218</v>
      </c>
      <c r="AP47" s="10" t="s">
        <v>218</v>
      </c>
      <c r="AQ47" s="27"/>
    </row>
    <row r="48" spans="1:43" ht="60" x14ac:dyDescent="0.25">
      <c r="A48" s="34" t="s">
        <v>55</v>
      </c>
      <c r="B48" s="34" t="s">
        <v>354</v>
      </c>
      <c r="C48" s="34" t="s">
        <v>355</v>
      </c>
      <c r="D48" s="34">
        <v>241110800</v>
      </c>
      <c r="E48" s="34">
        <v>12275014</v>
      </c>
      <c r="F48" s="74" t="s">
        <v>366</v>
      </c>
      <c r="G48" s="34" t="s">
        <v>381</v>
      </c>
      <c r="H48" s="36">
        <v>40421000000</v>
      </c>
      <c r="I48" s="39">
        <v>86746510811</v>
      </c>
      <c r="J48" s="39">
        <v>128541627605</v>
      </c>
      <c r="K48" s="39"/>
      <c r="L48" s="39"/>
      <c r="M48" s="39"/>
      <c r="N48" s="36">
        <f t="shared" si="1"/>
        <v>40421000000</v>
      </c>
      <c r="O48" s="36">
        <f t="shared" si="0"/>
        <v>86746510811</v>
      </c>
      <c r="P48" s="36">
        <f t="shared" si="0"/>
        <v>128541627605</v>
      </c>
      <c r="Q48" s="162">
        <v>103255774494</v>
      </c>
      <c r="R48" s="36"/>
      <c r="S48" s="36">
        <f t="shared" si="2"/>
        <v>103255774494</v>
      </c>
      <c r="T48" s="37" t="s">
        <v>580</v>
      </c>
      <c r="U48" s="37" t="s">
        <v>225</v>
      </c>
      <c r="V48" s="37">
        <v>50203</v>
      </c>
      <c r="W48" s="10"/>
      <c r="X48" s="10"/>
      <c r="Y48" s="10">
        <v>38235</v>
      </c>
      <c r="Z48" s="10">
        <v>24576</v>
      </c>
      <c r="AA48" s="34">
        <v>365</v>
      </c>
      <c r="AB48" s="10">
        <v>180</v>
      </c>
      <c r="AC48" s="10">
        <v>365</v>
      </c>
      <c r="AD48" s="10"/>
      <c r="AE48" s="10" t="s">
        <v>218</v>
      </c>
      <c r="AF48" s="10" t="s">
        <v>218</v>
      </c>
      <c r="AG48" s="10" t="s">
        <v>218</v>
      </c>
      <c r="AH48" s="10" t="s">
        <v>218</v>
      </c>
      <c r="AI48" s="10" t="s">
        <v>218</v>
      </c>
      <c r="AJ48" s="10" t="s">
        <v>218</v>
      </c>
      <c r="AK48" s="10" t="s">
        <v>218</v>
      </c>
      <c r="AL48" s="10" t="s">
        <v>218</v>
      </c>
      <c r="AM48" s="10" t="s">
        <v>218</v>
      </c>
      <c r="AN48" s="10" t="s">
        <v>218</v>
      </c>
      <c r="AO48" s="10" t="s">
        <v>218</v>
      </c>
      <c r="AP48" s="10" t="s">
        <v>218</v>
      </c>
      <c r="AQ48" s="27"/>
    </row>
    <row r="49" spans="1:43" ht="60" x14ac:dyDescent="0.25">
      <c r="A49" s="34" t="s">
        <v>55</v>
      </c>
      <c r="B49" s="34" t="s">
        <v>354</v>
      </c>
      <c r="C49" s="34" t="s">
        <v>355</v>
      </c>
      <c r="D49" s="34">
        <v>241110800</v>
      </c>
      <c r="E49" s="34">
        <v>12275015</v>
      </c>
      <c r="F49" s="74" t="s">
        <v>366</v>
      </c>
      <c r="G49" s="34" t="s">
        <v>382</v>
      </c>
      <c r="H49" s="36">
        <v>2066100000</v>
      </c>
      <c r="I49" s="39">
        <v>3559248843</v>
      </c>
      <c r="J49" s="39">
        <v>1097594701</v>
      </c>
      <c r="K49" s="39"/>
      <c r="L49" s="39"/>
      <c r="M49" s="39"/>
      <c r="N49" s="36">
        <f t="shared" si="1"/>
        <v>2066100000</v>
      </c>
      <c r="O49" s="36">
        <f t="shared" si="0"/>
        <v>3559248843</v>
      </c>
      <c r="P49" s="36">
        <f t="shared" si="0"/>
        <v>1097594701</v>
      </c>
      <c r="Q49" s="162">
        <v>1097594701</v>
      </c>
      <c r="R49" s="36"/>
      <c r="S49" s="36">
        <f t="shared" si="2"/>
        <v>1097594701</v>
      </c>
      <c r="T49" s="37" t="s">
        <v>580</v>
      </c>
      <c r="U49" s="37" t="s">
        <v>225</v>
      </c>
      <c r="V49" s="37">
        <v>50203</v>
      </c>
      <c r="W49" s="10"/>
      <c r="X49" s="10"/>
      <c r="Y49" s="10">
        <v>38235</v>
      </c>
      <c r="Z49" s="10">
        <v>24576</v>
      </c>
      <c r="AA49" s="34">
        <v>365</v>
      </c>
      <c r="AB49" s="10">
        <v>180</v>
      </c>
      <c r="AC49" s="10">
        <v>365</v>
      </c>
      <c r="AD49" s="10"/>
      <c r="AE49" s="10" t="s">
        <v>218</v>
      </c>
      <c r="AF49" s="10" t="s">
        <v>218</v>
      </c>
      <c r="AG49" s="10" t="s">
        <v>218</v>
      </c>
      <c r="AH49" s="10" t="s">
        <v>218</v>
      </c>
      <c r="AI49" s="10" t="s">
        <v>218</v>
      </c>
      <c r="AJ49" s="10" t="s">
        <v>218</v>
      </c>
      <c r="AK49" s="10" t="s">
        <v>218</v>
      </c>
      <c r="AL49" s="10" t="s">
        <v>218</v>
      </c>
      <c r="AM49" s="10" t="s">
        <v>218</v>
      </c>
      <c r="AN49" s="10" t="s">
        <v>218</v>
      </c>
      <c r="AO49" s="10" t="s">
        <v>218</v>
      </c>
      <c r="AP49" s="10" t="s">
        <v>218</v>
      </c>
      <c r="AQ49" s="27"/>
    </row>
    <row r="50" spans="1:43" ht="60" x14ac:dyDescent="0.25">
      <c r="A50" s="34" t="s">
        <v>55</v>
      </c>
      <c r="B50" s="34" t="s">
        <v>354</v>
      </c>
      <c r="C50" s="34" t="s">
        <v>355</v>
      </c>
      <c r="D50" s="34">
        <v>241110800</v>
      </c>
      <c r="E50" s="34">
        <v>12275016</v>
      </c>
      <c r="F50" s="74" t="s">
        <v>366</v>
      </c>
      <c r="G50" s="34" t="s">
        <v>383</v>
      </c>
      <c r="H50" s="36">
        <v>4820900000</v>
      </c>
      <c r="I50" s="39">
        <v>5204243204</v>
      </c>
      <c r="J50" s="39">
        <v>0</v>
      </c>
      <c r="K50" s="39"/>
      <c r="L50" s="39"/>
      <c r="M50" s="39"/>
      <c r="N50" s="36">
        <f t="shared" si="1"/>
        <v>4820900000</v>
      </c>
      <c r="O50" s="36">
        <f t="shared" si="0"/>
        <v>5204243204</v>
      </c>
      <c r="P50" s="36">
        <f t="shared" si="0"/>
        <v>0</v>
      </c>
      <c r="Q50" s="162">
        <v>0</v>
      </c>
      <c r="R50" s="36"/>
      <c r="S50" s="36">
        <f t="shared" si="2"/>
        <v>0</v>
      </c>
      <c r="T50" s="37" t="s">
        <v>580</v>
      </c>
      <c r="U50" s="37" t="s">
        <v>225</v>
      </c>
      <c r="V50" s="37">
        <v>50203</v>
      </c>
      <c r="W50" s="10"/>
      <c r="X50" s="10"/>
      <c r="Y50" s="10">
        <v>38235</v>
      </c>
      <c r="Z50" s="10">
        <v>24576</v>
      </c>
      <c r="AA50" s="34">
        <v>365</v>
      </c>
      <c r="AB50" s="10">
        <v>180</v>
      </c>
      <c r="AC50" s="10">
        <v>365</v>
      </c>
      <c r="AD50" s="10"/>
      <c r="AE50" s="10" t="s">
        <v>218</v>
      </c>
      <c r="AF50" s="10" t="s">
        <v>218</v>
      </c>
      <c r="AG50" s="10" t="s">
        <v>218</v>
      </c>
      <c r="AH50" s="10" t="s">
        <v>218</v>
      </c>
      <c r="AI50" s="10" t="s">
        <v>218</v>
      </c>
      <c r="AJ50" s="10" t="s">
        <v>218</v>
      </c>
      <c r="AK50" s="10" t="s">
        <v>218</v>
      </c>
      <c r="AL50" s="10" t="s">
        <v>218</v>
      </c>
      <c r="AM50" s="10" t="s">
        <v>218</v>
      </c>
      <c r="AN50" s="10" t="s">
        <v>218</v>
      </c>
      <c r="AO50" s="10" t="s">
        <v>218</v>
      </c>
      <c r="AP50" s="10" t="s">
        <v>218</v>
      </c>
      <c r="AQ50" s="27"/>
    </row>
    <row r="51" spans="1:43" ht="60" x14ac:dyDescent="0.25">
      <c r="A51" s="34" t="s">
        <v>55</v>
      </c>
      <c r="B51" s="34" t="s">
        <v>354</v>
      </c>
      <c r="C51" s="34" t="s">
        <v>355</v>
      </c>
      <c r="D51" s="34">
        <v>241110800</v>
      </c>
      <c r="E51" s="34">
        <v>12275017</v>
      </c>
      <c r="F51" s="74" t="s">
        <v>366</v>
      </c>
      <c r="G51" s="34" t="s">
        <v>384</v>
      </c>
      <c r="H51" s="36"/>
      <c r="I51" s="39">
        <v>730887447</v>
      </c>
      <c r="J51" s="39">
        <v>730887447</v>
      </c>
      <c r="K51" s="39"/>
      <c r="L51" s="39"/>
      <c r="M51" s="39"/>
      <c r="N51" s="36"/>
      <c r="O51" s="36">
        <f t="shared" si="0"/>
        <v>730887447</v>
      </c>
      <c r="P51" s="36"/>
      <c r="Q51" s="162">
        <v>0</v>
      </c>
      <c r="R51" s="36"/>
      <c r="S51" s="36">
        <f t="shared" si="2"/>
        <v>0</v>
      </c>
      <c r="T51" s="37" t="s">
        <v>580</v>
      </c>
      <c r="U51" s="37" t="s">
        <v>225</v>
      </c>
      <c r="V51" s="37">
        <v>50203</v>
      </c>
      <c r="W51" s="10"/>
      <c r="X51" s="10"/>
      <c r="Y51" s="10">
        <v>38235</v>
      </c>
      <c r="Z51" s="10">
        <v>24576</v>
      </c>
      <c r="AA51" s="34">
        <v>365</v>
      </c>
      <c r="AB51" s="10">
        <v>180</v>
      </c>
      <c r="AC51" s="10">
        <v>365</v>
      </c>
      <c r="AD51" s="10"/>
      <c r="AE51" s="10" t="s">
        <v>218</v>
      </c>
      <c r="AF51" s="10" t="s">
        <v>218</v>
      </c>
      <c r="AG51" s="10" t="s">
        <v>218</v>
      </c>
      <c r="AH51" s="10" t="s">
        <v>218</v>
      </c>
      <c r="AI51" s="10" t="s">
        <v>218</v>
      </c>
      <c r="AJ51" s="10" t="s">
        <v>218</v>
      </c>
      <c r="AK51" s="10" t="s">
        <v>218</v>
      </c>
      <c r="AL51" s="10" t="s">
        <v>218</v>
      </c>
      <c r="AM51" s="10" t="s">
        <v>218</v>
      </c>
      <c r="AN51" s="10" t="s">
        <v>218</v>
      </c>
      <c r="AO51" s="10" t="s">
        <v>218</v>
      </c>
      <c r="AP51" s="10" t="s">
        <v>218</v>
      </c>
      <c r="AQ51" s="27"/>
    </row>
    <row r="52" spans="1:43" ht="60" x14ac:dyDescent="0.25">
      <c r="A52" s="34" t="s">
        <v>55</v>
      </c>
      <c r="B52" s="34" t="s">
        <v>354</v>
      </c>
      <c r="C52" s="34" t="s">
        <v>355</v>
      </c>
      <c r="D52" s="34">
        <v>241110800</v>
      </c>
      <c r="E52" s="34">
        <v>12275018</v>
      </c>
      <c r="F52" s="74" t="s">
        <v>366</v>
      </c>
      <c r="G52" s="34" t="s">
        <v>584</v>
      </c>
      <c r="H52" s="36"/>
      <c r="I52" s="39">
        <v>738779604</v>
      </c>
      <c r="J52" s="39">
        <v>738779604</v>
      </c>
      <c r="K52" s="39"/>
      <c r="L52" s="39"/>
      <c r="M52" s="39"/>
      <c r="N52" s="36"/>
      <c r="O52" s="36">
        <f t="shared" si="0"/>
        <v>738779604</v>
      </c>
      <c r="P52" s="36"/>
      <c r="Q52" s="162">
        <v>568000000</v>
      </c>
      <c r="R52" s="36"/>
      <c r="S52" s="36"/>
      <c r="T52" s="37" t="s">
        <v>580</v>
      </c>
      <c r="U52" s="37" t="s">
        <v>225</v>
      </c>
      <c r="V52" s="37">
        <v>50203</v>
      </c>
      <c r="W52" s="10"/>
      <c r="X52" s="10"/>
      <c r="Y52" s="10">
        <v>38235</v>
      </c>
      <c r="Z52" s="10">
        <v>24576</v>
      </c>
      <c r="AA52" s="34">
        <v>365</v>
      </c>
      <c r="AB52" s="10">
        <v>180</v>
      </c>
      <c r="AC52" s="10">
        <v>365</v>
      </c>
      <c r="AD52" s="10"/>
      <c r="AE52" s="10" t="s">
        <v>218</v>
      </c>
      <c r="AF52" s="10" t="s">
        <v>218</v>
      </c>
      <c r="AG52" s="10" t="s">
        <v>218</v>
      </c>
      <c r="AH52" s="10" t="s">
        <v>218</v>
      </c>
      <c r="AI52" s="10" t="s">
        <v>218</v>
      </c>
      <c r="AJ52" s="10" t="s">
        <v>218</v>
      </c>
      <c r="AK52" s="10" t="s">
        <v>218</v>
      </c>
      <c r="AL52" s="10" t="s">
        <v>218</v>
      </c>
      <c r="AM52" s="10" t="s">
        <v>218</v>
      </c>
      <c r="AN52" s="10" t="s">
        <v>218</v>
      </c>
      <c r="AO52" s="10" t="s">
        <v>218</v>
      </c>
      <c r="AP52" s="10" t="s">
        <v>218</v>
      </c>
      <c r="AQ52" s="27"/>
    </row>
    <row r="53" spans="1:43" ht="60" x14ac:dyDescent="0.25">
      <c r="A53" s="34" t="s">
        <v>55</v>
      </c>
      <c r="B53" s="34" t="s">
        <v>354</v>
      </c>
      <c r="C53" s="34" t="s">
        <v>355</v>
      </c>
      <c r="D53" s="34">
        <v>241110900</v>
      </c>
      <c r="E53" s="34">
        <v>12275013</v>
      </c>
      <c r="F53" s="74" t="s">
        <v>366</v>
      </c>
      <c r="G53" s="34" t="s">
        <v>385</v>
      </c>
      <c r="H53" s="36">
        <v>1500000000</v>
      </c>
      <c r="I53" s="39">
        <v>1822243619</v>
      </c>
      <c r="J53" s="39">
        <v>2081036579</v>
      </c>
      <c r="K53" s="39"/>
      <c r="L53" s="39"/>
      <c r="M53" s="39"/>
      <c r="N53" s="36">
        <f t="shared" si="1"/>
        <v>1500000000</v>
      </c>
      <c r="O53" s="36">
        <f t="shared" si="0"/>
        <v>1822243619</v>
      </c>
      <c r="P53" s="36">
        <f t="shared" si="0"/>
        <v>2081036579</v>
      </c>
      <c r="Q53" s="162">
        <v>1888526779</v>
      </c>
      <c r="R53" s="36"/>
      <c r="S53" s="36">
        <f t="shared" si="2"/>
        <v>1888526779</v>
      </c>
      <c r="T53" s="37" t="s">
        <v>585</v>
      </c>
      <c r="U53" s="37" t="s">
        <v>225</v>
      </c>
      <c r="V53" s="37">
        <v>45</v>
      </c>
      <c r="W53" s="10"/>
      <c r="X53" s="10"/>
      <c r="Y53" s="10">
        <v>45</v>
      </c>
      <c r="Z53" s="10">
        <v>45</v>
      </c>
      <c r="AA53" s="34">
        <v>365</v>
      </c>
      <c r="AB53" s="10">
        <v>180</v>
      </c>
      <c r="AC53" s="10">
        <v>365</v>
      </c>
      <c r="AD53" s="10"/>
      <c r="AE53" s="10" t="s">
        <v>218</v>
      </c>
      <c r="AF53" s="10" t="s">
        <v>218</v>
      </c>
      <c r="AG53" s="10" t="s">
        <v>218</v>
      </c>
      <c r="AH53" s="10" t="s">
        <v>218</v>
      </c>
      <c r="AI53" s="10" t="s">
        <v>218</v>
      </c>
      <c r="AJ53" s="10" t="s">
        <v>218</v>
      </c>
      <c r="AK53" s="10" t="s">
        <v>218</v>
      </c>
      <c r="AL53" s="10" t="s">
        <v>218</v>
      </c>
      <c r="AM53" s="10" t="s">
        <v>218</v>
      </c>
      <c r="AN53" s="10" t="s">
        <v>218</v>
      </c>
      <c r="AO53" s="10" t="s">
        <v>218</v>
      </c>
      <c r="AP53" s="10" t="s">
        <v>218</v>
      </c>
      <c r="AQ53" s="27"/>
    </row>
    <row r="54" spans="1:43" ht="60" x14ac:dyDescent="0.25">
      <c r="A54" s="34" t="s">
        <v>55</v>
      </c>
      <c r="B54" s="34" t="s">
        <v>354</v>
      </c>
      <c r="C54" s="34" t="s">
        <v>355</v>
      </c>
      <c r="D54" s="34">
        <v>241110900</v>
      </c>
      <c r="E54" s="34">
        <v>12275019</v>
      </c>
      <c r="F54" s="74" t="s">
        <v>366</v>
      </c>
      <c r="G54" s="34" t="s">
        <v>586</v>
      </c>
      <c r="H54" s="36"/>
      <c r="I54" s="39"/>
      <c r="J54" s="39">
        <v>100000000</v>
      </c>
      <c r="K54" s="39"/>
      <c r="L54" s="39"/>
      <c r="M54" s="39"/>
      <c r="N54" s="36">
        <f t="shared" si="1"/>
        <v>0</v>
      </c>
      <c r="O54" s="36" t="s">
        <v>587</v>
      </c>
      <c r="P54" s="36">
        <f t="shared" si="0"/>
        <v>100000000</v>
      </c>
      <c r="Q54" s="162">
        <v>5229100</v>
      </c>
      <c r="R54" s="36"/>
      <c r="S54" s="36">
        <f t="shared" si="2"/>
        <v>5229100</v>
      </c>
      <c r="T54" s="37"/>
      <c r="U54" s="37"/>
      <c r="V54" s="37"/>
      <c r="W54" s="10"/>
      <c r="X54" s="10"/>
      <c r="Y54" s="10"/>
      <c r="Z54" s="10"/>
      <c r="AA54" s="34">
        <v>365</v>
      </c>
      <c r="AB54" s="10">
        <v>180</v>
      </c>
      <c r="AC54" s="10">
        <v>365</v>
      </c>
      <c r="AD54" s="10"/>
      <c r="AE54" s="10"/>
      <c r="AF54" s="10"/>
      <c r="AG54" s="10"/>
      <c r="AH54" s="10"/>
      <c r="AI54" s="10"/>
      <c r="AJ54" s="10"/>
      <c r="AK54" s="10"/>
      <c r="AL54" s="10"/>
      <c r="AM54" s="10"/>
      <c r="AN54" s="10"/>
      <c r="AO54" s="10"/>
      <c r="AP54" s="10"/>
      <c r="AQ54" s="27"/>
    </row>
    <row r="55" spans="1:43" ht="60" x14ac:dyDescent="0.25">
      <c r="A55" s="34" t="s">
        <v>55</v>
      </c>
      <c r="B55" s="34" t="s">
        <v>354</v>
      </c>
      <c r="C55" s="34" t="s">
        <v>355</v>
      </c>
      <c r="D55" s="34">
        <v>241110900</v>
      </c>
      <c r="E55" s="34">
        <v>12275090</v>
      </c>
      <c r="F55" s="74" t="s">
        <v>366</v>
      </c>
      <c r="G55" s="34" t="s">
        <v>386</v>
      </c>
      <c r="H55" s="36">
        <v>1463480000</v>
      </c>
      <c r="I55" s="39">
        <v>1463480000</v>
      </c>
      <c r="J55" s="39">
        <v>1463480000</v>
      </c>
      <c r="K55" s="39"/>
      <c r="L55" s="39"/>
      <c r="M55" s="39"/>
      <c r="N55" s="36">
        <f t="shared" si="1"/>
        <v>1463480000</v>
      </c>
      <c r="O55" s="36">
        <f t="shared" si="0"/>
        <v>1463480000</v>
      </c>
      <c r="P55" s="36">
        <f t="shared" si="0"/>
        <v>1463480000</v>
      </c>
      <c r="Q55" s="162">
        <v>654949673</v>
      </c>
      <c r="R55" s="36"/>
      <c r="S55" s="36">
        <f t="shared" si="2"/>
        <v>654949673</v>
      </c>
      <c r="T55" s="37" t="s">
        <v>588</v>
      </c>
      <c r="U55" s="37" t="s">
        <v>589</v>
      </c>
      <c r="V55" s="37">
        <v>9500</v>
      </c>
      <c r="W55" s="10"/>
      <c r="X55" s="10"/>
      <c r="Y55" s="10">
        <v>4700</v>
      </c>
      <c r="Z55" s="10">
        <v>2821</v>
      </c>
      <c r="AA55" s="34">
        <v>261</v>
      </c>
      <c r="AB55" s="10">
        <v>140</v>
      </c>
      <c r="AC55" s="10">
        <v>365</v>
      </c>
      <c r="AD55" s="10" t="s">
        <v>589</v>
      </c>
      <c r="AE55" s="10" t="s">
        <v>218</v>
      </c>
      <c r="AF55" s="10" t="s">
        <v>218</v>
      </c>
      <c r="AG55" s="10" t="s">
        <v>218</v>
      </c>
      <c r="AH55" s="10" t="s">
        <v>218</v>
      </c>
      <c r="AI55" s="10" t="s">
        <v>218</v>
      </c>
      <c r="AJ55" s="10" t="s">
        <v>218</v>
      </c>
      <c r="AK55" s="10" t="s">
        <v>218</v>
      </c>
      <c r="AL55" s="10" t="s">
        <v>218</v>
      </c>
      <c r="AM55" s="10" t="s">
        <v>218</v>
      </c>
      <c r="AN55" s="10" t="s">
        <v>218</v>
      </c>
      <c r="AO55" s="10" t="s">
        <v>218</v>
      </c>
      <c r="AP55" s="10" t="s">
        <v>218</v>
      </c>
      <c r="AQ55" s="27"/>
    </row>
    <row r="56" spans="1:43" ht="60" x14ac:dyDescent="0.25">
      <c r="A56" s="34" t="s">
        <v>55</v>
      </c>
      <c r="B56" s="34" t="s">
        <v>354</v>
      </c>
      <c r="C56" s="34" t="s">
        <v>355</v>
      </c>
      <c r="D56" s="34">
        <v>241110900</v>
      </c>
      <c r="E56" s="34">
        <v>12275091</v>
      </c>
      <c r="F56" s="74" t="s">
        <v>366</v>
      </c>
      <c r="G56" s="34" t="s">
        <v>387</v>
      </c>
      <c r="H56" s="36">
        <v>4049555000</v>
      </c>
      <c r="I56" s="39">
        <v>4049555000</v>
      </c>
      <c r="J56" s="39">
        <v>4113250000</v>
      </c>
      <c r="K56" s="39"/>
      <c r="L56" s="39"/>
      <c r="M56" s="39"/>
      <c r="N56" s="36">
        <f t="shared" si="1"/>
        <v>4049555000</v>
      </c>
      <c r="O56" s="36">
        <f t="shared" si="0"/>
        <v>4049555000</v>
      </c>
      <c r="P56" s="36">
        <f t="shared" si="0"/>
        <v>4113250000</v>
      </c>
      <c r="Q56" s="162">
        <v>2673044636</v>
      </c>
      <c r="R56" s="36"/>
      <c r="S56" s="36">
        <f t="shared" si="2"/>
        <v>2673044636</v>
      </c>
      <c r="T56" s="37" t="s">
        <v>590</v>
      </c>
      <c r="U56" s="37" t="s">
        <v>589</v>
      </c>
      <c r="V56" s="37" t="s">
        <v>589</v>
      </c>
      <c r="W56" s="10"/>
      <c r="X56" s="10"/>
      <c r="Y56" s="10"/>
      <c r="Z56" s="10"/>
      <c r="AA56" s="34">
        <v>261</v>
      </c>
      <c r="AB56" s="10">
        <v>140</v>
      </c>
      <c r="AC56" s="10">
        <v>240</v>
      </c>
      <c r="AD56" s="10"/>
      <c r="AE56" s="10" t="s">
        <v>218</v>
      </c>
      <c r="AF56" s="10" t="s">
        <v>218</v>
      </c>
      <c r="AG56" s="10" t="s">
        <v>218</v>
      </c>
      <c r="AH56" s="10" t="s">
        <v>218</v>
      </c>
      <c r="AI56" s="10" t="s">
        <v>218</v>
      </c>
      <c r="AJ56" s="10" t="s">
        <v>218</v>
      </c>
      <c r="AK56" s="10" t="s">
        <v>218</v>
      </c>
      <c r="AL56" s="10" t="s">
        <v>218</v>
      </c>
      <c r="AM56" s="10" t="s">
        <v>218</v>
      </c>
      <c r="AN56" s="10" t="s">
        <v>218</v>
      </c>
      <c r="AO56" s="10" t="s">
        <v>218</v>
      </c>
      <c r="AP56" s="10" t="s">
        <v>218</v>
      </c>
      <c r="AQ56" s="27"/>
    </row>
    <row r="57" spans="1:43" ht="60" x14ac:dyDescent="0.25">
      <c r="A57" s="34" t="s">
        <v>55</v>
      </c>
      <c r="B57" s="34" t="s">
        <v>354</v>
      </c>
      <c r="C57" s="34" t="s">
        <v>355</v>
      </c>
      <c r="D57" s="34">
        <v>241110900</v>
      </c>
      <c r="E57" s="34">
        <v>12275092</v>
      </c>
      <c r="F57" s="74" t="s">
        <v>366</v>
      </c>
      <c r="G57" s="34" t="s">
        <v>388</v>
      </c>
      <c r="H57" s="36">
        <v>377395000</v>
      </c>
      <c r="I57" s="39">
        <v>492123000</v>
      </c>
      <c r="J57" s="39">
        <v>568030000</v>
      </c>
      <c r="K57" s="39"/>
      <c r="L57" s="39"/>
      <c r="M57" s="39"/>
      <c r="N57" s="36">
        <f t="shared" si="1"/>
        <v>377395000</v>
      </c>
      <c r="O57" s="36">
        <f t="shared" si="0"/>
        <v>492123000</v>
      </c>
      <c r="P57" s="36">
        <f t="shared" si="0"/>
        <v>568030000</v>
      </c>
      <c r="Q57" s="162">
        <v>271294598</v>
      </c>
      <c r="R57" s="36"/>
      <c r="S57" s="36">
        <f t="shared" si="2"/>
        <v>271294598</v>
      </c>
      <c r="T57" s="37" t="s">
        <v>591</v>
      </c>
      <c r="U57" s="37" t="s">
        <v>589</v>
      </c>
      <c r="V57" s="37" t="s">
        <v>589</v>
      </c>
      <c r="W57" s="10"/>
      <c r="X57" s="10"/>
      <c r="Y57" s="10"/>
      <c r="Z57" s="10"/>
      <c r="AA57" s="34">
        <v>365</v>
      </c>
      <c r="AB57" s="10">
        <v>180</v>
      </c>
      <c r="AC57" s="10">
        <v>360</v>
      </c>
      <c r="AD57" s="10"/>
      <c r="AE57" s="10" t="s">
        <v>218</v>
      </c>
      <c r="AF57" s="10" t="s">
        <v>218</v>
      </c>
      <c r="AG57" s="10" t="s">
        <v>218</v>
      </c>
      <c r="AH57" s="10" t="s">
        <v>218</v>
      </c>
      <c r="AI57" s="10" t="s">
        <v>218</v>
      </c>
      <c r="AJ57" s="10" t="s">
        <v>218</v>
      </c>
      <c r="AK57" s="10" t="s">
        <v>218</v>
      </c>
      <c r="AL57" s="10" t="s">
        <v>218</v>
      </c>
      <c r="AM57" s="10" t="s">
        <v>218</v>
      </c>
      <c r="AN57" s="10" t="s">
        <v>218</v>
      </c>
      <c r="AO57" s="10" t="s">
        <v>218</v>
      </c>
      <c r="AP57" s="10" t="s">
        <v>218</v>
      </c>
      <c r="AQ57" s="27"/>
    </row>
    <row r="58" spans="1:43" ht="60" x14ac:dyDescent="0.25">
      <c r="A58" s="34" t="s">
        <v>55</v>
      </c>
      <c r="B58" s="34" t="s">
        <v>354</v>
      </c>
      <c r="C58" s="34" t="s">
        <v>355</v>
      </c>
      <c r="D58" s="34">
        <v>241110900</v>
      </c>
      <c r="E58" s="34">
        <v>12279001</v>
      </c>
      <c r="F58" s="74" t="s">
        <v>389</v>
      </c>
      <c r="G58" s="34" t="s">
        <v>390</v>
      </c>
      <c r="H58" s="36">
        <v>10000000000</v>
      </c>
      <c r="I58" s="39">
        <v>10000000000</v>
      </c>
      <c r="J58" s="39">
        <v>10000000000</v>
      </c>
      <c r="K58" s="39"/>
      <c r="L58" s="39"/>
      <c r="M58" s="39"/>
      <c r="N58" s="36">
        <f t="shared" si="1"/>
        <v>10000000000</v>
      </c>
      <c r="O58" s="36">
        <f t="shared" si="0"/>
        <v>10000000000</v>
      </c>
      <c r="P58" s="36">
        <f t="shared" si="0"/>
        <v>10000000000</v>
      </c>
      <c r="Q58" s="162">
        <v>10000000000</v>
      </c>
      <c r="R58" s="36"/>
      <c r="S58" s="36">
        <f t="shared" si="2"/>
        <v>10000000000</v>
      </c>
      <c r="T58" s="37" t="s">
        <v>592</v>
      </c>
      <c r="U58" s="37" t="s">
        <v>225</v>
      </c>
      <c r="V58" s="37">
        <v>1</v>
      </c>
      <c r="W58" s="10"/>
      <c r="X58" s="10"/>
      <c r="Y58" s="10">
        <v>1</v>
      </c>
      <c r="Z58" s="10">
        <v>1</v>
      </c>
      <c r="AA58" s="34">
        <v>365</v>
      </c>
      <c r="AB58" s="10">
        <v>180</v>
      </c>
      <c r="AC58" s="10">
        <v>360</v>
      </c>
      <c r="AD58" s="10"/>
      <c r="AE58" s="10" t="s">
        <v>218</v>
      </c>
      <c r="AF58" s="10" t="s">
        <v>218</v>
      </c>
      <c r="AG58" s="10" t="s">
        <v>218</v>
      </c>
      <c r="AH58" s="10" t="s">
        <v>218</v>
      </c>
      <c r="AI58" s="10" t="s">
        <v>218</v>
      </c>
      <c r="AJ58" s="10" t="s">
        <v>218</v>
      </c>
      <c r="AK58" s="10" t="s">
        <v>218</v>
      </c>
      <c r="AL58" s="10" t="s">
        <v>218</v>
      </c>
      <c r="AM58" s="10" t="s">
        <v>218</v>
      </c>
      <c r="AN58" s="10" t="s">
        <v>218</v>
      </c>
      <c r="AO58" s="10" t="s">
        <v>218</v>
      </c>
      <c r="AP58" s="10" t="s">
        <v>218</v>
      </c>
      <c r="AQ58" s="27"/>
    </row>
    <row r="59" spans="1:43" s="27" customFormat="1" ht="84" x14ac:dyDescent="0.25">
      <c r="A59" s="34" t="s">
        <v>55</v>
      </c>
      <c r="B59" s="34" t="s">
        <v>354</v>
      </c>
      <c r="C59" s="34" t="s">
        <v>355</v>
      </c>
      <c r="D59" s="34">
        <v>241110900</v>
      </c>
      <c r="E59" s="34">
        <v>12300001</v>
      </c>
      <c r="F59" s="74" t="s">
        <v>391</v>
      </c>
      <c r="G59" s="34" t="s">
        <v>392</v>
      </c>
      <c r="H59" s="36">
        <v>600000000</v>
      </c>
      <c r="I59" s="39">
        <v>600000000</v>
      </c>
      <c r="J59" s="39">
        <v>600000000</v>
      </c>
      <c r="K59" s="39"/>
      <c r="L59" s="39"/>
      <c r="M59" s="39"/>
      <c r="N59" s="36">
        <f t="shared" si="1"/>
        <v>600000000</v>
      </c>
      <c r="O59" s="36">
        <f t="shared" si="0"/>
        <v>600000000</v>
      </c>
      <c r="P59" s="36">
        <f t="shared" si="0"/>
        <v>600000000</v>
      </c>
      <c r="Q59" s="162">
        <v>534770902</v>
      </c>
      <c r="R59" s="36"/>
      <c r="S59" s="36">
        <f t="shared" si="2"/>
        <v>534770902</v>
      </c>
      <c r="T59" s="37" t="s">
        <v>593</v>
      </c>
      <c r="U59" s="37" t="s">
        <v>225</v>
      </c>
      <c r="V59" s="160">
        <v>30</v>
      </c>
      <c r="W59" s="10"/>
      <c r="X59" s="10"/>
      <c r="Y59" s="10">
        <v>0</v>
      </c>
      <c r="Z59" s="10">
        <v>20</v>
      </c>
      <c r="AA59" s="34">
        <v>275</v>
      </c>
      <c r="AB59" s="10" t="s">
        <v>594</v>
      </c>
      <c r="AC59" s="10">
        <v>275</v>
      </c>
      <c r="AD59" s="10"/>
      <c r="AE59" s="10">
        <v>0</v>
      </c>
      <c r="AF59" s="10">
        <v>0</v>
      </c>
      <c r="AG59" s="10">
        <v>0</v>
      </c>
      <c r="AH59" s="10" t="s">
        <v>218</v>
      </c>
      <c r="AI59" s="10" t="s">
        <v>218</v>
      </c>
      <c r="AJ59" s="10" t="s">
        <v>218</v>
      </c>
      <c r="AK59" s="10" t="s">
        <v>218</v>
      </c>
      <c r="AL59" s="10" t="s">
        <v>218</v>
      </c>
      <c r="AM59" s="10" t="s">
        <v>218</v>
      </c>
      <c r="AN59" s="10" t="s">
        <v>218</v>
      </c>
      <c r="AO59" s="10" t="s">
        <v>218</v>
      </c>
      <c r="AP59" s="10" t="s">
        <v>218</v>
      </c>
    </row>
    <row r="60" spans="1:43" s="27" customFormat="1" ht="90" x14ac:dyDescent="0.25">
      <c r="A60" s="34" t="s">
        <v>55</v>
      </c>
      <c r="B60" s="34" t="s">
        <v>354</v>
      </c>
      <c r="C60" s="34" t="s">
        <v>355</v>
      </c>
      <c r="D60" s="34">
        <v>241110600</v>
      </c>
      <c r="E60" s="34">
        <v>12301003</v>
      </c>
      <c r="F60" s="74" t="s">
        <v>395</v>
      </c>
      <c r="G60" s="34" t="s">
        <v>396</v>
      </c>
      <c r="H60" s="36">
        <v>81262000</v>
      </c>
      <c r="I60" s="39">
        <v>538506438</v>
      </c>
      <c r="J60" s="39">
        <v>538506438</v>
      </c>
      <c r="K60" s="39"/>
      <c r="L60" s="39"/>
      <c r="M60" s="39"/>
      <c r="N60" s="36">
        <f t="shared" si="1"/>
        <v>81262000</v>
      </c>
      <c r="O60" s="36">
        <f t="shared" si="0"/>
        <v>538506438</v>
      </c>
      <c r="P60" s="36">
        <f t="shared" si="0"/>
        <v>538506438</v>
      </c>
      <c r="Q60" s="162">
        <v>233787160</v>
      </c>
      <c r="R60" s="36"/>
      <c r="S60" s="36">
        <f t="shared" si="2"/>
        <v>233787160</v>
      </c>
      <c r="T60" s="37" t="s">
        <v>595</v>
      </c>
      <c r="U60" s="37" t="s">
        <v>225</v>
      </c>
      <c r="V60" s="37">
        <v>12</v>
      </c>
      <c r="W60" s="10"/>
      <c r="X60" s="10"/>
      <c r="Y60" s="10"/>
      <c r="Z60" s="10"/>
      <c r="AA60" s="34"/>
      <c r="AB60" s="10"/>
      <c r="AC60" s="10"/>
      <c r="AD60" s="10" t="s">
        <v>596</v>
      </c>
      <c r="AE60" s="10">
        <v>0</v>
      </c>
      <c r="AF60" s="10">
        <v>0</v>
      </c>
      <c r="AG60" s="10"/>
      <c r="AH60" s="10"/>
      <c r="AI60" s="10"/>
      <c r="AJ60" s="10"/>
      <c r="AK60" s="10"/>
      <c r="AL60" s="10"/>
      <c r="AM60" s="10"/>
      <c r="AN60" s="10"/>
      <c r="AO60" s="10"/>
      <c r="AP60" s="10">
        <v>0</v>
      </c>
    </row>
    <row r="61" spans="1:43" s="27" customFormat="1" ht="90" x14ac:dyDescent="0.25">
      <c r="A61" s="34" t="s">
        <v>55</v>
      </c>
      <c r="B61" s="34" t="s">
        <v>354</v>
      </c>
      <c r="C61" s="34" t="s">
        <v>355</v>
      </c>
      <c r="D61" s="34">
        <v>241110600</v>
      </c>
      <c r="E61" s="34">
        <v>12301090</v>
      </c>
      <c r="F61" s="74" t="s">
        <v>395</v>
      </c>
      <c r="G61" s="34" t="s">
        <v>397</v>
      </c>
      <c r="H61" s="36">
        <v>72922000</v>
      </c>
      <c r="I61" s="39">
        <v>72922000</v>
      </c>
      <c r="J61" s="39">
        <v>82922000</v>
      </c>
      <c r="K61" s="39"/>
      <c r="L61" s="39"/>
      <c r="M61" s="39"/>
      <c r="N61" s="36">
        <f t="shared" si="1"/>
        <v>72922000</v>
      </c>
      <c r="O61" s="36">
        <f t="shared" si="0"/>
        <v>72922000</v>
      </c>
      <c r="P61" s="36">
        <f t="shared" si="0"/>
        <v>82922000</v>
      </c>
      <c r="Q61" s="162">
        <v>69702745</v>
      </c>
      <c r="R61" s="36"/>
      <c r="S61" s="36">
        <f t="shared" si="2"/>
        <v>69702745</v>
      </c>
      <c r="T61" s="37" t="s">
        <v>595</v>
      </c>
      <c r="U61" s="37">
        <v>0</v>
      </c>
      <c r="V61" s="37">
        <v>0</v>
      </c>
      <c r="W61" s="10"/>
      <c r="X61" s="10"/>
      <c r="Y61" s="10"/>
      <c r="Z61" s="10"/>
      <c r="AA61" s="34"/>
      <c r="AB61" s="10"/>
      <c r="AC61" s="10"/>
      <c r="AD61" s="10" t="s">
        <v>596</v>
      </c>
      <c r="AE61" s="10"/>
      <c r="AF61" s="10"/>
      <c r="AG61" s="10"/>
      <c r="AH61" s="10"/>
      <c r="AI61" s="10"/>
      <c r="AJ61" s="10"/>
      <c r="AK61" s="10"/>
      <c r="AL61" s="10"/>
      <c r="AM61" s="10"/>
      <c r="AN61" s="10"/>
      <c r="AO61" s="10"/>
      <c r="AP61" s="10"/>
    </row>
    <row r="62" spans="1:43" s="27" customFormat="1" ht="90" x14ac:dyDescent="0.25">
      <c r="A62" s="34" t="s">
        <v>55</v>
      </c>
      <c r="B62" s="34" t="s">
        <v>354</v>
      </c>
      <c r="C62" s="34" t="s">
        <v>355</v>
      </c>
      <c r="D62" s="34">
        <v>241110900</v>
      </c>
      <c r="E62" s="34">
        <v>12301001</v>
      </c>
      <c r="F62" s="74" t="s">
        <v>395</v>
      </c>
      <c r="G62" s="34" t="s">
        <v>398</v>
      </c>
      <c r="H62" s="36">
        <v>705000000</v>
      </c>
      <c r="I62" s="39">
        <v>5825483979</v>
      </c>
      <c r="J62" s="39">
        <v>10296945145</v>
      </c>
      <c r="K62" s="39"/>
      <c r="L62" s="39"/>
      <c r="M62" s="39"/>
      <c r="N62" s="36">
        <f t="shared" si="1"/>
        <v>705000000</v>
      </c>
      <c r="O62" s="36">
        <f t="shared" si="0"/>
        <v>5825483979</v>
      </c>
      <c r="P62" s="36">
        <f t="shared" si="0"/>
        <v>10296945145</v>
      </c>
      <c r="Q62" s="162">
        <v>5350883880</v>
      </c>
      <c r="R62" s="36"/>
      <c r="S62" s="36">
        <f t="shared" si="2"/>
        <v>5350883880</v>
      </c>
      <c r="T62" s="37" t="s">
        <v>597</v>
      </c>
      <c r="U62" s="37" t="s">
        <v>225</v>
      </c>
      <c r="V62" s="37">
        <v>44</v>
      </c>
      <c r="W62" s="10"/>
      <c r="X62" s="10"/>
      <c r="Y62" s="10"/>
      <c r="Z62" s="10"/>
      <c r="AA62" s="34"/>
      <c r="AB62" s="10"/>
      <c r="AC62" s="10"/>
      <c r="AD62" s="10" t="s">
        <v>596</v>
      </c>
      <c r="AE62" s="10"/>
      <c r="AF62" s="10"/>
      <c r="AG62" s="10"/>
      <c r="AH62" s="10"/>
      <c r="AI62" s="10"/>
      <c r="AJ62" s="10"/>
      <c r="AK62" s="10"/>
      <c r="AL62" s="10"/>
      <c r="AM62" s="10"/>
      <c r="AN62" s="10"/>
      <c r="AO62" s="10"/>
      <c r="AP62" s="10"/>
    </row>
    <row r="63" spans="1:43" s="27" customFormat="1" ht="90" x14ac:dyDescent="0.25">
      <c r="A63" s="34" t="s">
        <v>55</v>
      </c>
      <c r="B63" s="34" t="s">
        <v>354</v>
      </c>
      <c r="C63" s="34" t="s">
        <v>355</v>
      </c>
      <c r="D63" s="34">
        <v>241110900</v>
      </c>
      <c r="E63" s="34">
        <v>12301002</v>
      </c>
      <c r="F63" s="74" t="s">
        <v>395</v>
      </c>
      <c r="G63" s="34" t="s">
        <v>399</v>
      </c>
      <c r="H63" s="36">
        <v>3395000000</v>
      </c>
      <c r="I63" s="39">
        <v>3395000000</v>
      </c>
      <c r="J63" s="39">
        <v>20413563226</v>
      </c>
      <c r="K63" s="39"/>
      <c r="L63" s="39"/>
      <c r="M63" s="39"/>
      <c r="N63" s="36">
        <f t="shared" si="1"/>
        <v>3395000000</v>
      </c>
      <c r="O63" s="36">
        <f t="shared" si="0"/>
        <v>3395000000</v>
      </c>
      <c r="P63" s="36">
        <f t="shared" si="0"/>
        <v>20413563226</v>
      </c>
      <c r="Q63" s="162">
        <v>18304785246</v>
      </c>
      <c r="R63" s="36"/>
      <c r="S63" s="36">
        <f t="shared" si="2"/>
        <v>18304785246</v>
      </c>
      <c r="T63" s="37" t="s">
        <v>598</v>
      </c>
      <c r="U63" s="37" t="s">
        <v>225</v>
      </c>
      <c r="V63" s="37">
        <v>1</v>
      </c>
      <c r="W63" s="10"/>
      <c r="X63" s="10"/>
      <c r="Y63" s="10"/>
      <c r="Z63" s="10"/>
      <c r="AA63" s="34"/>
      <c r="AB63" s="10"/>
      <c r="AC63" s="10"/>
      <c r="AD63" s="10" t="s">
        <v>596</v>
      </c>
      <c r="AE63" s="10"/>
      <c r="AF63" s="10"/>
      <c r="AG63" s="10"/>
      <c r="AH63" s="10"/>
      <c r="AI63" s="10"/>
      <c r="AJ63" s="10"/>
      <c r="AK63" s="10"/>
      <c r="AL63" s="10"/>
      <c r="AM63" s="10"/>
      <c r="AN63" s="10"/>
      <c r="AO63" s="10"/>
      <c r="AP63" s="10"/>
    </row>
    <row r="64" spans="1:43" s="27" customFormat="1" ht="90" x14ac:dyDescent="0.25">
      <c r="A64" s="34" t="s">
        <v>55</v>
      </c>
      <c r="B64" s="34" t="s">
        <v>354</v>
      </c>
      <c r="C64" s="34" t="s">
        <v>355</v>
      </c>
      <c r="D64" s="34">
        <v>241110900</v>
      </c>
      <c r="E64" s="34">
        <v>12301004</v>
      </c>
      <c r="F64" s="74" t="s">
        <v>395</v>
      </c>
      <c r="G64" s="34" t="s">
        <v>400</v>
      </c>
      <c r="H64" s="36">
        <v>1000000000</v>
      </c>
      <c r="I64" s="39">
        <v>1000000000</v>
      </c>
      <c r="J64" s="39">
        <v>1000000000</v>
      </c>
      <c r="K64" s="39"/>
      <c r="L64" s="39"/>
      <c r="M64" s="39"/>
      <c r="N64" s="36">
        <f t="shared" si="1"/>
        <v>1000000000</v>
      </c>
      <c r="O64" s="36">
        <f t="shared" si="0"/>
        <v>1000000000</v>
      </c>
      <c r="P64" s="36">
        <f t="shared" si="0"/>
        <v>1000000000</v>
      </c>
      <c r="Q64" s="162">
        <v>500000000</v>
      </c>
      <c r="R64" s="36"/>
      <c r="S64" s="36">
        <f t="shared" si="2"/>
        <v>500000000</v>
      </c>
      <c r="T64" s="37" t="s">
        <v>599</v>
      </c>
      <c r="U64" s="37" t="s">
        <v>225</v>
      </c>
      <c r="V64" s="37">
        <v>1</v>
      </c>
      <c r="W64" s="10"/>
      <c r="X64" s="10"/>
      <c r="Y64" s="10"/>
      <c r="Z64" s="10"/>
      <c r="AA64" s="34"/>
      <c r="AB64" s="10"/>
      <c r="AC64" s="10"/>
      <c r="AD64" s="10" t="s">
        <v>596</v>
      </c>
      <c r="AE64" s="10"/>
      <c r="AF64" s="10"/>
      <c r="AG64" s="10"/>
      <c r="AH64" s="10"/>
      <c r="AI64" s="10"/>
      <c r="AJ64" s="10"/>
      <c r="AK64" s="10"/>
      <c r="AL64" s="10"/>
      <c r="AM64" s="10"/>
      <c r="AN64" s="10"/>
      <c r="AO64" s="10"/>
      <c r="AP64" s="10"/>
    </row>
    <row r="65" spans="1:42" s="27" customFormat="1" ht="90" x14ac:dyDescent="0.25">
      <c r="A65" s="34" t="s">
        <v>55</v>
      </c>
      <c r="B65" s="34" t="s">
        <v>354</v>
      </c>
      <c r="C65" s="34" t="s">
        <v>355</v>
      </c>
      <c r="D65" s="34">
        <v>241110900</v>
      </c>
      <c r="E65" s="34">
        <v>12301005</v>
      </c>
      <c r="F65" s="74" t="s">
        <v>395</v>
      </c>
      <c r="G65" s="34" t="s">
        <v>401</v>
      </c>
      <c r="H65" s="36"/>
      <c r="I65" s="39">
        <v>1200000000</v>
      </c>
      <c r="J65" s="39">
        <v>1200000000</v>
      </c>
      <c r="K65" s="39"/>
      <c r="L65" s="39"/>
      <c r="M65" s="39"/>
      <c r="N65" s="36"/>
      <c r="O65" s="36">
        <f t="shared" si="0"/>
        <v>1200000000</v>
      </c>
      <c r="P65" s="36">
        <f t="shared" si="0"/>
        <v>1200000000</v>
      </c>
      <c r="Q65" s="162">
        <v>1200000000</v>
      </c>
      <c r="R65" s="36"/>
      <c r="S65" s="36">
        <f t="shared" si="2"/>
        <v>1200000000</v>
      </c>
      <c r="T65" s="10" t="s">
        <v>595</v>
      </c>
      <c r="U65" s="37" t="s">
        <v>225</v>
      </c>
      <c r="V65" s="37">
        <v>12</v>
      </c>
      <c r="W65" s="10"/>
      <c r="X65" s="10"/>
      <c r="Y65" s="10"/>
      <c r="Z65" s="10"/>
      <c r="AA65" s="34"/>
      <c r="AB65" s="10"/>
      <c r="AC65" s="10"/>
      <c r="AD65" s="10" t="s">
        <v>596</v>
      </c>
      <c r="AE65" s="10"/>
      <c r="AF65" s="10"/>
      <c r="AG65" s="10"/>
      <c r="AH65" s="10"/>
      <c r="AI65" s="10"/>
      <c r="AJ65" s="10"/>
      <c r="AK65" s="10"/>
      <c r="AL65" s="10"/>
      <c r="AM65" s="10"/>
      <c r="AN65" s="10"/>
      <c r="AO65" s="10"/>
      <c r="AP65" s="10"/>
    </row>
    <row r="66" spans="1:42" s="27" customFormat="1" ht="90" x14ac:dyDescent="0.25">
      <c r="A66" s="34" t="s">
        <v>55</v>
      </c>
      <c r="B66" s="34" t="s">
        <v>354</v>
      </c>
      <c r="C66" s="34" t="s">
        <v>355</v>
      </c>
      <c r="D66" s="34">
        <v>241110900</v>
      </c>
      <c r="E66" s="34">
        <v>12301006</v>
      </c>
      <c r="F66" s="74" t="s">
        <v>395</v>
      </c>
      <c r="G66" s="34" t="s">
        <v>402</v>
      </c>
      <c r="H66" s="36"/>
      <c r="I66" s="39">
        <v>1526500</v>
      </c>
      <c r="J66" s="39">
        <v>1526500</v>
      </c>
      <c r="K66" s="39"/>
      <c r="L66" s="39"/>
      <c r="M66" s="39"/>
      <c r="N66" s="36"/>
      <c r="O66" s="36">
        <f t="shared" si="0"/>
        <v>1526500</v>
      </c>
      <c r="P66" s="36">
        <f t="shared" si="0"/>
        <v>1526500</v>
      </c>
      <c r="Q66" s="162">
        <v>0</v>
      </c>
      <c r="R66" s="36"/>
      <c r="S66" s="36">
        <f t="shared" si="2"/>
        <v>0</v>
      </c>
      <c r="T66" s="10" t="s">
        <v>595</v>
      </c>
      <c r="U66" s="37" t="s">
        <v>225</v>
      </c>
      <c r="V66" s="37">
        <v>12</v>
      </c>
      <c r="W66" s="10"/>
      <c r="X66" s="10"/>
      <c r="Y66" s="10"/>
      <c r="Z66" s="10"/>
      <c r="AA66" s="34"/>
      <c r="AB66" s="10"/>
      <c r="AC66" s="10"/>
      <c r="AD66" s="10" t="s">
        <v>596</v>
      </c>
      <c r="AE66" s="10"/>
      <c r="AF66" s="10"/>
      <c r="AG66" s="10"/>
      <c r="AH66" s="10"/>
      <c r="AI66" s="10"/>
      <c r="AJ66" s="10"/>
      <c r="AK66" s="10"/>
      <c r="AL66" s="10"/>
      <c r="AM66" s="10"/>
      <c r="AN66" s="10"/>
      <c r="AO66" s="10"/>
      <c r="AP66" s="10"/>
    </row>
    <row r="67" spans="1:42" s="27" customFormat="1" ht="136.5" customHeight="1" x14ac:dyDescent="0.25">
      <c r="A67" s="34" t="s">
        <v>55</v>
      </c>
      <c r="B67" s="34" t="s">
        <v>354</v>
      </c>
      <c r="C67" s="34" t="s">
        <v>355</v>
      </c>
      <c r="D67" s="34">
        <v>241110900</v>
      </c>
      <c r="E67" s="34">
        <v>12301007</v>
      </c>
      <c r="F67" s="74" t="s">
        <v>395</v>
      </c>
      <c r="G67" s="34" t="s">
        <v>403</v>
      </c>
      <c r="H67" s="36"/>
      <c r="I67" s="39">
        <v>1447264</v>
      </c>
      <c r="J67" s="39">
        <v>1447264</v>
      </c>
      <c r="K67" s="39"/>
      <c r="L67" s="39"/>
      <c r="M67" s="39"/>
      <c r="N67" s="36"/>
      <c r="O67" s="36">
        <f t="shared" si="0"/>
        <v>1447264</v>
      </c>
      <c r="P67" s="36"/>
      <c r="Q67" s="162">
        <v>0</v>
      </c>
      <c r="R67" s="36"/>
      <c r="S67" s="36">
        <f t="shared" si="2"/>
        <v>0</v>
      </c>
      <c r="T67" s="10" t="s">
        <v>595</v>
      </c>
      <c r="U67" s="37" t="s">
        <v>225</v>
      </c>
      <c r="V67" s="37">
        <v>12</v>
      </c>
      <c r="W67" s="10"/>
      <c r="X67" s="10"/>
      <c r="Y67" s="10"/>
      <c r="Z67" s="10"/>
      <c r="AA67" s="34"/>
      <c r="AB67" s="10"/>
      <c r="AC67" s="10"/>
      <c r="AD67" s="10" t="s">
        <v>596</v>
      </c>
      <c r="AE67" s="10"/>
      <c r="AF67" s="10"/>
      <c r="AG67" s="10"/>
      <c r="AH67" s="10"/>
      <c r="AI67" s="10"/>
      <c r="AJ67" s="10"/>
      <c r="AK67" s="10"/>
      <c r="AL67" s="10"/>
      <c r="AM67" s="10"/>
      <c r="AN67" s="10"/>
      <c r="AO67" s="10"/>
      <c r="AP67" s="10"/>
    </row>
    <row r="68" spans="1:42" s="27" customFormat="1" ht="56.25" x14ac:dyDescent="0.25">
      <c r="A68" s="34"/>
      <c r="B68" s="34"/>
      <c r="C68" s="34"/>
      <c r="D68" s="34"/>
      <c r="E68" s="34"/>
      <c r="F68" s="74"/>
      <c r="G68" s="34"/>
      <c r="H68" s="36"/>
      <c r="I68" s="39"/>
      <c r="J68" s="39"/>
      <c r="K68" s="39"/>
      <c r="L68" s="39"/>
      <c r="M68" s="39"/>
      <c r="N68" s="36"/>
      <c r="O68" s="36"/>
      <c r="P68" s="36"/>
      <c r="Q68" s="36"/>
      <c r="R68" s="36"/>
      <c r="S68" s="36"/>
      <c r="T68" s="163" t="s">
        <v>600</v>
      </c>
      <c r="U68" s="164" t="s">
        <v>225</v>
      </c>
      <c r="V68" s="165">
        <v>1</v>
      </c>
      <c r="W68" s="10"/>
      <c r="X68" s="10"/>
      <c r="Y68" s="10"/>
      <c r="Z68" s="10">
        <v>1</v>
      </c>
      <c r="AA68" s="34">
        <v>360</v>
      </c>
      <c r="AB68" s="10">
        <v>180</v>
      </c>
      <c r="AC68" s="10">
        <v>360</v>
      </c>
      <c r="AD68" s="10"/>
      <c r="AE68" s="10" t="s">
        <v>102</v>
      </c>
      <c r="AF68" s="10" t="s">
        <v>102</v>
      </c>
      <c r="AG68" s="10" t="s">
        <v>102</v>
      </c>
      <c r="AH68" s="10" t="s">
        <v>102</v>
      </c>
      <c r="AI68" s="10" t="s">
        <v>102</v>
      </c>
      <c r="AJ68" s="10" t="s">
        <v>102</v>
      </c>
      <c r="AK68" s="10" t="s">
        <v>102</v>
      </c>
      <c r="AL68" s="10" t="s">
        <v>102</v>
      </c>
      <c r="AM68" s="10" t="s">
        <v>102</v>
      </c>
      <c r="AN68" s="10" t="s">
        <v>102</v>
      </c>
      <c r="AO68" s="10" t="s">
        <v>102</v>
      </c>
      <c r="AP68" s="10" t="s">
        <v>102</v>
      </c>
    </row>
    <row r="69" spans="1:42" s="27" customFormat="1" ht="56.25" x14ac:dyDescent="0.25">
      <c r="A69" s="34"/>
      <c r="B69" s="34"/>
      <c r="C69" s="34"/>
      <c r="D69" s="34"/>
      <c r="E69" s="34"/>
      <c r="F69" s="74"/>
      <c r="G69" s="34"/>
      <c r="H69" s="36"/>
      <c r="I69" s="39"/>
      <c r="J69" s="39"/>
      <c r="K69" s="39"/>
      <c r="L69" s="39"/>
      <c r="M69" s="39"/>
      <c r="N69" s="36"/>
      <c r="O69" s="36"/>
      <c r="P69" s="36"/>
      <c r="Q69" s="36"/>
      <c r="R69" s="36"/>
      <c r="S69" s="36"/>
      <c r="T69" s="163" t="s">
        <v>601</v>
      </c>
      <c r="U69" s="164" t="s">
        <v>225</v>
      </c>
      <c r="V69" s="165">
        <v>48</v>
      </c>
      <c r="W69" s="10"/>
      <c r="X69" s="10"/>
      <c r="Y69" s="10"/>
      <c r="Z69" s="10">
        <v>48</v>
      </c>
      <c r="AA69" s="34">
        <v>360</v>
      </c>
      <c r="AB69" s="10">
        <v>180</v>
      </c>
      <c r="AC69" s="10">
        <v>360</v>
      </c>
      <c r="AD69" s="10" t="s">
        <v>602</v>
      </c>
      <c r="AE69" s="10" t="s">
        <v>102</v>
      </c>
      <c r="AF69" s="10" t="s">
        <v>102</v>
      </c>
      <c r="AG69" s="10" t="s">
        <v>102</v>
      </c>
      <c r="AH69" s="10" t="s">
        <v>102</v>
      </c>
      <c r="AI69" s="10" t="s">
        <v>102</v>
      </c>
      <c r="AJ69" s="10" t="s">
        <v>102</v>
      </c>
      <c r="AK69" s="10" t="s">
        <v>102</v>
      </c>
      <c r="AL69" s="10" t="s">
        <v>102</v>
      </c>
      <c r="AM69" s="10" t="s">
        <v>102</v>
      </c>
      <c r="AN69" s="10" t="s">
        <v>102</v>
      </c>
      <c r="AO69" s="10" t="s">
        <v>102</v>
      </c>
      <c r="AP69" s="10" t="s">
        <v>102</v>
      </c>
    </row>
    <row r="70" spans="1:42" s="27" customFormat="1" ht="45" x14ac:dyDescent="0.25">
      <c r="A70" s="34"/>
      <c r="B70" s="34"/>
      <c r="C70" s="34"/>
      <c r="D70" s="34"/>
      <c r="E70" s="34"/>
      <c r="F70" s="74"/>
      <c r="G70" s="34"/>
      <c r="H70" s="36"/>
      <c r="I70" s="39"/>
      <c r="J70" s="39"/>
      <c r="K70" s="39"/>
      <c r="L70" s="39"/>
      <c r="M70" s="39"/>
      <c r="N70" s="36"/>
      <c r="O70" s="36"/>
      <c r="P70" s="36"/>
      <c r="Q70" s="36"/>
      <c r="R70" s="36"/>
      <c r="S70" s="36"/>
      <c r="T70" s="163" t="s">
        <v>603</v>
      </c>
      <c r="U70" s="164" t="s">
        <v>225</v>
      </c>
      <c r="V70" s="165">
        <v>40</v>
      </c>
      <c r="W70" s="10"/>
      <c r="X70" s="10"/>
      <c r="Y70" s="10"/>
      <c r="Z70" s="10">
        <v>40</v>
      </c>
      <c r="AA70" s="34">
        <v>360</v>
      </c>
      <c r="AB70" s="10">
        <v>180</v>
      </c>
      <c r="AC70" s="10">
        <v>360</v>
      </c>
      <c r="AD70" s="10" t="s">
        <v>602</v>
      </c>
      <c r="AE70" s="10" t="s">
        <v>102</v>
      </c>
      <c r="AF70" s="10" t="s">
        <v>102</v>
      </c>
      <c r="AG70" s="10" t="s">
        <v>102</v>
      </c>
      <c r="AH70" s="10" t="s">
        <v>102</v>
      </c>
      <c r="AI70" s="10" t="s">
        <v>102</v>
      </c>
      <c r="AJ70" s="10" t="s">
        <v>102</v>
      </c>
      <c r="AK70" s="10" t="s">
        <v>102</v>
      </c>
      <c r="AL70" s="10" t="s">
        <v>102</v>
      </c>
      <c r="AM70" s="10" t="s">
        <v>102</v>
      </c>
      <c r="AN70" s="10" t="s">
        <v>102</v>
      </c>
      <c r="AO70" s="10" t="s">
        <v>102</v>
      </c>
      <c r="AP70" s="10" t="s">
        <v>102</v>
      </c>
    </row>
    <row r="71" spans="1:42" s="27" customFormat="1" ht="75" x14ac:dyDescent="0.25">
      <c r="A71" s="34"/>
      <c r="B71" s="34"/>
      <c r="C71" s="34"/>
      <c r="D71" s="34"/>
      <c r="E71" s="34"/>
      <c r="F71" s="74"/>
      <c r="G71" s="34"/>
      <c r="H71" s="36"/>
      <c r="I71" s="39"/>
      <c r="J71" s="39"/>
      <c r="K71" s="39"/>
      <c r="L71" s="39"/>
      <c r="M71" s="39"/>
      <c r="N71" s="36"/>
      <c r="O71" s="36"/>
      <c r="P71" s="36"/>
      <c r="Q71" s="36"/>
      <c r="R71" s="36"/>
      <c r="S71" s="36"/>
      <c r="T71" s="163" t="s">
        <v>604</v>
      </c>
      <c r="U71" s="164" t="s">
        <v>225</v>
      </c>
      <c r="V71" s="165">
        <v>133</v>
      </c>
      <c r="W71" s="10"/>
      <c r="X71" s="10"/>
      <c r="Y71" s="10">
        <v>5</v>
      </c>
      <c r="Z71" s="10">
        <v>5</v>
      </c>
      <c r="AA71" s="34">
        <v>360</v>
      </c>
      <c r="AB71" s="10">
        <v>180</v>
      </c>
      <c r="AC71" s="10">
        <v>360</v>
      </c>
      <c r="AD71" s="10" t="s">
        <v>605</v>
      </c>
      <c r="AE71" s="10" t="s">
        <v>102</v>
      </c>
      <c r="AF71" s="10" t="s">
        <v>102</v>
      </c>
      <c r="AG71" s="10" t="s">
        <v>102</v>
      </c>
      <c r="AH71" s="10" t="s">
        <v>102</v>
      </c>
      <c r="AI71" s="10" t="s">
        <v>102</v>
      </c>
      <c r="AJ71" s="10" t="s">
        <v>102</v>
      </c>
      <c r="AK71" s="10" t="s">
        <v>102</v>
      </c>
      <c r="AL71" s="10" t="s">
        <v>102</v>
      </c>
      <c r="AM71" s="10" t="s">
        <v>102</v>
      </c>
      <c r="AN71" s="10" t="s">
        <v>102</v>
      </c>
      <c r="AO71" s="10" t="s">
        <v>102</v>
      </c>
      <c r="AP71" s="10" t="s">
        <v>102</v>
      </c>
    </row>
    <row r="72" spans="1:42" s="27" customFormat="1" ht="60" x14ac:dyDescent="0.25">
      <c r="A72" s="34"/>
      <c r="B72" s="34"/>
      <c r="C72" s="34"/>
      <c r="D72" s="34"/>
      <c r="E72" s="34"/>
      <c r="F72" s="74"/>
      <c r="G72" s="34"/>
      <c r="H72" s="36"/>
      <c r="I72" s="39"/>
      <c r="J72" s="39"/>
      <c r="K72" s="39"/>
      <c r="L72" s="39"/>
      <c r="M72" s="39"/>
      <c r="N72" s="36"/>
      <c r="O72" s="36"/>
      <c r="P72" s="36"/>
      <c r="Q72" s="36"/>
      <c r="R72" s="36"/>
      <c r="S72" s="36"/>
      <c r="T72" s="163" t="s">
        <v>606</v>
      </c>
      <c r="U72" s="164" t="s">
        <v>316</v>
      </c>
      <c r="V72" s="165">
        <v>1</v>
      </c>
      <c r="W72" s="10"/>
      <c r="X72" s="10"/>
      <c r="Y72" s="10"/>
      <c r="Z72" s="10">
        <v>0</v>
      </c>
      <c r="AA72" s="34">
        <v>360</v>
      </c>
      <c r="AB72" s="10">
        <v>180</v>
      </c>
      <c r="AC72" s="10">
        <v>360</v>
      </c>
      <c r="AD72" s="10" t="s">
        <v>607</v>
      </c>
      <c r="AE72" s="10" t="s">
        <v>102</v>
      </c>
      <c r="AF72" s="10" t="s">
        <v>102</v>
      </c>
      <c r="AG72" s="10" t="s">
        <v>102</v>
      </c>
      <c r="AH72" s="10" t="s">
        <v>102</v>
      </c>
      <c r="AI72" s="10" t="s">
        <v>102</v>
      </c>
      <c r="AJ72" s="10" t="s">
        <v>102</v>
      </c>
      <c r="AK72" s="10" t="s">
        <v>102</v>
      </c>
      <c r="AL72" s="10" t="s">
        <v>102</v>
      </c>
      <c r="AM72" s="10" t="s">
        <v>102</v>
      </c>
      <c r="AN72" s="10" t="s">
        <v>102</v>
      </c>
      <c r="AO72" s="10" t="s">
        <v>102</v>
      </c>
      <c r="AP72" s="10" t="s">
        <v>102</v>
      </c>
    </row>
    <row r="73" spans="1:42" s="27" customFormat="1" ht="45" x14ac:dyDescent="0.25">
      <c r="A73" s="34"/>
      <c r="B73" s="34"/>
      <c r="C73" s="34"/>
      <c r="D73" s="34"/>
      <c r="E73" s="34"/>
      <c r="F73" s="74"/>
      <c r="G73" s="34"/>
      <c r="H73" s="36"/>
      <c r="I73" s="39"/>
      <c r="J73" s="39"/>
      <c r="K73" s="39"/>
      <c r="L73" s="39"/>
      <c r="M73" s="39"/>
      <c r="N73" s="36"/>
      <c r="O73" s="36"/>
      <c r="P73" s="36"/>
      <c r="Q73" s="36"/>
      <c r="R73" s="36"/>
      <c r="S73" s="36"/>
      <c r="T73" s="163" t="s">
        <v>608</v>
      </c>
      <c r="U73" s="164" t="s">
        <v>225</v>
      </c>
      <c r="V73" s="165">
        <v>14</v>
      </c>
      <c r="W73" s="10"/>
      <c r="X73" s="10"/>
      <c r="Y73" s="10"/>
      <c r="Z73" s="10">
        <v>14</v>
      </c>
      <c r="AA73" s="34">
        <v>360</v>
      </c>
      <c r="AB73" s="10">
        <v>180</v>
      </c>
      <c r="AC73" s="10">
        <v>360</v>
      </c>
      <c r="AD73" s="10" t="s">
        <v>609</v>
      </c>
      <c r="AE73" s="10" t="s">
        <v>102</v>
      </c>
      <c r="AF73" s="10" t="s">
        <v>102</v>
      </c>
      <c r="AG73" s="10" t="s">
        <v>102</v>
      </c>
      <c r="AH73" s="10" t="s">
        <v>102</v>
      </c>
      <c r="AI73" s="10" t="s">
        <v>102</v>
      </c>
      <c r="AJ73" s="10" t="s">
        <v>102</v>
      </c>
      <c r="AK73" s="10" t="s">
        <v>102</v>
      </c>
      <c r="AL73" s="10" t="s">
        <v>102</v>
      </c>
      <c r="AM73" s="10" t="s">
        <v>102</v>
      </c>
      <c r="AN73" s="10" t="s">
        <v>102</v>
      </c>
      <c r="AO73" s="10" t="s">
        <v>102</v>
      </c>
      <c r="AP73" s="10" t="s">
        <v>102</v>
      </c>
    </row>
    <row r="74" spans="1:42" s="27" customFormat="1" ht="33.75" x14ac:dyDescent="0.25">
      <c r="A74" s="34"/>
      <c r="B74" s="34"/>
      <c r="C74" s="34"/>
      <c r="D74" s="34"/>
      <c r="E74" s="34"/>
      <c r="F74" s="74"/>
      <c r="G74" s="34"/>
      <c r="H74" s="36"/>
      <c r="I74" s="39"/>
      <c r="J74" s="39"/>
      <c r="K74" s="39"/>
      <c r="L74" s="39"/>
      <c r="M74" s="39"/>
      <c r="N74" s="36"/>
      <c r="O74" s="36"/>
      <c r="P74" s="36"/>
      <c r="Q74" s="36"/>
      <c r="R74" s="36"/>
      <c r="S74" s="36"/>
      <c r="T74" s="163" t="s">
        <v>610</v>
      </c>
      <c r="U74" s="164" t="s">
        <v>225</v>
      </c>
      <c r="V74" s="165">
        <v>4</v>
      </c>
      <c r="W74" s="10"/>
      <c r="X74" s="10"/>
      <c r="Y74" s="10">
        <v>2</v>
      </c>
      <c r="Z74" s="10">
        <v>3</v>
      </c>
      <c r="AA74" s="34">
        <v>360</v>
      </c>
      <c r="AB74" s="10">
        <v>180</v>
      </c>
      <c r="AC74" s="10">
        <v>360</v>
      </c>
      <c r="AD74" s="10"/>
      <c r="AE74" s="10" t="s">
        <v>102</v>
      </c>
      <c r="AF74" s="10" t="s">
        <v>102</v>
      </c>
      <c r="AG74" s="10" t="s">
        <v>102</v>
      </c>
      <c r="AH74" s="10" t="s">
        <v>102</v>
      </c>
      <c r="AI74" s="10" t="s">
        <v>102</v>
      </c>
      <c r="AJ74" s="10" t="s">
        <v>102</v>
      </c>
      <c r="AK74" s="10" t="s">
        <v>102</v>
      </c>
      <c r="AL74" s="10" t="s">
        <v>102</v>
      </c>
      <c r="AM74" s="10" t="s">
        <v>102</v>
      </c>
      <c r="AN74" s="10" t="s">
        <v>102</v>
      </c>
      <c r="AO74" s="10" t="s">
        <v>102</v>
      </c>
      <c r="AP74" s="10" t="s">
        <v>102</v>
      </c>
    </row>
    <row r="75" spans="1:42" s="27" customFormat="1" ht="90" x14ac:dyDescent="0.25">
      <c r="A75" s="34"/>
      <c r="B75" s="34"/>
      <c r="C75" s="34"/>
      <c r="D75" s="34"/>
      <c r="E75" s="34"/>
      <c r="F75" s="74"/>
      <c r="G75" s="34"/>
      <c r="H75" s="36"/>
      <c r="I75" s="39"/>
      <c r="J75" s="39"/>
      <c r="K75" s="39"/>
      <c r="L75" s="39"/>
      <c r="M75" s="39"/>
      <c r="N75" s="36"/>
      <c r="O75" s="36"/>
      <c r="P75" s="36"/>
      <c r="Q75" s="36"/>
      <c r="R75" s="36"/>
      <c r="S75" s="36"/>
      <c r="T75" s="163" t="s">
        <v>611</v>
      </c>
      <c r="U75" s="164" t="s">
        <v>225</v>
      </c>
      <c r="V75" s="165">
        <v>2</v>
      </c>
      <c r="W75" s="10"/>
      <c r="X75" s="10"/>
      <c r="Y75" s="10">
        <v>0</v>
      </c>
      <c r="Z75" s="10"/>
      <c r="AA75" s="34">
        <v>360</v>
      </c>
      <c r="AB75" s="10">
        <v>180</v>
      </c>
      <c r="AC75" s="10">
        <v>360</v>
      </c>
      <c r="AD75" s="10" t="s">
        <v>612</v>
      </c>
      <c r="AE75" s="10" t="s">
        <v>102</v>
      </c>
      <c r="AF75" s="10" t="s">
        <v>102</v>
      </c>
      <c r="AG75" s="10" t="s">
        <v>102</v>
      </c>
      <c r="AH75" s="10" t="s">
        <v>102</v>
      </c>
      <c r="AI75" s="10" t="s">
        <v>102</v>
      </c>
      <c r="AJ75" s="10" t="s">
        <v>102</v>
      </c>
      <c r="AK75" s="10" t="s">
        <v>102</v>
      </c>
      <c r="AL75" s="10" t="s">
        <v>102</v>
      </c>
      <c r="AM75" s="10" t="s">
        <v>102</v>
      </c>
      <c r="AN75" s="10" t="s">
        <v>102</v>
      </c>
      <c r="AO75" s="10" t="s">
        <v>102</v>
      </c>
      <c r="AP75" s="10" t="s">
        <v>102</v>
      </c>
    </row>
    <row r="76" spans="1:42" s="27" customFormat="1" ht="60" x14ac:dyDescent="0.25">
      <c r="A76" s="34"/>
      <c r="B76" s="34"/>
      <c r="C76" s="34"/>
      <c r="D76" s="34"/>
      <c r="E76" s="34"/>
      <c r="F76" s="74"/>
      <c r="G76" s="34"/>
      <c r="H76" s="36"/>
      <c r="I76" s="39"/>
      <c r="J76" s="39"/>
      <c r="K76" s="39"/>
      <c r="L76" s="39"/>
      <c r="M76" s="39"/>
      <c r="N76" s="36"/>
      <c r="O76" s="36"/>
      <c r="P76" s="36"/>
      <c r="Q76" s="36"/>
      <c r="R76" s="36"/>
      <c r="S76" s="36"/>
      <c r="T76" s="163" t="s">
        <v>613</v>
      </c>
      <c r="U76" s="164" t="s">
        <v>225</v>
      </c>
      <c r="V76" s="165">
        <v>2</v>
      </c>
      <c r="W76" s="10"/>
      <c r="X76" s="10"/>
      <c r="Y76" s="10"/>
      <c r="Z76" s="10">
        <v>0</v>
      </c>
      <c r="AA76" s="34">
        <v>360</v>
      </c>
      <c r="AB76" s="10">
        <v>180</v>
      </c>
      <c r="AC76" s="10">
        <v>360</v>
      </c>
      <c r="AD76" s="10" t="s">
        <v>614</v>
      </c>
      <c r="AE76" s="10" t="s">
        <v>102</v>
      </c>
      <c r="AF76" s="10" t="s">
        <v>102</v>
      </c>
      <c r="AG76" s="10" t="s">
        <v>102</v>
      </c>
      <c r="AH76" s="10" t="s">
        <v>102</v>
      </c>
      <c r="AI76" s="10" t="s">
        <v>102</v>
      </c>
      <c r="AJ76" s="10" t="s">
        <v>102</v>
      </c>
      <c r="AK76" s="10" t="s">
        <v>102</v>
      </c>
      <c r="AL76" s="10" t="s">
        <v>102</v>
      </c>
      <c r="AM76" s="10" t="s">
        <v>102</v>
      </c>
      <c r="AN76" s="10" t="s">
        <v>102</v>
      </c>
      <c r="AO76" s="10" t="s">
        <v>102</v>
      </c>
      <c r="AP76" s="10" t="s">
        <v>102</v>
      </c>
    </row>
    <row r="77" spans="1:42" s="27" customFormat="1" ht="90" x14ac:dyDescent="0.25">
      <c r="A77" s="34"/>
      <c r="B77" s="34"/>
      <c r="C77" s="34"/>
      <c r="D77" s="34"/>
      <c r="E77" s="34"/>
      <c r="F77" s="74"/>
      <c r="G77" s="34"/>
      <c r="H77" s="36"/>
      <c r="I77" s="39"/>
      <c r="J77" s="39"/>
      <c r="K77" s="39"/>
      <c r="L77" s="39"/>
      <c r="M77" s="39"/>
      <c r="N77" s="36"/>
      <c r="O77" s="36"/>
      <c r="P77" s="36"/>
      <c r="Q77" s="36"/>
      <c r="R77" s="36"/>
      <c r="S77" s="36"/>
      <c r="T77" s="163" t="s">
        <v>615</v>
      </c>
      <c r="U77" s="164" t="s">
        <v>225</v>
      </c>
      <c r="V77" s="165">
        <v>1</v>
      </c>
      <c r="W77" s="10"/>
      <c r="X77" s="10"/>
      <c r="Y77" s="10"/>
      <c r="Z77" s="10">
        <v>1</v>
      </c>
      <c r="AA77" s="34">
        <v>360</v>
      </c>
      <c r="AB77" s="10">
        <v>180</v>
      </c>
      <c r="AC77" s="10">
        <v>360</v>
      </c>
      <c r="AD77" s="10" t="s">
        <v>607</v>
      </c>
      <c r="AE77" s="10" t="s">
        <v>102</v>
      </c>
      <c r="AF77" s="10" t="s">
        <v>102</v>
      </c>
      <c r="AG77" s="10" t="s">
        <v>102</v>
      </c>
      <c r="AH77" s="10" t="s">
        <v>102</v>
      </c>
      <c r="AI77" s="10" t="s">
        <v>102</v>
      </c>
      <c r="AJ77" s="10" t="s">
        <v>102</v>
      </c>
      <c r="AK77" s="10" t="s">
        <v>102</v>
      </c>
      <c r="AL77" s="10" t="s">
        <v>102</v>
      </c>
      <c r="AM77" s="10" t="s">
        <v>102</v>
      </c>
      <c r="AN77" s="10" t="s">
        <v>102</v>
      </c>
      <c r="AO77" s="10" t="s">
        <v>102</v>
      </c>
      <c r="AP77" s="10" t="s">
        <v>102</v>
      </c>
    </row>
    <row r="78" spans="1:42" s="27" customFormat="1" ht="22.5" x14ac:dyDescent="0.25">
      <c r="A78" s="34"/>
      <c r="B78" s="34"/>
      <c r="C78" s="34"/>
      <c r="D78" s="34"/>
      <c r="E78" s="34"/>
      <c r="F78" s="74"/>
      <c r="G78" s="34"/>
      <c r="H78" s="36"/>
      <c r="I78" s="39"/>
      <c r="J78" s="39"/>
      <c r="K78" s="39"/>
      <c r="L78" s="39"/>
      <c r="M78" s="39"/>
      <c r="N78" s="36"/>
      <c r="O78" s="36"/>
      <c r="P78" s="36"/>
      <c r="Q78" s="36"/>
      <c r="R78" s="36"/>
      <c r="S78" s="36"/>
      <c r="T78" s="163" t="s">
        <v>616</v>
      </c>
      <c r="U78" s="164" t="s">
        <v>225</v>
      </c>
      <c r="V78" s="165">
        <v>25</v>
      </c>
      <c r="W78" s="10"/>
      <c r="X78" s="10"/>
      <c r="Y78" s="10"/>
      <c r="Z78" s="10">
        <v>1</v>
      </c>
      <c r="AA78" s="34">
        <v>360</v>
      </c>
      <c r="AB78" s="10">
        <v>180</v>
      </c>
      <c r="AC78" s="10">
        <v>360</v>
      </c>
      <c r="AD78" s="10"/>
      <c r="AE78" s="10" t="s">
        <v>102</v>
      </c>
      <c r="AF78" s="10" t="s">
        <v>102</v>
      </c>
      <c r="AG78" s="10" t="s">
        <v>102</v>
      </c>
      <c r="AH78" s="10" t="s">
        <v>102</v>
      </c>
      <c r="AI78" s="10" t="s">
        <v>102</v>
      </c>
      <c r="AJ78" s="10" t="s">
        <v>102</v>
      </c>
      <c r="AK78" s="10" t="s">
        <v>102</v>
      </c>
      <c r="AL78" s="10" t="s">
        <v>102</v>
      </c>
      <c r="AM78" s="10" t="s">
        <v>102</v>
      </c>
      <c r="AN78" s="10" t="s">
        <v>102</v>
      </c>
      <c r="AO78" s="10" t="s">
        <v>102</v>
      </c>
      <c r="AP78" s="10" t="s">
        <v>102</v>
      </c>
    </row>
    <row r="79" spans="1:42" s="27" customFormat="1" ht="45" x14ac:dyDescent="0.25">
      <c r="A79" s="34"/>
      <c r="B79" s="34"/>
      <c r="C79" s="34"/>
      <c r="D79" s="34"/>
      <c r="E79" s="34"/>
      <c r="F79" s="74"/>
      <c r="G79" s="34"/>
      <c r="H79" s="36"/>
      <c r="I79" s="39"/>
      <c r="J79" s="39"/>
      <c r="K79" s="39"/>
      <c r="L79" s="39"/>
      <c r="M79" s="39"/>
      <c r="N79" s="36"/>
      <c r="O79" s="36"/>
      <c r="P79" s="36"/>
      <c r="Q79" s="36"/>
      <c r="R79" s="36"/>
      <c r="S79" s="36"/>
      <c r="T79" s="163" t="s">
        <v>617</v>
      </c>
      <c r="U79" s="164" t="s">
        <v>225</v>
      </c>
      <c r="V79" s="165">
        <v>40</v>
      </c>
      <c r="W79" s="10"/>
      <c r="X79" s="10"/>
      <c r="Y79" s="10">
        <v>12</v>
      </c>
      <c r="Z79" s="10">
        <v>40</v>
      </c>
      <c r="AA79" s="34">
        <v>360</v>
      </c>
      <c r="AB79" s="10">
        <v>180</v>
      </c>
      <c r="AC79" s="10">
        <v>360</v>
      </c>
      <c r="AD79" s="10"/>
      <c r="AE79" s="10" t="s">
        <v>102</v>
      </c>
      <c r="AF79" s="10" t="s">
        <v>102</v>
      </c>
      <c r="AG79" s="10" t="s">
        <v>102</v>
      </c>
      <c r="AH79" s="10" t="s">
        <v>102</v>
      </c>
      <c r="AI79" s="10" t="s">
        <v>102</v>
      </c>
      <c r="AJ79" s="10" t="s">
        <v>102</v>
      </c>
      <c r="AK79" s="10" t="s">
        <v>102</v>
      </c>
      <c r="AL79" s="10" t="s">
        <v>102</v>
      </c>
      <c r="AM79" s="10" t="s">
        <v>102</v>
      </c>
      <c r="AN79" s="10" t="s">
        <v>102</v>
      </c>
      <c r="AO79" s="10" t="s">
        <v>102</v>
      </c>
      <c r="AP79" s="10" t="s">
        <v>102</v>
      </c>
    </row>
    <row r="80" spans="1:42" s="27" customFormat="1" x14ac:dyDescent="0.25">
      <c r="A80" s="34"/>
      <c r="B80" s="34"/>
      <c r="C80" s="34"/>
      <c r="D80" s="34"/>
      <c r="E80" s="34"/>
      <c r="F80" s="74"/>
      <c r="G80" s="34"/>
      <c r="H80" s="36"/>
      <c r="I80" s="39"/>
      <c r="J80" s="39"/>
      <c r="K80" s="39"/>
      <c r="L80" s="39"/>
      <c r="M80" s="39"/>
      <c r="N80" s="36"/>
      <c r="O80" s="36"/>
      <c r="P80" s="36"/>
      <c r="Q80" s="36"/>
      <c r="R80" s="36"/>
      <c r="S80" s="36"/>
      <c r="T80" s="163"/>
      <c r="U80" s="164"/>
      <c r="V80" s="37"/>
      <c r="W80" s="10"/>
      <c r="X80" s="10"/>
      <c r="Y80" s="10"/>
      <c r="Z80" s="10"/>
      <c r="AA80" s="34"/>
      <c r="AB80" s="10"/>
      <c r="AC80" s="10"/>
      <c r="AD80" s="10"/>
      <c r="AE80" s="10"/>
      <c r="AF80" s="10"/>
      <c r="AG80" s="10"/>
      <c r="AH80" s="10"/>
      <c r="AI80" s="10"/>
      <c r="AJ80" s="10"/>
      <c r="AK80" s="10"/>
      <c r="AL80" s="10"/>
      <c r="AM80" s="10"/>
      <c r="AN80" s="10"/>
      <c r="AO80" s="10"/>
      <c r="AP80" s="10"/>
    </row>
    <row r="81" spans="1:42" s="27" customFormat="1" ht="84" x14ac:dyDescent="0.25">
      <c r="A81" s="34" t="s">
        <v>55</v>
      </c>
      <c r="B81" s="34" t="s">
        <v>354</v>
      </c>
      <c r="C81" s="34" t="s">
        <v>355</v>
      </c>
      <c r="D81" s="34">
        <v>241110900</v>
      </c>
      <c r="E81" s="34">
        <v>12301091</v>
      </c>
      <c r="F81" s="74" t="s">
        <v>395</v>
      </c>
      <c r="G81" s="34" t="s">
        <v>404</v>
      </c>
      <c r="H81" s="36">
        <v>673206000</v>
      </c>
      <c r="I81" s="39">
        <v>673206000</v>
      </c>
      <c r="J81" s="39">
        <v>738887000</v>
      </c>
      <c r="K81" s="39"/>
      <c r="L81" s="39"/>
      <c r="M81" s="39"/>
      <c r="N81" s="36">
        <f t="shared" si="1"/>
        <v>673206000</v>
      </c>
      <c r="O81" s="36">
        <f t="shared" si="0"/>
        <v>673206000</v>
      </c>
      <c r="P81" s="36">
        <f t="shared" si="0"/>
        <v>738887000</v>
      </c>
      <c r="Q81" s="162">
        <v>511271658</v>
      </c>
      <c r="R81" s="36"/>
      <c r="S81" s="36">
        <f t="shared" si="2"/>
        <v>511271658</v>
      </c>
      <c r="T81" s="37" t="s">
        <v>595</v>
      </c>
      <c r="U81" s="37" t="s">
        <v>225</v>
      </c>
      <c r="V81" s="37">
        <v>12</v>
      </c>
      <c r="W81" s="10">
        <v>1</v>
      </c>
      <c r="X81" s="10"/>
      <c r="Y81" s="10">
        <v>1</v>
      </c>
      <c r="Z81" s="10">
        <v>12</v>
      </c>
      <c r="AA81" s="34">
        <v>365</v>
      </c>
      <c r="AB81" s="10">
        <v>180</v>
      </c>
      <c r="AC81" s="10">
        <v>360</v>
      </c>
      <c r="AD81" s="10"/>
      <c r="AE81" s="10" t="s">
        <v>218</v>
      </c>
      <c r="AF81" s="10" t="s">
        <v>218</v>
      </c>
      <c r="AG81" s="10" t="s">
        <v>218</v>
      </c>
      <c r="AH81" s="10" t="s">
        <v>218</v>
      </c>
      <c r="AI81" s="10" t="s">
        <v>218</v>
      </c>
      <c r="AJ81" s="10" t="s">
        <v>218</v>
      </c>
      <c r="AK81" s="10" t="s">
        <v>218</v>
      </c>
      <c r="AL81" s="10" t="s">
        <v>218</v>
      </c>
      <c r="AM81" s="10" t="s">
        <v>218</v>
      </c>
      <c r="AN81" s="10" t="s">
        <v>218</v>
      </c>
      <c r="AO81" s="10" t="s">
        <v>218</v>
      </c>
      <c r="AP81" s="10" t="s">
        <v>218</v>
      </c>
    </row>
    <row r="82" spans="1:42" s="27" customFormat="1" ht="72" x14ac:dyDescent="0.25">
      <c r="A82" s="34" t="s">
        <v>55</v>
      </c>
      <c r="B82" s="34" t="s">
        <v>354</v>
      </c>
      <c r="C82" s="34" t="s">
        <v>355</v>
      </c>
      <c r="D82" s="34">
        <v>241110900</v>
      </c>
      <c r="E82" s="34">
        <v>12302001</v>
      </c>
      <c r="F82" s="74" t="s">
        <v>405</v>
      </c>
      <c r="G82" s="34" t="s">
        <v>406</v>
      </c>
      <c r="H82" s="36">
        <v>800000000</v>
      </c>
      <c r="I82" s="39">
        <v>800000000</v>
      </c>
      <c r="J82" s="39">
        <v>830000000</v>
      </c>
      <c r="K82" s="39"/>
      <c r="L82" s="39"/>
      <c r="M82" s="39"/>
      <c r="N82" s="36">
        <f t="shared" si="1"/>
        <v>800000000</v>
      </c>
      <c r="O82" s="36">
        <f t="shared" si="0"/>
        <v>800000000</v>
      </c>
      <c r="P82" s="36">
        <f t="shared" si="0"/>
        <v>830000000</v>
      </c>
      <c r="Q82" s="162">
        <v>784535034</v>
      </c>
      <c r="R82" s="36"/>
      <c r="S82" s="36">
        <f t="shared" si="2"/>
        <v>784535034</v>
      </c>
      <c r="T82" s="37" t="s">
        <v>618</v>
      </c>
      <c r="U82" s="37" t="s">
        <v>225</v>
      </c>
      <c r="V82" s="37">
        <v>2</v>
      </c>
      <c r="W82" s="10"/>
      <c r="X82" s="10"/>
      <c r="Y82" s="10">
        <v>2</v>
      </c>
      <c r="Z82" s="10">
        <v>2</v>
      </c>
      <c r="AA82" s="34">
        <v>210</v>
      </c>
      <c r="AB82" s="10">
        <v>105</v>
      </c>
      <c r="AC82" s="10">
        <v>210</v>
      </c>
      <c r="AD82" s="10" t="s">
        <v>619</v>
      </c>
      <c r="AE82" s="10">
        <v>0</v>
      </c>
      <c r="AF82" s="10">
        <v>0</v>
      </c>
      <c r="AG82" s="10" t="s">
        <v>218</v>
      </c>
      <c r="AH82" s="10" t="s">
        <v>218</v>
      </c>
      <c r="AI82" s="10" t="s">
        <v>218</v>
      </c>
      <c r="AJ82" s="10" t="s">
        <v>218</v>
      </c>
      <c r="AK82" s="10" t="s">
        <v>218</v>
      </c>
      <c r="AL82" s="10" t="s">
        <v>218</v>
      </c>
      <c r="AM82" s="10" t="s">
        <v>218</v>
      </c>
      <c r="AN82" s="10">
        <v>0</v>
      </c>
      <c r="AO82" s="10">
        <v>0</v>
      </c>
      <c r="AP82" s="10">
        <v>0</v>
      </c>
    </row>
    <row r="83" spans="1:42" s="27" customFormat="1" ht="81.75" customHeight="1" x14ac:dyDescent="0.25">
      <c r="A83" s="34"/>
      <c r="B83" s="34"/>
      <c r="C83" s="34"/>
      <c r="D83" s="34"/>
      <c r="E83" s="34"/>
      <c r="F83" s="74"/>
      <c r="G83" s="34"/>
      <c r="H83" s="36"/>
      <c r="I83" s="39"/>
      <c r="J83" s="39"/>
      <c r="K83" s="39"/>
      <c r="L83" s="39"/>
      <c r="M83" s="39"/>
      <c r="N83" s="36"/>
      <c r="O83" s="36"/>
      <c r="P83" s="36"/>
      <c r="Q83" s="36"/>
      <c r="R83" s="36"/>
      <c r="S83" s="36"/>
      <c r="T83" s="37"/>
      <c r="U83" s="37"/>
      <c r="V83" s="37"/>
      <c r="W83" s="10"/>
      <c r="X83" s="10"/>
      <c r="Y83" s="10"/>
      <c r="Z83" s="10"/>
      <c r="AA83" s="34"/>
      <c r="AB83" s="10"/>
      <c r="AC83" s="10"/>
      <c r="AD83" s="10"/>
      <c r="AE83" s="10"/>
      <c r="AF83" s="10"/>
      <c r="AG83" s="10"/>
      <c r="AH83" s="10"/>
      <c r="AI83" s="10"/>
      <c r="AJ83" s="10"/>
      <c r="AK83" s="10"/>
      <c r="AL83" s="10"/>
      <c r="AM83" s="10"/>
      <c r="AN83" s="10"/>
      <c r="AO83" s="10"/>
      <c r="AP83" s="10"/>
    </row>
    <row r="84" spans="1:42" s="27" customFormat="1" ht="96" x14ac:dyDescent="0.25">
      <c r="A84" s="34" t="s">
        <v>55</v>
      </c>
      <c r="B84" s="34" t="s">
        <v>354</v>
      </c>
      <c r="C84" s="34" t="s">
        <v>355</v>
      </c>
      <c r="D84" s="34">
        <v>241110900</v>
      </c>
      <c r="E84" s="34">
        <v>12302002</v>
      </c>
      <c r="F84" s="74" t="s">
        <v>405</v>
      </c>
      <c r="G84" s="34" t="s">
        <v>407</v>
      </c>
      <c r="H84" s="36">
        <v>140666000</v>
      </c>
      <c r="I84" s="39">
        <v>140666000</v>
      </c>
      <c r="J84" s="39">
        <v>168655000</v>
      </c>
      <c r="K84" s="39"/>
      <c r="L84" s="39"/>
      <c r="M84" s="39"/>
      <c r="N84" s="36">
        <f t="shared" si="1"/>
        <v>140666000</v>
      </c>
      <c r="O84" s="36">
        <f t="shared" si="0"/>
        <v>140666000</v>
      </c>
      <c r="P84" s="36">
        <f t="shared" si="0"/>
        <v>168655000</v>
      </c>
      <c r="Q84" s="162">
        <v>78175145</v>
      </c>
      <c r="R84" s="36"/>
      <c r="S84" s="36">
        <f t="shared" si="2"/>
        <v>78175145</v>
      </c>
      <c r="T84" s="37" t="s">
        <v>620</v>
      </c>
      <c r="U84" s="37" t="s">
        <v>225</v>
      </c>
      <c r="V84" s="37"/>
      <c r="W84" s="10"/>
      <c r="X84" s="10"/>
      <c r="Y84" s="10"/>
      <c r="Z84" s="10">
        <v>0</v>
      </c>
      <c r="AA84" s="34">
        <v>210</v>
      </c>
      <c r="AB84" s="10">
        <v>105</v>
      </c>
      <c r="AC84" s="10">
        <v>210</v>
      </c>
      <c r="AD84" s="10" t="s">
        <v>612</v>
      </c>
      <c r="AE84" s="10">
        <v>0</v>
      </c>
      <c r="AF84" s="10">
        <v>0</v>
      </c>
      <c r="AG84" s="10" t="s">
        <v>218</v>
      </c>
      <c r="AH84" s="10" t="s">
        <v>218</v>
      </c>
      <c r="AI84" s="10" t="s">
        <v>218</v>
      </c>
      <c r="AJ84" s="10" t="s">
        <v>218</v>
      </c>
      <c r="AK84" s="10" t="s">
        <v>218</v>
      </c>
      <c r="AL84" s="10" t="s">
        <v>218</v>
      </c>
      <c r="AM84" s="10" t="s">
        <v>218</v>
      </c>
      <c r="AN84" s="10" t="s">
        <v>218</v>
      </c>
      <c r="AO84" s="10">
        <v>0</v>
      </c>
      <c r="AP84" s="10">
        <v>0</v>
      </c>
    </row>
    <row r="85" spans="1:42" s="27" customFormat="1" ht="60" x14ac:dyDescent="0.25">
      <c r="A85" s="34"/>
      <c r="B85" s="34"/>
      <c r="C85" s="34"/>
      <c r="D85" s="34"/>
      <c r="E85" s="34"/>
      <c r="F85" s="74"/>
      <c r="G85" s="34"/>
      <c r="H85" s="36"/>
      <c r="I85" s="39"/>
      <c r="J85" s="39"/>
      <c r="K85" s="39"/>
      <c r="L85" s="39"/>
      <c r="M85" s="39"/>
      <c r="N85" s="36"/>
      <c r="O85" s="36"/>
      <c r="P85" s="36"/>
      <c r="Q85" s="36"/>
      <c r="R85" s="36"/>
      <c r="S85" s="36"/>
      <c r="T85" s="37" t="s">
        <v>621</v>
      </c>
      <c r="U85" s="37" t="s">
        <v>556</v>
      </c>
      <c r="V85" s="37"/>
      <c r="W85" s="10"/>
      <c r="X85" s="10"/>
      <c r="Y85" s="10"/>
      <c r="Z85" s="10">
        <v>6</v>
      </c>
      <c r="AA85" s="34"/>
      <c r="AB85" s="10"/>
      <c r="AC85" s="10"/>
      <c r="AD85" s="10" t="s">
        <v>619</v>
      </c>
      <c r="AE85" s="10"/>
      <c r="AF85" s="10"/>
      <c r="AG85" s="10"/>
      <c r="AH85" s="10"/>
      <c r="AI85" s="10"/>
      <c r="AJ85" s="10"/>
      <c r="AK85" s="10"/>
      <c r="AL85" s="10"/>
      <c r="AM85" s="10"/>
      <c r="AN85" s="10"/>
      <c r="AO85" s="10"/>
      <c r="AP85" s="10"/>
    </row>
    <row r="86" spans="1:42" s="27" customFormat="1" ht="108" x14ac:dyDescent="0.25">
      <c r="A86" s="34" t="s">
        <v>55</v>
      </c>
      <c r="B86" s="34" t="s">
        <v>354</v>
      </c>
      <c r="C86" s="34" t="s">
        <v>355</v>
      </c>
      <c r="D86" s="34">
        <v>241110900</v>
      </c>
      <c r="E86" s="34">
        <v>12303001</v>
      </c>
      <c r="F86" s="74" t="s">
        <v>408</v>
      </c>
      <c r="G86" s="34" t="s">
        <v>409</v>
      </c>
      <c r="H86" s="36">
        <v>1000000000</v>
      </c>
      <c r="I86" s="39">
        <v>1000000000</v>
      </c>
      <c r="J86" s="39">
        <v>1000000000</v>
      </c>
      <c r="K86" s="39"/>
      <c r="L86" s="39"/>
      <c r="M86" s="39"/>
      <c r="N86" s="36">
        <f t="shared" si="1"/>
        <v>1000000000</v>
      </c>
      <c r="O86" s="36">
        <f t="shared" si="0"/>
        <v>1000000000</v>
      </c>
      <c r="P86" s="36">
        <f t="shared" si="0"/>
        <v>1000000000</v>
      </c>
      <c r="Q86" s="162">
        <v>759831760</v>
      </c>
      <c r="R86" s="36"/>
      <c r="S86" s="36">
        <f t="shared" si="2"/>
        <v>759831760</v>
      </c>
      <c r="T86" s="37" t="s">
        <v>622</v>
      </c>
      <c r="U86" s="37" t="s">
        <v>225</v>
      </c>
      <c r="V86" s="37">
        <v>100</v>
      </c>
      <c r="W86" s="10">
        <v>90</v>
      </c>
      <c r="X86" s="10"/>
      <c r="Y86" s="10">
        <v>19</v>
      </c>
      <c r="Z86" s="10">
        <v>20</v>
      </c>
      <c r="AA86" s="34">
        <v>305</v>
      </c>
      <c r="AB86" s="10">
        <v>180</v>
      </c>
      <c r="AC86" s="10">
        <v>360</v>
      </c>
      <c r="AD86" s="10"/>
      <c r="AE86" s="10">
        <v>0</v>
      </c>
      <c r="AF86" s="10">
        <v>0</v>
      </c>
      <c r="AG86" s="10" t="s">
        <v>218</v>
      </c>
      <c r="AH86" s="10" t="s">
        <v>218</v>
      </c>
      <c r="AI86" s="10" t="s">
        <v>218</v>
      </c>
      <c r="AJ86" s="10" t="s">
        <v>218</v>
      </c>
      <c r="AK86" s="10" t="s">
        <v>218</v>
      </c>
      <c r="AL86" s="10" t="s">
        <v>218</v>
      </c>
      <c r="AM86" s="10" t="s">
        <v>218</v>
      </c>
      <c r="AN86" s="10" t="s">
        <v>218</v>
      </c>
      <c r="AO86" s="10" t="s">
        <v>218</v>
      </c>
      <c r="AP86" s="10" t="s">
        <v>218</v>
      </c>
    </row>
    <row r="87" spans="1:42" s="27" customFormat="1" ht="84" x14ac:dyDescent="0.25">
      <c r="A87" s="34" t="s">
        <v>55</v>
      </c>
      <c r="B87" s="34" t="s">
        <v>354</v>
      </c>
      <c r="C87" s="34" t="s">
        <v>355</v>
      </c>
      <c r="D87" s="34">
        <v>241110900</v>
      </c>
      <c r="E87" s="34">
        <v>12303090</v>
      </c>
      <c r="F87" s="74" t="s">
        <v>408</v>
      </c>
      <c r="G87" s="34" t="s">
        <v>410</v>
      </c>
      <c r="H87" s="36">
        <v>68963000</v>
      </c>
      <c r="I87" s="39">
        <v>68963000</v>
      </c>
      <c r="J87" s="39">
        <v>82816000</v>
      </c>
      <c r="K87" s="39"/>
      <c r="L87" s="39"/>
      <c r="M87" s="39"/>
      <c r="N87" s="36">
        <f t="shared" si="1"/>
        <v>68963000</v>
      </c>
      <c r="O87" s="36">
        <f t="shared" si="0"/>
        <v>68963000</v>
      </c>
      <c r="P87" s="36">
        <f t="shared" si="0"/>
        <v>82816000</v>
      </c>
      <c r="Q87" s="166">
        <v>1109790</v>
      </c>
      <c r="R87" s="36"/>
      <c r="S87" s="36">
        <f t="shared" si="2"/>
        <v>1109790</v>
      </c>
      <c r="T87" s="37" t="s">
        <v>623</v>
      </c>
      <c r="U87" s="37" t="s">
        <v>225</v>
      </c>
      <c r="V87" s="37">
        <v>18</v>
      </c>
      <c r="W87" s="10"/>
      <c r="X87" s="10"/>
      <c r="Y87" s="10">
        <v>22</v>
      </c>
      <c r="Z87" s="10">
        <v>22</v>
      </c>
      <c r="AA87" s="34">
        <v>275</v>
      </c>
      <c r="AB87" s="10">
        <v>137</v>
      </c>
      <c r="AC87" s="10">
        <v>270</v>
      </c>
      <c r="AD87" s="10"/>
      <c r="AE87" s="10">
        <v>0</v>
      </c>
      <c r="AF87" s="10">
        <v>0</v>
      </c>
      <c r="AG87" s="10" t="s">
        <v>218</v>
      </c>
      <c r="AH87" s="10" t="s">
        <v>218</v>
      </c>
      <c r="AI87" s="10" t="s">
        <v>218</v>
      </c>
      <c r="AJ87" s="10" t="s">
        <v>218</v>
      </c>
      <c r="AK87" s="10" t="s">
        <v>218</v>
      </c>
      <c r="AL87" s="10" t="s">
        <v>218</v>
      </c>
      <c r="AM87" s="10" t="s">
        <v>218</v>
      </c>
      <c r="AN87" s="10" t="s">
        <v>218</v>
      </c>
      <c r="AO87" s="10" t="s">
        <v>218</v>
      </c>
      <c r="AP87" s="10">
        <v>0</v>
      </c>
    </row>
    <row r="88" spans="1:42" s="27" customFormat="1" ht="72" x14ac:dyDescent="0.25">
      <c r="A88" s="34" t="s">
        <v>55</v>
      </c>
      <c r="B88" s="34" t="s">
        <v>354</v>
      </c>
      <c r="C88" s="34" t="s">
        <v>355</v>
      </c>
      <c r="D88" s="34">
        <v>241110900</v>
      </c>
      <c r="E88" s="34">
        <v>12304001</v>
      </c>
      <c r="F88" s="74" t="s">
        <v>411</v>
      </c>
      <c r="G88" s="34" t="s">
        <v>412</v>
      </c>
      <c r="H88" s="36">
        <v>550960000</v>
      </c>
      <c r="I88" s="39">
        <v>1590258837</v>
      </c>
      <c r="J88" s="39">
        <v>481772896</v>
      </c>
      <c r="K88" s="39"/>
      <c r="L88" s="39"/>
      <c r="M88" s="39"/>
      <c r="N88" s="36">
        <f t="shared" si="1"/>
        <v>550960000</v>
      </c>
      <c r="O88" s="36">
        <f t="shared" si="0"/>
        <v>1590258837</v>
      </c>
      <c r="P88" s="36">
        <f t="shared" si="0"/>
        <v>481772896</v>
      </c>
      <c r="Q88" s="162">
        <v>401694031</v>
      </c>
      <c r="R88" s="36"/>
      <c r="S88" s="36">
        <f t="shared" si="2"/>
        <v>401694031</v>
      </c>
      <c r="T88" s="37" t="s">
        <v>624</v>
      </c>
      <c r="U88" s="37" t="s">
        <v>225</v>
      </c>
      <c r="V88" s="160">
        <v>15</v>
      </c>
      <c r="W88" s="10"/>
      <c r="X88" s="10"/>
      <c r="Y88" s="10">
        <v>0</v>
      </c>
      <c r="Z88" s="10">
        <v>4</v>
      </c>
      <c r="AA88" s="34">
        <v>240</v>
      </c>
      <c r="AB88" s="10">
        <v>120</v>
      </c>
      <c r="AC88" s="10">
        <v>240</v>
      </c>
      <c r="AD88" s="10"/>
      <c r="AE88" s="10">
        <v>0</v>
      </c>
      <c r="AF88" s="10">
        <v>0</v>
      </c>
      <c r="AG88" s="10">
        <v>0</v>
      </c>
      <c r="AH88" s="10" t="s">
        <v>218</v>
      </c>
      <c r="AI88" s="10" t="s">
        <v>218</v>
      </c>
      <c r="AJ88" s="10" t="s">
        <v>218</v>
      </c>
      <c r="AK88" s="10" t="s">
        <v>218</v>
      </c>
      <c r="AL88" s="10" t="s">
        <v>218</v>
      </c>
      <c r="AM88" s="10" t="s">
        <v>218</v>
      </c>
      <c r="AN88" s="10" t="s">
        <v>218</v>
      </c>
      <c r="AO88" s="10" t="s">
        <v>218</v>
      </c>
      <c r="AP88" s="10" t="s">
        <v>218</v>
      </c>
    </row>
    <row r="89" spans="1:42" s="27" customFormat="1" ht="72" x14ac:dyDescent="0.25">
      <c r="A89" s="34" t="s">
        <v>55</v>
      </c>
      <c r="B89" s="34" t="s">
        <v>354</v>
      </c>
      <c r="C89" s="34" t="s">
        <v>355</v>
      </c>
      <c r="D89" s="34">
        <v>241110900</v>
      </c>
      <c r="E89" s="34">
        <v>12304002</v>
      </c>
      <c r="F89" s="74" t="s">
        <v>411</v>
      </c>
      <c r="G89" s="34" t="s">
        <v>413</v>
      </c>
      <c r="H89" s="36">
        <v>2203840000</v>
      </c>
      <c r="I89" s="39">
        <v>6366355537</v>
      </c>
      <c r="J89" s="39">
        <v>1932411774</v>
      </c>
      <c r="K89" s="39"/>
      <c r="L89" s="39"/>
      <c r="M89" s="39"/>
      <c r="N89" s="36">
        <f t="shared" si="1"/>
        <v>2203840000</v>
      </c>
      <c r="O89" s="36">
        <f t="shared" si="0"/>
        <v>6366355537</v>
      </c>
      <c r="P89" s="36">
        <f t="shared" si="0"/>
        <v>1932411774</v>
      </c>
      <c r="Q89" s="162">
        <v>1511163284</v>
      </c>
      <c r="R89" s="36"/>
      <c r="S89" s="36">
        <f t="shared" si="2"/>
        <v>1511163284</v>
      </c>
      <c r="T89" s="37" t="s">
        <v>625</v>
      </c>
      <c r="U89" s="37" t="s">
        <v>225</v>
      </c>
      <c r="V89" s="160">
        <v>20</v>
      </c>
      <c r="W89" s="10"/>
      <c r="X89" s="10"/>
      <c r="Y89" s="10">
        <v>8</v>
      </c>
      <c r="Z89" s="10">
        <v>11</v>
      </c>
      <c r="AA89" s="34">
        <v>210</v>
      </c>
      <c r="AB89" s="10">
        <v>105</v>
      </c>
      <c r="AC89" s="10">
        <v>210</v>
      </c>
      <c r="AD89" s="10"/>
      <c r="AE89" s="10">
        <v>0</v>
      </c>
      <c r="AF89" s="10">
        <v>0</v>
      </c>
      <c r="AG89" s="10">
        <v>0</v>
      </c>
      <c r="AH89" s="10">
        <v>0</v>
      </c>
      <c r="AI89" s="10" t="s">
        <v>218</v>
      </c>
      <c r="AJ89" s="10" t="s">
        <v>218</v>
      </c>
      <c r="AK89" s="10" t="s">
        <v>218</v>
      </c>
      <c r="AL89" s="10" t="s">
        <v>102</v>
      </c>
      <c r="AM89" s="10" t="s">
        <v>218</v>
      </c>
      <c r="AN89" s="10" t="s">
        <v>218</v>
      </c>
      <c r="AO89" s="10" t="s">
        <v>218</v>
      </c>
      <c r="AP89" s="10">
        <v>0</v>
      </c>
    </row>
    <row r="90" spans="1:42" s="27" customFormat="1" ht="72" x14ac:dyDescent="0.25">
      <c r="A90" s="34" t="s">
        <v>55</v>
      </c>
      <c r="B90" s="34" t="s">
        <v>354</v>
      </c>
      <c r="C90" s="34" t="s">
        <v>355</v>
      </c>
      <c r="D90" s="34">
        <v>241110900</v>
      </c>
      <c r="E90" s="34">
        <v>12304003</v>
      </c>
      <c r="F90" s="74" t="s">
        <v>411</v>
      </c>
      <c r="G90" s="34" t="s">
        <v>414</v>
      </c>
      <c r="H90" s="36">
        <v>2066100000</v>
      </c>
      <c r="I90" s="39">
        <v>2630200070</v>
      </c>
      <c r="J90" s="39">
        <v>168545927</v>
      </c>
      <c r="K90" s="39"/>
      <c r="L90" s="39"/>
      <c r="M90" s="39"/>
      <c r="N90" s="36">
        <f t="shared" si="1"/>
        <v>2066100000</v>
      </c>
      <c r="O90" s="36">
        <f t="shared" si="0"/>
        <v>2630200070</v>
      </c>
      <c r="P90" s="36">
        <f t="shared" si="0"/>
        <v>168545927</v>
      </c>
      <c r="Q90" s="162">
        <v>148152927</v>
      </c>
      <c r="R90" s="36"/>
      <c r="S90" s="36">
        <f t="shared" si="2"/>
        <v>148152927</v>
      </c>
      <c r="T90" s="37" t="s">
        <v>624</v>
      </c>
      <c r="U90" s="37" t="s">
        <v>225</v>
      </c>
      <c r="V90" s="37">
        <v>86</v>
      </c>
      <c r="W90" s="10"/>
      <c r="X90" s="10"/>
      <c r="Y90" s="10">
        <v>0</v>
      </c>
      <c r="Z90" s="10">
        <v>64</v>
      </c>
      <c r="AA90" s="34">
        <v>360</v>
      </c>
      <c r="AB90" s="10">
        <v>180</v>
      </c>
      <c r="AC90" s="10">
        <v>360</v>
      </c>
      <c r="AD90" s="10"/>
      <c r="AE90" s="10">
        <v>0</v>
      </c>
      <c r="AF90" s="10">
        <v>0</v>
      </c>
      <c r="AG90" s="10">
        <v>0</v>
      </c>
      <c r="AH90" s="10" t="s">
        <v>218</v>
      </c>
      <c r="AI90" s="10" t="s">
        <v>218</v>
      </c>
      <c r="AJ90" s="10" t="s">
        <v>218</v>
      </c>
      <c r="AK90" s="10" t="s">
        <v>218</v>
      </c>
      <c r="AL90" s="10" t="s">
        <v>218</v>
      </c>
      <c r="AM90" s="10" t="s">
        <v>218</v>
      </c>
      <c r="AN90" s="10" t="s">
        <v>218</v>
      </c>
      <c r="AO90" s="10" t="s">
        <v>218</v>
      </c>
      <c r="AP90" s="10">
        <v>0</v>
      </c>
    </row>
    <row r="91" spans="1:42" s="27" customFormat="1" ht="72" x14ac:dyDescent="0.25">
      <c r="A91" s="34" t="s">
        <v>55</v>
      </c>
      <c r="B91" s="34" t="s">
        <v>354</v>
      </c>
      <c r="C91" s="34" t="s">
        <v>355</v>
      </c>
      <c r="D91" s="34">
        <v>241110900</v>
      </c>
      <c r="E91" s="34">
        <v>12304004</v>
      </c>
      <c r="F91" s="74" t="s">
        <v>411</v>
      </c>
      <c r="G91" s="34" t="s">
        <v>415</v>
      </c>
      <c r="H91" s="36">
        <v>2066100000</v>
      </c>
      <c r="I91" s="39">
        <v>2230389944</v>
      </c>
      <c r="J91" s="162"/>
      <c r="K91" s="39"/>
      <c r="L91" s="39"/>
      <c r="M91" s="39"/>
      <c r="N91" s="36">
        <f t="shared" si="1"/>
        <v>2066100000</v>
      </c>
      <c r="O91" s="36">
        <f t="shared" si="0"/>
        <v>2230389944</v>
      </c>
      <c r="P91" s="36">
        <f t="shared" si="0"/>
        <v>0</v>
      </c>
      <c r="Q91" s="162"/>
      <c r="R91" s="36"/>
      <c r="S91" s="36">
        <f t="shared" si="2"/>
        <v>0</v>
      </c>
      <c r="T91" s="37" t="s">
        <v>625</v>
      </c>
      <c r="U91" s="37" t="s">
        <v>225</v>
      </c>
      <c r="V91" s="37">
        <v>13</v>
      </c>
      <c r="W91" s="10"/>
      <c r="X91" s="10"/>
      <c r="Y91" s="10">
        <v>8</v>
      </c>
      <c r="Z91" s="10">
        <v>11</v>
      </c>
      <c r="AA91" s="34">
        <v>360</v>
      </c>
      <c r="AB91" s="10">
        <v>180</v>
      </c>
      <c r="AC91" s="10">
        <v>360</v>
      </c>
      <c r="AD91" s="10"/>
      <c r="AE91" s="10">
        <v>0</v>
      </c>
      <c r="AF91" s="10">
        <v>0</v>
      </c>
      <c r="AG91" s="10">
        <v>0</v>
      </c>
      <c r="AH91" s="10" t="s">
        <v>218</v>
      </c>
      <c r="AI91" s="10" t="s">
        <v>218</v>
      </c>
      <c r="AJ91" s="10" t="s">
        <v>218</v>
      </c>
      <c r="AK91" s="10" t="s">
        <v>218</v>
      </c>
      <c r="AL91" s="10" t="s">
        <v>218</v>
      </c>
      <c r="AM91" s="10" t="s">
        <v>218</v>
      </c>
      <c r="AN91" s="10" t="s">
        <v>218</v>
      </c>
      <c r="AO91" s="10" t="s">
        <v>218</v>
      </c>
      <c r="AP91" s="10">
        <v>0</v>
      </c>
    </row>
    <row r="92" spans="1:42" s="27" customFormat="1" ht="72" x14ac:dyDescent="0.25">
      <c r="A92" s="34" t="s">
        <v>55</v>
      </c>
      <c r="B92" s="34" t="s">
        <v>354</v>
      </c>
      <c r="C92" s="34" t="s">
        <v>355</v>
      </c>
      <c r="D92" s="34">
        <v>241110900</v>
      </c>
      <c r="E92" s="34">
        <v>12304005</v>
      </c>
      <c r="F92" s="74" t="s">
        <v>411</v>
      </c>
      <c r="G92" s="34" t="s">
        <v>415</v>
      </c>
      <c r="H92" s="36"/>
      <c r="I92" s="39"/>
      <c r="J92" s="39">
        <v>17900371137</v>
      </c>
      <c r="K92" s="39"/>
      <c r="L92" s="39"/>
      <c r="M92" s="39"/>
      <c r="N92" s="36">
        <f t="shared" si="1"/>
        <v>0</v>
      </c>
      <c r="O92" s="36">
        <f t="shared" si="0"/>
        <v>0</v>
      </c>
      <c r="P92" s="36">
        <f t="shared" si="0"/>
        <v>17900371137</v>
      </c>
      <c r="Q92" s="162">
        <v>14413013038</v>
      </c>
      <c r="R92" s="36"/>
      <c r="S92" s="36">
        <f t="shared" si="2"/>
        <v>14413013038</v>
      </c>
      <c r="T92" s="37"/>
      <c r="U92" s="37"/>
      <c r="V92" s="37"/>
      <c r="W92" s="10"/>
      <c r="X92" s="10"/>
      <c r="Y92" s="10"/>
      <c r="Z92" s="10"/>
      <c r="AA92" s="34"/>
      <c r="AB92" s="10"/>
      <c r="AC92" s="10"/>
      <c r="AD92" s="10"/>
      <c r="AE92" s="10"/>
      <c r="AF92" s="10"/>
      <c r="AG92" s="10"/>
      <c r="AH92" s="10"/>
      <c r="AI92" s="10"/>
      <c r="AJ92" s="10"/>
      <c r="AK92" s="10"/>
      <c r="AL92" s="10"/>
      <c r="AM92" s="10"/>
      <c r="AN92" s="10"/>
      <c r="AO92" s="10"/>
      <c r="AP92" s="10"/>
    </row>
    <row r="93" spans="1:42" s="27" customFormat="1" ht="84" x14ac:dyDescent="0.25">
      <c r="A93" s="34" t="s">
        <v>55</v>
      </c>
      <c r="B93" s="34" t="s">
        <v>354</v>
      </c>
      <c r="C93" s="34" t="s">
        <v>355</v>
      </c>
      <c r="D93" s="34">
        <v>241110900</v>
      </c>
      <c r="E93" s="34">
        <v>12304090</v>
      </c>
      <c r="F93" s="74" t="s">
        <v>411</v>
      </c>
      <c r="G93" s="34" t="s">
        <v>416</v>
      </c>
      <c r="H93" s="36">
        <v>69236000</v>
      </c>
      <c r="I93" s="39">
        <v>69236000</v>
      </c>
      <c r="J93" s="39">
        <v>82870000</v>
      </c>
      <c r="K93" s="39"/>
      <c r="L93" s="39"/>
      <c r="M93" s="39"/>
      <c r="N93" s="36">
        <f t="shared" si="1"/>
        <v>69236000</v>
      </c>
      <c r="O93" s="36">
        <f t="shared" si="0"/>
        <v>69236000</v>
      </c>
      <c r="P93" s="36">
        <f t="shared" si="0"/>
        <v>82870000</v>
      </c>
      <c r="Q93" s="162">
        <v>67736676</v>
      </c>
      <c r="R93" s="36"/>
      <c r="S93" s="36">
        <f t="shared" si="2"/>
        <v>67736676</v>
      </c>
      <c r="T93" s="37" t="s">
        <v>626</v>
      </c>
      <c r="U93" s="37" t="s">
        <v>225</v>
      </c>
      <c r="V93" s="37">
        <v>0</v>
      </c>
      <c r="W93" s="10"/>
      <c r="X93" s="10"/>
      <c r="Y93" s="10"/>
      <c r="Z93" s="10">
        <v>1</v>
      </c>
      <c r="AA93" s="34">
        <v>365</v>
      </c>
      <c r="AB93" s="10">
        <v>180</v>
      </c>
      <c r="AC93" s="10">
        <v>360</v>
      </c>
      <c r="AD93" s="10"/>
      <c r="AE93" s="10" t="s">
        <v>218</v>
      </c>
      <c r="AF93" s="10" t="s">
        <v>218</v>
      </c>
      <c r="AG93" s="10" t="s">
        <v>218</v>
      </c>
      <c r="AH93" s="10" t="s">
        <v>218</v>
      </c>
      <c r="AI93" s="10" t="s">
        <v>218</v>
      </c>
      <c r="AJ93" s="10" t="s">
        <v>218</v>
      </c>
      <c r="AK93" s="10" t="s">
        <v>218</v>
      </c>
      <c r="AL93" s="10" t="s">
        <v>218</v>
      </c>
      <c r="AM93" s="10" t="s">
        <v>218</v>
      </c>
      <c r="AN93" s="10" t="s">
        <v>218</v>
      </c>
      <c r="AO93" s="10" t="s">
        <v>218</v>
      </c>
      <c r="AP93" s="10" t="s">
        <v>218</v>
      </c>
    </row>
    <row r="94" spans="1:42" s="27" customFormat="1" ht="72" x14ac:dyDescent="0.25">
      <c r="A94" s="34" t="s">
        <v>55</v>
      </c>
      <c r="B94" s="34" t="s">
        <v>354</v>
      </c>
      <c r="C94" s="34" t="s">
        <v>355</v>
      </c>
      <c r="D94" s="34">
        <v>241110600</v>
      </c>
      <c r="E94" s="34">
        <v>13101090</v>
      </c>
      <c r="F94" s="74" t="s">
        <v>417</v>
      </c>
      <c r="G94" s="34" t="s">
        <v>418</v>
      </c>
      <c r="H94" s="36">
        <v>787110000</v>
      </c>
      <c r="I94" s="39">
        <v>858126000</v>
      </c>
      <c r="J94" s="39">
        <v>858126000</v>
      </c>
      <c r="K94" s="39"/>
      <c r="L94" s="39"/>
      <c r="M94" s="39"/>
      <c r="N94" s="36">
        <f t="shared" si="1"/>
        <v>787110000</v>
      </c>
      <c r="O94" s="36">
        <f t="shared" si="0"/>
        <v>858126000</v>
      </c>
      <c r="P94" s="36">
        <f t="shared" si="0"/>
        <v>858126000</v>
      </c>
      <c r="Q94" s="162">
        <v>485864088</v>
      </c>
      <c r="R94" s="36"/>
      <c r="S94" s="36">
        <f t="shared" si="2"/>
        <v>485864088</v>
      </c>
      <c r="T94" s="37" t="s">
        <v>627</v>
      </c>
      <c r="U94" s="37" t="s">
        <v>225</v>
      </c>
      <c r="V94" s="160">
        <v>50</v>
      </c>
      <c r="W94" s="10"/>
      <c r="X94" s="10"/>
      <c r="Y94" s="10">
        <v>19</v>
      </c>
      <c r="Z94" s="10">
        <v>27</v>
      </c>
      <c r="AA94" s="34">
        <v>365</v>
      </c>
      <c r="AB94" s="10">
        <v>180</v>
      </c>
      <c r="AC94" s="10">
        <v>185</v>
      </c>
      <c r="AD94" s="10"/>
      <c r="AE94" s="10" t="s">
        <v>218</v>
      </c>
      <c r="AF94" s="10" t="s">
        <v>218</v>
      </c>
      <c r="AG94" s="10" t="s">
        <v>218</v>
      </c>
      <c r="AH94" s="10" t="s">
        <v>218</v>
      </c>
      <c r="AI94" s="10" t="s">
        <v>218</v>
      </c>
      <c r="AJ94" s="10" t="s">
        <v>218</v>
      </c>
      <c r="AK94" s="10" t="s">
        <v>218</v>
      </c>
      <c r="AL94" s="10" t="s">
        <v>218</v>
      </c>
      <c r="AM94" s="10" t="s">
        <v>218</v>
      </c>
      <c r="AN94" s="10" t="s">
        <v>218</v>
      </c>
      <c r="AO94" s="10" t="s">
        <v>218</v>
      </c>
      <c r="AP94" s="10" t="s">
        <v>218</v>
      </c>
    </row>
    <row r="95" spans="1:42" s="27" customFormat="1" ht="84" x14ac:dyDescent="0.25">
      <c r="A95" s="34" t="s">
        <v>55</v>
      </c>
      <c r="B95" s="34" t="s">
        <v>354</v>
      </c>
      <c r="C95" s="34" t="s">
        <v>355</v>
      </c>
      <c r="D95" s="34">
        <v>241110900</v>
      </c>
      <c r="E95" s="34">
        <v>13101001</v>
      </c>
      <c r="F95" s="74" t="s">
        <v>417</v>
      </c>
      <c r="G95" s="34" t="s">
        <v>421</v>
      </c>
      <c r="H95" s="36">
        <v>900000000</v>
      </c>
      <c r="I95" s="39">
        <v>3481941897</v>
      </c>
      <c r="J95" s="39">
        <v>5481941897</v>
      </c>
      <c r="K95" s="39"/>
      <c r="L95" s="39"/>
      <c r="M95" s="39"/>
      <c r="N95" s="36">
        <f t="shared" si="1"/>
        <v>900000000</v>
      </c>
      <c r="O95" s="36">
        <f t="shared" si="0"/>
        <v>3481941897</v>
      </c>
      <c r="P95" s="36">
        <f t="shared" si="0"/>
        <v>5481941897</v>
      </c>
      <c r="Q95" s="162">
        <v>3280432841</v>
      </c>
      <c r="R95" s="36"/>
      <c r="S95" s="36">
        <f t="shared" si="2"/>
        <v>3280432841</v>
      </c>
      <c r="T95" s="37" t="s">
        <v>628</v>
      </c>
      <c r="U95" s="37" t="s">
        <v>225</v>
      </c>
      <c r="V95" s="160">
        <v>45</v>
      </c>
      <c r="W95" s="10"/>
      <c r="X95" s="10"/>
      <c r="Y95" s="10">
        <v>26</v>
      </c>
      <c r="Z95" s="10">
        <f>94-Y95</f>
        <v>68</v>
      </c>
      <c r="AA95" s="34">
        <v>365</v>
      </c>
      <c r="AB95" s="10">
        <v>180</v>
      </c>
      <c r="AC95" s="10">
        <v>185</v>
      </c>
      <c r="AD95" s="10"/>
      <c r="AE95" s="10" t="s">
        <v>218</v>
      </c>
      <c r="AF95" s="10" t="s">
        <v>218</v>
      </c>
      <c r="AG95" s="10" t="s">
        <v>218</v>
      </c>
      <c r="AH95" s="10" t="s">
        <v>218</v>
      </c>
      <c r="AI95" s="10" t="s">
        <v>218</v>
      </c>
      <c r="AJ95" s="10" t="s">
        <v>218</v>
      </c>
      <c r="AK95" s="10" t="s">
        <v>218</v>
      </c>
      <c r="AL95" s="10" t="s">
        <v>218</v>
      </c>
      <c r="AM95" s="10" t="s">
        <v>218</v>
      </c>
      <c r="AN95" s="10" t="s">
        <v>218</v>
      </c>
      <c r="AO95" s="10" t="s">
        <v>218</v>
      </c>
      <c r="AP95" s="10" t="s">
        <v>218</v>
      </c>
    </row>
    <row r="96" spans="1:42" s="27" customFormat="1" ht="48" x14ac:dyDescent="0.25">
      <c r="A96" s="34">
        <v>0</v>
      </c>
      <c r="B96" s="34">
        <v>0</v>
      </c>
      <c r="C96" s="34">
        <v>0</v>
      </c>
      <c r="D96" s="34">
        <v>0</v>
      </c>
      <c r="E96" s="34">
        <v>0</v>
      </c>
      <c r="F96" s="74">
        <v>0</v>
      </c>
      <c r="G96" s="34">
        <v>0</v>
      </c>
      <c r="H96" s="36">
        <v>0</v>
      </c>
      <c r="I96" s="39"/>
      <c r="J96" s="39"/>
      <c r="K96" s="39"/>
      <c r="L96" s="39"/>
      <c r="M96" s="39"/>
      <c r="N96" s="36">
        <f t="shared" si="1"/>
        <v>0</v>
      </c>
      <c r="O96" s="36">
        <f t="shared" si="0"/>
        <v>0</v>
      </c>
      <c r="P96" s="36">
        <f t="shared" si="0"/>
        <v>0</v>
      </c>
      <c r="Q96" s="36"/>
      <c r="R96" s="36"/>
      <c r="S96" s="36">
        <f t="shared" si="2"/>
        <v>0</v>
      </c>
      <c r="T96" s="37" t="s">
        <v>629</v>
      </c>
      <c r="U96" s="37" t="s">
        <v>225</v>
      </c>
      <c r="V96" s="160">
        <v>25</v>
      </c>
      <c r="W96" s="10">
        <v>26</v>
      </c>
      <c r="X96" s="10"/>
      <c r="Y96" s="10">
        <v>26</v>
      </c>
      <c r="Z96" s="10">
        <f>30-Y96</f>
        <v>4</v>
      </c>
      <c r="AA96" s="34">
        <v>365</v>
      </c>
      <c r="AB96" s="10">
        <v>180</v>
      </c>
      <c r="AC96" s="10">
        <v>185</v>
      </c>
      <c r="AD96" s="10"/>
      <c r="AE96" s="10" t="s">
        <v>218</v>
      </c>
      <c r="AF96" s="10" t="s">
        <v>218</v>
      </c>
      <c r="AG96" s="10" t="s">
        <v>218</v>
      </c>
      <c r="AH96" s="10" t="s">
        <v>218</v>
      </c>
      <c r="AI96" s="10" t="s">
        <v>218</v>
      </c>
      <c r="AJ96" s="10" t="s">
        <v>218</v>
      </c>
      <c r="AK96" s="10" t="s">
        <v>218</v>
      </c>
      <c r="AL96" s="10" t="s">
        <v>218</v>
      </c>
      <c r="AM96" s="10" t="s">
        <v>218</v>
      </c>
      <c r="AN96" s="10" t="s">
        <v>218</v>
      </c>
      <c r="AO96" s="10" t="s">
        <v>218</v>
      </c>
      <c r="AP96" s="10" t="s">
        <v>218</v>
      </c>
    </row>
    <row r="97" spans="1:42" s="27" customFormat="1" ht="36.75" customHeight="1" x14ac:dyDescent="0.25">
      <c r="A97" s="34">
        <v>0</v>
      </c>
      <c r="B97" s="34">
        <v>0</v>
      </c>
      <c r="C97" s="34">
        <v>0</v>
      </c>
      <c r="D97" s="34">
        <v>0</v>
      </c>
      <c r="E97" s="34">
        <v>0</v>
      </c>
      <c r="F97" s="74">
        <v>0</v>
      </c>
      <c r="G97" s="34">
        <v>0</v>
      </c>
      <c r="H97" s="36">
        <v>0</v>
      </c>
      <c r="I97" s="39"/>
      <c r="J97" s="39"/>
      <c r="K97" s="39"/>
      <c r="L97" s="39"/>
      <c r="M97" s="39"/>
      <c r="N97" s="36">
        <f t="shared" si="1"/>
        <v>0</v>
      </c>
      <c r="O97" s="36">
        <f t="shared" si="0"/>
        <v>0</v>
      </c>
      <c r="P97" s="36">
        <f t="shared" si="0"/>
        <v>0</v>
      </c>
      <c r="Q97" s="36"/>
      <c r="R97" s="36"/>
      <c r="S97" s="36">
        <f t="shared" si="2"/>
        <v>0</v>
      </c>
      <c r="T97" s="37" t="s">
        <v>630</v>
      </c>
      <c r="U97" s="37" t="s">
        <v>225</v>
      </c>
      <c r="V97" s="160">
        <v>3</v>
      </c>
      <c r="W97" s="10"/>
      <c r="X97" s="10"/>
      <c r="Y97" s="10">
        <v>0</v>
      </c>
      <c r="Z97" s="10">
        <v>2</v>
      </c>
      <c r="AA97" s="34">
        <v>365</v>
      </c>
      <c r="AB97" s="10">
        <v>180</v>
      </c>
      <c r="AC97" s="10">
        <v>185</v>
      </c>
      <c r="AD97" s="10"/>
      <c r="AE97" s="10">
        <v>0</v>
      </c>
      <c r="AF97" s="10" t="s">
        <v>218</v>
      </c>
      <c r="AG97" s="10" t="s">
        <v>218</v>
      </c>
      <c r="AH97" s="10" t="s">
        <v>218</v>
      </c>
      <c r="AI97" s="10" t="s">
        <v>218</v>
      </c>
      <c r="AJ97" s="10" t="s">
        <v>218</v>
      </c>
      <c r="AK97" s="10" t="s">
        <v>218</v>
      </c>
      <c r="AL97" s="10" t="s">
        <v>218</v>
      </c>
      <c r="AM97" s="10" t="s">
        <v>218</v>
      </c>
      <c r="AN97" s="10" t="s">
        <v>218</v>
      </c>
      <c r="AO97" s="10" t="s">
        <v>218</v>
      </c>
      <c r="AP97" s="10" t="s">
        <v>218</v>
      </c>
    </row>
    <row r="98" spans="1:42" s="27" customFormat="1" x14ac:dyDescent="0.25">
      <c r="A98" s="34"/>
      <c r="B98" s="34"/>
      <c r="C98" s="34"/>
      <c r="D98" s="34"/>
      <c r="E98" s="34"/>
      <c r="F98" s="74"/>
      <c r="G98" s="34"/>
      <c r="H98" s="36"/>
      <c r="I98" s="39"/>
      <c r="J98" s="39"/>
      <c r="K98" s="39"/>
      <c r="L98" s="39"/>
      <c r="M98" s="39"/>
      <c r="N98" s="36"/>
      <c r="O98" s="36"/>
      <c r="P98" s="36"/>
      <c r="Q98" s="36"/>
      <c r="R98" s="36"/>
      <c r="S98" s="36"/>
      <c r="T98" s="36"/>
      <c r="U98" s="36"/>
      <c r="V98" s="36"/>
      <c r="W98" s="36"/>
      <c r="X98" s="36"/>
      <c r="Y98" s="36"/>
      <c r="Z98" s="10"/>
      <c r="AA98" s="34"/>
      <c r="AB98" s="10"/>
      <c r="AC98" s="10"/>
      <c r="AD98" s="10"/>
      <c r="AE98" s="10"/>
      <c r="AF98" s="10"/>
      <c r="AG98" s="10"/>
      <c r="AH98" s="10"/>
      <c r="AI98" s="10"/>
      <c r="AJ98" s="10"/>
      <c r="AK98" s="10"/>
      <c r="AL98" s="10"/>
      <c r="AM98" s="10"/>
      <c r="AN98" s="10"/>
      <c r="AO98" s="10"/>
      <c r="AP98" s="10"/>
    </row>
    <row r="99" spans="1:42" s="27" customFormat="1" ht="72" x14ac:dyDescent="0.25">
      <c r="A99" s="34" t="s">
        <v>55</v>
      </c>
      <c r="B99" s="34" t="s">
        <v>354</v>
      </c>
      <c r="C99" s="34" t="s">
        <v>355</v>
      </c>
      <c r="D99" s="34">
        <v>241110900</v>
      </c>
      <c r="E99" s="34">
        <v>18270001</v>
      </c>
      <c r="F99" s="74" t="s">
        <v>422</v>
      </c>
      <c r="G99" s="34" t="s">
        <v>423</v>
      </c>
      <c r="H99" s="36">
        <v>900000000</v>
      </c>
      <c r="I99" s="39">
        <v>900000000</v>
      </c>
      <c r="J99" s="39">
        <v>900000000</v>
      </c>
      <c r="K99" s="39"/>
      <c r="L99" s="39"/>
      <c r="M99" s="39"/>
      <c r="N99" s="36">
        <f t="shared" si="1"/>
        <v>900000000</v>
      </c>
      <c r="O99" s="36">
        <f t="shared" si="0"/>
        <v>900000000</v>
      </c>
      <c r="P99" s="36">
        <f t="shared" si="0"/>
        <v>900000000</v>
      </c>
      <c r="Q99" s="162">
        <v>900000000</v>
      </c>
      <c r="R99" s="36"/>
      <c r="S99" s="36">
        <f t="shared" si="2"/>
        <v>900000000</v>
      </c>
      <c r="T99" s="167" t="s">
        <v>631</v>
      </c>
      <c r="U99" s="37" t="s">
        <v>632</v>
      </c>
      <c r="V99" s="160">
        <v>2</v>
      </c>
      <c r="W99" s="10">
        <v>3</v>
      </c>
      <c r="X99" s="10"/>
      <c r="Y99" s="10">
        <v>3</v>
      </c>
      <c r="Z99" s="10">
        <v>3</v>
      </c>
      <c r="AA99" s="34">
        <v>365</v>
      </c>
      <c r="AB99" s="10">
        <v>180</v>
      </c>
      <c r="AC99" s="10">
        <v>360</v>
      </c>
      <c r="AD99" s="10"/>
      <c r="AE99" s="10" t="s">
        <v>218</v>
      </c>
      <c r="AF99" s="10" t="s">
        <v>218</v>
      </c>
      <c r="AG99" s="10" t="s">
        <v>218</v>
      </c>
      <c r="AH99" s="10" t="s">
        <v>218</v>
      </c>
      <c r="AI99" s="10" t="s">
        <v>218</v>
      </c>
      <c r="AJ99" s="10" t="s">
        <v>218</v>
      </c>
      <c r="AK99" s="10" t="s">
        <v>218</v>
      </c>
      <c r="AL99" s="10" t="s">
        <v>218</v>
      </c>
      <c r="AM99" s="10" t="s">
        <v>218</v>
      </c>
      <c r="AN99" s="10" t="s">
        <v>218</v>
      </c>
      <c r="AO99" s="10" t="s">
        <v>218</v>
      </c>
      <c r="AP99" s="10" t="s">
        <v>218</v>
      </c>
    </row>
    <row r="100" spans="1:42" s="27" customFormat="1" ht="156" x14ac:dyDescent="0.25">
      <c r="A100" s="34" t="s">
        <v>55</v>
      </c>
      <c r="B100" s="34" t="s">
        <v>354</v>
      </c>
      <c r="C100" s="34" t="s">
        <v>355</v>
      </c>
      <c r="D100" s="34">
        <v>241110900</v>
      </c>
      <c r="E100" s="34">
        <v>18270002</v>
      </c>
      <c r="F100" s="74" t="s">
        <v>422</v>
      </c>
      <c r="G100" s="34" t="s">
        <v>426</v>
      </c>
      <c r="H100" s="36">
        <v>645945000</v>
      </c>
      <c r="I100" s="39">
        <v>2645945000</v>
      </c>
      <c r="J100" s="39">
        <v>2645945000</v>
      </c>
      <c r="K100" s="39"/>
      <c r="L100" s="39"/>
      <c r="M100" s="39"/>
      <c r="N100" s="36">
        <f t="shared" si="1"/>
        <v>645945000</v>
      </c>
      <c r="O100" s="36">
        <f t="shared" si="0"/>
        <v>2645945000</v>
      </c>
      <c r="P100" s="36">
        <f t="shared" si="0"/>
        <v>2645945000</v>
      </c>
      <c r="Q100" s="162">
        <v>2358380801</v>
      </c>
      <c r="R100" s="36"/>
      <c r="S100" s="36">
        <f t="shared" si="2"/>
        <v>2358380801</v>
      </c>
      <c r="T100" s="167" t="s">
        <v>633</v>
      </c>
      <c r="U100" s="167" t="s">
        <v>634</v>
      </c>
      <c r="V100" s="37">
        <v>1500</v>
      </c>
      <c r="W100" s="10"/>
      <c r="X100" s="10"/>
      <c r="Y100" s="10">
        <v>255</v>
      </c>
      <c r="Z100" s="10">
        <v>511</v>
      </c>
      <c r="AA100" s="34">
        <v>365</v>
      </c>
      <c r="AB100" s="10">
        <v>180</v>
      </c>
      <c r="AC100" s="10">
        <v>360</v>
      </c>
      <c r="AD100" s="10"/>
      <c r="AE100" s="10" t="s">
        <v>218</v>
      </c>
      <c r="AF100" s="10" t="s">
        <v>218</v>
      </c>
      <c r="AG100" s="10" t="s">
        <v>218</v>
      </c>
      <c r="AH100" s="10" t="s">
        <v>218</v>
      </c>
      <c r="AI100" s="10" t="s">
        <v>218</v>
      </c>
      <c r="AJ100" s="10" t="s">
        <v>218</v>
      </c>
      <c r="AK100" s="10" t="s">
        <v>218</v>
      </c>
      <c r="AL100" s="10" t="s">
        <v>218</v>
      </c>
      <c r="AM100" s="10" t="s">
        <v>218</v>
      </c>
      <c r="AN100" s="10" t="s">
        <v>218</v>
      </c>
      <c r="AO100" s="10" t="s">
        <v>218</v>
      </c>
      <c r="AP100" s="10" t="s">
        <v>218</v>
      </c>
    </row>
    <row r="101" spans="1:42" s="27" customFormat="1" ht="84" x14ac:dyDescent="0.25">
      <c r="A101" s="34" t="s">
        <v>55</v>
      </c>
      <c r="B101" s="34" t="s">
        <v>354</v>
      </c>
      <c r="C101" s="34" t="s">
        <v>355</v>
      </c>
      <c r="D101" s="34">
        <v>241110900</v>
      </c>
      <c r="E101" s="34">
        <v>18270090</v>
      </c>
      <c r="F101" s="74" t="s">
        <v>422</v>
      </c>
      <c r="G101" s="34" t="s">
        <v>427</v>
      </c>
      <c r="H101" s="36">
        <v>2196778000</v>
      </c>
      <c r="I101" s="39">
        <v>2454629000</v>
      </c>
      <c r="J101" s="39">
        <v>2615937000</v>
      </c>
      <c r="K101" s="39"/>
      <c r="L101" s="39"/>
      <c r="M101" s="39"/>
      <c r="N101" s="36">
        <f t="shared" si="1"/>
        <v>2196778000</v>
      </c>
      <c r="O101" s="36">
        <f t="shared" si="0"/>
        <v>2454629000</v>
      </c>
      <c r="P101" s="36">
        <f t="shared" si="0"/>
        <v>2615937000</v>
      </c>
      <c r="Q101" s="162">
        <v>1997385287</v>
      </c>
      <c r="R101" s="36"/>
      <c r="S101" s="36">
        <f t="shared" si="2"/>
        <v>1997385287</v>
      </c>
      <c r="T101" s="167" t="s">
        <v>635</v>
      </c>
      <c r="U101" s="37">
        <v>0</v>
      </c>
      <c r="V101" s="37">
        <v>0</v>
      </c>
      <c r="W101" s="10"/>
      <c r="X101" s="10"/>
      <c r="Y101" s="10"/>
      <c r="Z101" s="10">
        <v>26</v>
      </c>
      <c r="AA101" s="34">
        <v>0</v>
      </c>
      <c r="AB101" s="10"/>
      <c r="AC101" s="10"/>
      <c r="AD101" s="10"/>
      <c r="AE101" s="10"/>
      <c r="AF101" s="10"/>
      <c r="AG101" s="10"/>
      <c r="AH101" s="10"/>
      <c r="AI101" s="10"/>
      <c r="AJ101" s="10"/>
      <c r="AK101" s="10"/>
      <c r="AL101" s="10"/>
      <c r="AM101" s="10"/>
      <c r="AN101" s="10"/>
      <c r="AO101" s="10"/>
      <c r="AP101" s="10"/>
    </row>
    <row r="102" spans="1:42" s="27" customFormat="1" ht="60" x14ac:dyDescent="0.25">
      <c r="A102" s="34">
        <v>0</v>
      </c>
      <c r="B102" s="34">
        <v>0</v>
      </c>
      <c r="C102" s="34">
        <v>0</v>
      </c>
      <c r="D102" s="34">
        <v>0</v>
      </c>
      <c r="E102" s="34">
        <v>0</v>
      </c>
      <c r="F102" s="74">
        <v>0</v>
      </c>
      <c r="G102" s="34">
        <v>0</v>
      </c>
      <c r="H102" s="36">
        <v>0</v>
      </c>
      <c r="I102" s="39"/>
      <c r="J102" s="39"/>
      <c r="K102" s="39"/>
      <c r="L102" s="39"/>
      <c r="M102" s="39"/>
      <c r="N102" s="36">
        <f t="shared" si="1"/>
        <v>0</v>
      </c>
      <c r="O102" s="36">
        <f t="shared" si="0"/>
        <v>0</v>
      </c>
      <c r="P102" s="36">
        <f t="shared" si="0"/>
        <v>0</v>
      </c>
      <c r="Q102" s="36"/>
      <c r="R102" s="36"/>
      <c r="S102" s="36">
        <f t="shared" si="2"/>
        <v>0</v>
      </c>
      <c r="T102" s="160" t="s">
        <v>636</v>
      </c>
      <c r="U102" s="160" t="s">
        <v>637</v>
      </c>
      <c r="V102" s="160">
        <v>4800</v>
      </c>
      <c r="W102" s="10"/>
      <c r="X102" s="10"/>
      <c r="Y102" s="10">
        <v>2343</v>
      </c>
      <c r="Z102" s="10">
        <v>4058</v>
      </c>
      <c r="AA102" s="34">
        <v>365</v>
      </c>
      <c r="AB102" s="10">
        <v>180</v>
      </c>
      <c r="AC102" s="10">
        <v>360</v>
      </c>
      <c r="AD102" s="10"/>
      <c r="AE102" s="10" t="s">
        <v>218</v>
      </c>
      <c r="AF102" s="10" t="s">
        <v>218</v>
      </c>
      <c r="AG102" s="10" t="s">
        <v>218</v>
      </c>
      <c r="AH102" s="10" t="s">
        <v>218</v>
      </c>
      <c r="AI102" s="10" t="s">
        <v>218</v>
      </c>
      <c r="AJ102" s="10" t="s">
        <v>218</v>
      </c>
      <c r="AK102" s="10" t="s">
        <v>218</v>
      </c>
      <c r="AL102" s="10" t="s">
        <v>218</v>
      </c>
      <c r="AM102" s="10" t="s">
        <v>218</v>
      </c>
      <c r="AN102" s="10" t="s">
        <v>218</v>
      </c>
      <c r="AO102" s="10" t="s">
        <v>218</v>
      </c>
      <c r="AP102" s="10" t="s">
        <v>218</v>
      </c>
    </row>
    <row r="103" spans="1:42" s="27" customFormat="1" ht="48" x14ac:dyDescent="0.25">
      <c r="A103" s="34">
        <v>0</v>
      </c>
      <c r="B103" s="34">
        <v>0</v>
      </c>
      <c r="C103" s="34">
        <v>0</v>
      </c>
      <c r="D103" s="34">
        <v>0</v>
      </c>
      <c r="E103" s="34">
        <v>0</v>
      </c>
      <c r="F103" s="74">
        <v>0</v>
      </c>
      <c r="G103" s="34">
        <v>0</v>
      </c>
      <c r="H103" s="36">
        <v>0</v>
      </c>
      <c r="I103" s="39"/>
      <c r="J103" s="39"/>
      <c r="K103" s="39"/>
      <c r="L103" s="39"/>
      <c r="M103" s="39"/>
      <c r="N103" s="36">
        <f t="shared" si="1"/>
        <v>0</v>
      </c>
      <c r="O103" s="36">
        <f t="shared" si="0"/>
        <v>0</v>
      </c>
      <c r="P103" s="36">
        <f t="shared" si="0"/>
        <v>0</v>
      </c>
      <c r="Q103" s="36"/>
      <c r="R103" s="36"/>
      <c r="S103" s="36">
        <f t="shared" si="2"/>
        <v>0</v>
      </c>
      <c r="T103" s="160" t="s">
        <v>638</v>
      </c>
      <c r="U103" s="160" t="s">
        <v>639</v>
      </c>
      <c r="V103" s="160">
        <v>1762</v>
      </c>
      <c r="W103" s="10"/>
      <c r="X103" s="10"/>
      <c r="Y103" s="10">
        <v>3279</v>
      </c>
      <c r="Z103" s="10">
        <v>7800</v>
      </c>
      <c r="AA103" s="34">
        <v>365</v>
      </c>
      <c r="AB103" s="10">
        <v>180</v>
      </c>
      <c r="AC103" s="10">
        <v>360</v>
      </c>
      <c r="AD103" s="10"/>
      <c r="AE103" s="10" t="s">
        <v>218</v>
      </c>
      <c r="AF103" s="10" t="s">
        <v>218</v>
      </c>
      <c r="AG103" s="10" t="s">
        <v>218</v>
      </c>
      <c r="AH103" s="10" t="s">
        <v>218</v>
      </c>
      <c r="AI103" s="10" t="s">
        <v>218</v>
      </c>
      <c r="AJ103" s="10" t="s">
        <v>218</v>
      </c>
      <c r="AK103" s="10" t="s">
        <v>218</v>
      </c>
      <c r="AL103" s="10" t="s">
        <v>218</v>
      </c>
      <c r="AM103" s="10" t="s">
        <v>218</v>
      </c>
      <c r="AN103" s="10" t="s">
        <v>218</v>
      </c>
      <c r="AO103" s="10" t="s">
        <v>218</v>
      </c>
      <c r="AP103" s="10" t="s">
        <v>218</v>
      </c>
    </row>
    <row r="104" spans="1:42" s="27" customFormat="1" ht="36" x14ac:dyDescent="0.25">
      <c r="A104" s="34">
        <v>0</v>
      </c>
      <c r="B104" s="34">
        <v>0</v>
      </c>
      <c r="C104" s="34">
        <v>0</v>
      </c>
      <c r="D104" s="34">
        <v>0</v>
      </c>
      <c r="E104" s="34">
        <v>0</v>
      </c>
      <c r="F104" s="74">
        <v>0</v>
      </c>
      <c r="G104" s="34">
        <v>0</v>
      </c>
      <c r="H104" s="36">
        <v>0</v>
      </c>
      <c r="I104" s="39"/>
      <c r="J104" s="39"/>
      <c r="K104" s="39"/>
      <c r="L104" s="39"/>
      <c r="M104" s="39"/>
      <c r="N104" s="36">
        <f t="shared" si="1"/>
        <v>0</v>
      </c>
      <c r="O104" s="36">
        <f t="shared" si="0"/>
        <v>0</v>
      </c>
      <c r="P104" s="36">
        <f t="shared" si="0"/>
        <v>0</v>
      </c>
      <c r="Q104" s="36"/>
      <c r="R104" s="36"/>
      <c r="S104" s="36">
        <f t="shared" si="2"/>
        <v>0</v>
      </c>
      <c r="T104" s="160" t="s">
        <v>640</v>
      </c>
      <c r="U104" s="160" t="s">
        <v>641</v>
      </c>
      <c r="V104" s="160">
        <v>672</v>
      </c>
      <c r="W104" s="10">
        <v>336</v>
      </c>
      <c r="X104" s="10"/>
      <c r="Y104" s="10">
        <v>249</v>
      </c>
      <c r="Z104" s="10">
        <v>690</v>
      </c>
      <c r="AA104" s="34">
        <v>365</v>
      </c>
      <c r="AB104" s="10">
        <v>180</v>
      </c>
      <c r="AC104" s="10">
        <v>360</v>
      </c>
      <c r="AD104" s="10"/>
      <c r="AE104" s="10" t="s">
        <v>218</v>
      </c>
      <c r="AF104" s="10" t="s">
        <v>218</v>
      </c>
      <c r="AG104" s="10" t="s">
        <v>218</v>
      </c>
      <c r="AH104" s="10" t="s">
        <v>218</v>
      </c>
      <c r="AI104" s="10" t="s">
        <v>218</v>
      </c>
      <c r="AJ104" s="10" t="s">
        <v>218</v>
      </c>
      <c r="AK104" s="10" t="s">
        <v>218</v>
      </c>
      <c r="AL104" s="10" t="s">
        <v>218</v>
      </c>
      <c r="AM104" s="10" t="s">
        <v>218</v>
      </c>
      <c r="AN104" s="10" t="s">
        <v>218</v>
      </c>
      <c r="AO104" s="10" t="s">
        <v>218</v>
      </c>
      <c r="AP104" s="10" t="s">
        <v>218</v>
      </c>
    </row>
    <row r="105" spans="1:42" s="27" customFormat="1" ht="84" x14ac:dyDescent="0.25">
      <c r="A105" s="34">
        <v>0</v>
      </c>
      <c r="B105" s="34">
        <v>0</v>
      </c>
      <c r="C105" s="34">
        <v>0</v>
      </c>
      <c r="D105" s="34">
        <v>0</v>
      </c>
      <c r="E105" s="34">
        <v>0</v>
      </c>
      <c r="F105" s="74">
        <v>0</v>
      </c>
      <c r="G105" s="34">
        <v>0</v>
      </c>
      <c r="H105" s="36">
        <v>0</v>
      </c>
      <c r="I105" s="39"/>
      <c r="J105" s="39"/>
      <c r="K105" s="39"/>
      <c r="L105" s="39"/>
      <c r="M105" s="39"/>
      <c r="N105" s="36">
        <f t="shared" si="1"/>
        <v>0</v>
      </c>
      <c r="O105" s="36">
        <f t="shared" si="0"/>
        <v>0</v>
      </c>
      <c r="P105" s="36">
        <f t="shared" si="0"/>
        <v>0</v>
      </c>
      <c r="Q105" s="36"/>
      <c r="R105" s="36"/>
      <c r="S105" s="36">
        <f t="shared" si="2"/>
        <v>0</v>
      </c>
      <c r="T105" s="160" t="s">
        <v>642</v>
      </c>
      <c r="U105" s="160" t="s">
        <v>637</v>
      </c>
      <c r="V105" s="160">
        <v>4500</v>
      </c>
      <c r="W105" s="10">
        <v>4</v>
      </c>
      <c r="X105" s="10"/>
      <c r="Y105" s="10">
        <v>2</v>
      </c>
      <c r="Z105" s="10">
        <v>200</v>
      </c>
      <c r="AA105" s="34">
        <v>300</v>
      </c>
      <c r="AB105" s="10">
        <v>150</v>
      </c>
      <c r="AC105" s="10">
        <v>300</v>
      </c>
      <c r="AD105" s="10"/>
      <c r="AE105" s="10">
        <v>0</v>
      </c>
      <c r="AF105" s="10">
        <v>0</v>
      </c>
      <c r="AG105" s="10" t="s">
        <v>218</v>
      </c>
      <c r="AH105" s="10" t="s">
        <v>218</v>
      </c>
      <c r="AI105" s="10" t="s">
        <v>218</v>
      </c>
      <c r="AJ105" s="10" t="s">
        <v>218</v>
      </c>
      <c r="AK105" s="10" t="s">
        <v>218</v>
      </c>
      <c r="AL105" s="10" t="s">
        <v>218</v>
      </c>
      <c r="AM105" s="10" t="s">
        <v>218</v>
      </c>
      <c r="AN105" s="10" t="s">
        <v>218</v>
      </c>
      <c r="AO105" s="10" t="s">
        <v>218</v>
      </c>
      <c r="AP105" s="10" t="s">
        <v>218</v>
      </c>
    </row>
    <row r="106" spans="1:42" s="27" customFormat="1" ht="84" x14ac:dyDescent="0.25">
      <c r="A106" s="34">
        <v>0</v>
      </c>
      <c r="B106" s="34">
        <v>0</v>
      </c>
      <c r="C106" s="34">
        <v>0</v>
      </c>
      <c r="D106" s="34">
        <v>0</v>
      </c>
      <c r="E106" s="34">
        <v>0</v>
      </c>
      <c r="F106" s="74">
        <v>0</v>
      </c>
      <c r="G106" s="34">
        <v>0</v>
      </c>
      <c r="H106" s="36">
        <v>0</v>
      </c>
      <c r="I106" s="39"/>
      <c r="J106" s="39"/>
      <c r="K106" s="39"/>
      <c r="L106" s="39"/>
      <c r="M106" s="39"/>
      <c r="N106" s="36">
        <f t="shared" ref="N106:P202" si="3">H106+K106</f>
        <v>0</v>
      </c>
      <c r="O106" s="36">
        <f t="shared" si="3"/>
        <v>0</v>
      </c>
      <c r="P106" s="36">
        <f t="shared" si="3"/>
        <v>0</v>
      </c>
      <c r="Q106" s="36"/>
      <c r="R106" s="36"/>
      <c r="S106" s="36">
        <f t="shared" ref="S106:S202" si="4">Q106+R106</f>
        <v>0</v>
      </c>
      <c r="T106" s="160" t="s">
        <v>643</v>
      </c>
      <c r="U106" s="160" t="s">
        <v>644</v>
      </c>
      <c r="V106" s="160">
        <v>300</v>
      </c>
      <c r="W106" s="10"/>
      <c r="X106" s="10"/>
      <c r="Y106" s="10">
        <v>0</v>
      </c>
      <c r="Z106" s="10">
        <v>370</v>
      </c>
      <c r="AA106" s="34">
        <v>180</v>
      </c>
      <c r="AB106" s="10">
        <v>90</v>
      </c>
      <c r="AC106" s="10">
        <v>180</v>
      </c>
      <c r="AD106" s="10"/>
      <c r="AE106" s="10">
        <v>0</v>
      </c>
      <c r="AF106" s="10">
        <v>0</v>
      </c>
      <c r="AG106" s="10">
        <v>0</v>
      </c>
      <c r="AH106" s="10" t="s">
        <v>218</v>
      </c>
      <c r="AI106" s="10" t="s">
        <v>218</v>
      </c>
      <c r="AJ106" s="10" t="s">
        <v>218</v>
      </c>
      <c r="AK106" s="10" t="s">
        <v>218</v>
      </c>
      <c r="AL106" s="10" t="s">
        <v>218</v>
      </c>
      <c r="AM106" s="10" t="s">
        <v>218</v>
      </c>
      <c r="AN106" s="10">
        <v>0</v>
      </c>
      <c r="AO106" s="10">
        <v>0</v>
      </c>
      <c r="AP106" s="10">
        <v>0</v>
      </c>
    </row>
    <row r="107" spans="1:42" s="27" customFormat="1" ht="108" x14ac:dyDescent="0.25">
      <c r="A107" s="34">
        <v>0</v>
      </c>
      <c r="B107" s="34">
        <v>0</v>
      </c>
      <c r="C107" s="34">
        <v>0</v>
      </c>
      <c r="D107" s="34">
        <v>0</v>
      </c>
      <c r="E107" s="34">
        <v>0</v>
      </c>
      <c r="F107" s="74">
        <v>0</v>
      </c>
      <c r="G107" s="34">
        <v>0</v>
      </c>
      <c r="H107" s="36">
        <v>0</v>
      </c>
      <c r="I107" s="39"/>
      <c r="J107" s="39"/>
      <c r="K107" s="39"/>
      <c r="L107" s="39"/>
      <c r="M107" s="39"/>
      <c r="N107" s="36">
        <f t="shared" si="3"/>
        <v>0</v>
      </c>
      <c r="O107" s="36">
        <f t="shared" si="3"/>
        <v>0</v>
      </c>
      <c r="P107" s="36">
        <f t="shared" si="3"/>
        <v>0</v>
      </c>
      <c r="Q107" s="36"/>
      <c r="R107" s="36"/>
      <c r="S107" s="36">
        <f t="shared" si="4"/>
        <v>0</v>
      </c>
      <c r="T107" s="160" t="s">
        <v>645</v>
      </c>
      <c r="U107" s="160" t="s">
        <v>646</v>
      </c>
      <c r="V107" s="160">
        <v>1</v>
      </c>
      <c r="W107" s="10"/>
      <c r="X107" s="10"/>
      <c r="Y107" s="10"/>
      <c r="Z107" s="10"/>
      <c r="AA107" s="34">
        <v>285</v>
      </c>
      <c r="AB107" s="10" t="s">
        <v>647</v>
      </c>
      <c r="AC107" s="10">
        <v>285</v>
      </c>
      <c r="AD107" s="10" t="s">
        <v>648</v>
      </c>
      <c r="AE107" s="10">
        <v>0</v>
      </c>
      <c r="AF107" s="10">
        <v>0</v>
      </c>
      <c r="AG107" s="10">
        <v>0</v>
      </c>
      <c r="AH107" s="10" t="s">
        <v>218</v>
      </c>
      <c r="AI107" s="10" t="s">
        <v>218</v>
      </c>
      <c r="AJ107" s="10" t="s">
        <v>218</v>
      </c>
      <c r="AK107" s="10" t="s">
        <v>218</v>
      </c>
      <c r="AL107" s="10" t="s">
        <v>218</v>
      </c>
      <c r="AM107" s="10" t="s">
        <v>218</v>
      </c>
      <c r="AN107" s="10" t="s">
        <v>218</v>
      </c>
      <c r="AO107" s="10" t="s">
        <v>218</v>
      </c>
      <c r="AP107" s="10" t="s">
        <v>218</v>
      </c>
    </row>
    <row r="108" spans="1:42" s="27" customFormat="1" ht="108" x14ac:dyDescent="0.25">
      <c r="A108" s="34">
        <v>0</v>
      </c>
      <c r="B108" s="34">
        <v>0</v>
      </c>
      <c r="C108" s="34">
        <v>0</v>
      </c>
      <c r="D108" s="34">
        <v>0</v>
      </c>
      <c r="E108" s="34">
        <v>0</v>
      </c>
      <c r="F108" s="74">
        <v>0</v>
      </c>
      <c r="G108" s="34">
        <v>0</v>
      </c>
      <c r="H108" s="36">
        <v>0</v>
      </c>
      <c r="I108" s="39"/>
      <c r="J108" s="39"/>
      <c r="K108" s="39"/>
      <c r="L108" s="39"/>
      <c r="M108" s="39"/>
      <c r="N108" s="36">
        <f t="shared" si="3"/>
        <v>0</v>
      </c>
      <c r="O108" s="36">
        <f t="shared" si="3"/>
        <v>0</v>
      </c>
      <c r="P108" s="36">
        <f t="shared" si="3"/>
        <v>0</v>
      </c>
      <c r="Q108" s="36"/>
      <c r="R108" s="36"/>
      <c r="S108" s="36">
        <f t="shared" si="4"/>
        <v>0</v>
      </c>
      <c r="T108" s="160" t="s">
        <v>649</v>
      </c>
      <c r="U108" s="160" t="s">
        <v>650</v>
      </c>
      <c r="V108" s="160">
        <v>672</v>
      </c>
      <c r="W108" s="10">
        <v>260</v>
      </c>
      <c r="X108" s="10"/>
      <c r="Y108" s="10">
        <v>130</v>
      </c>
      <c r="Z108" s="10"/>
      <c r="AA108" s="34">
        <v>365</v>
      </c>
      <c r="AB108" s="10">
        <v>180</v>
      </c>
      <c r="AC108" s="10">
        <v>360</v>
      </c>
      <c r="AD108" s="10"/>
      <c r="AE108" s="10" t="s">
        <v>102</v>
      </c>
      <c r="AF108" s="10" t="s">
        <v>102</v>
      </c>
      <c r="AG108" s="10" t="s">
        <v>102</v>
      </c>
      <c r="AH108" s="10" t="s">
        <v>102</v>
      </c>
      <c r="AI108" s="10" t="s">
        <v>102</v>
      </c>
      <c r="AJ108" s="10" t="s">
        <v>102</v>
      </c>
      <c r="AK108" s="10" t="s">
        <v>102</v>
      </c>
      <c r="AL108" s="10" t="s">
        <v>102</v>
      </c>
      <c r="AM108" s="10" t="s">
        <v>102</v>
      </c>
      <c r="AN108" s="10" t="s">
        <v>102</v>
      </c>
      <c r="AO108" s="10" t="s">
        <v>102</v>
      </c>
      <c r="AP108" s="10" t="s">
        <v>102</v>
      </c>
    </row>
    <row r="109" spans="1:42" s="27" customFormat="1" ht="144" x14ac:dyDescent="0.25">
      <c r="A109" s="34">
        <v>0</v>
      </c>
      <c r="B109" s="34">
        <v>0</v>
      </c>
      <c r="C109" s="34">
        <v>0</v>
      </c>
      <c r="D109" s="34">
        <v>0</v>
      </c>
      <c r="E109" s="34">
        <v>0</v>
      </c>
      <c r="F109" s="74">
        <v>0</v>
      </c>
      <c r="G109" s="34">
        <v>0</v>
      </c>
      <c r="H109" s="36">
        <v>0</v>
      </c>
      <c r="I109" s="39"/>
      <c r="J109" s="39"/>
      <c r="K109" s="39"/>
      <c r="L109" s="39"/>
      <c r="M109" s="39"/>
      <c r="N109" s="36">
        <f t="shared" si="3"/>
        <v>0</v>
      </c>
      <c r="O109" s="36">
        <f t="shared" si="3"/>
        <v>0</v>
      </c>
      <c r="P109" s="36">
        <f t="shared" si="3"/>
        <v>0</v>
      </c>
      <c r="Q109" s="36"/>
      <c r="R109" s="36"/>
      <c r="S109" s="36">
        <f t="shared" si="4"/>
        <v>0</v>
      </c>
      <c r="T109" s="167" t="s">
        <v>651</v>
      </c>
      <c r="U109" s="37" t="s">
        <v>652</v>
      </c>
      <c r="V109" s="160">
        <v>100</v>
      </c>
      <c r="W109" s="10"/>
      <c r="X109" s="10"/>
      <c r="Y109" s="10">
        <v>0</v>
      </c>
      <c r="Z109" s="10">
        <v>68</v>
      </c>
      <c r="AA109" s="34">
        <v>365</v>
      </c>
      <c r="AB109" s="10">
        <v>180</v>
      </c>
      <c r="AC109" s="10">
        <v>360</v>
      </c>
      <c r="AD109" s="10"/>
      <c r="AE109" s="10" t="s">
        <v>218</v>
      </c>
      <c r="AF109" s="10" t="s">
        <v>218</v>
      </c>
      <c r="AG109" s="10" t="s">
        <v>218</v>
      </c>
      <c r="AH109" s="10" t="s">
        <v>218</v>
      </c>
      <c r="AI109" s="10" t="s">
        <v>218</v>
      </c>
      <c r="AJ109" s="10" t="s">
        <v>218</v>
      </c>
      <c r="AK109" s="10" t="s">
        <v>218</v>
      </c>
      <c r="AL109" s="10" t="s">
        <v>218</v>
      </c>
      <c r="AM109" s="10" t="s">
        <v>218</v>
      </c>
      <c r="AN109" s="10" t="s">
        <v>218</v>
      </c>
      <c r="AO109" s="10" t="s">
        <v>218</v>
      </c>
      <c r="AP109" s="10" t="s">
        <v>218</v>
      </c>
    </row>
    <row r="110" spans="1:42" s="27" customFormat="1" ht="144.75" customHeight="1" x14ac:dyDescent="0.25">
      <c r="A110" s="34">
        <v>0</v>
      </c>
      <c r="B110" s="34">
        <v>0</v>
      </c>
      <c r="C110" s="34">
        <v>0</v>
      </c>
      <c r="D110" s="34">
        <v>0</v>
      </c>
      <c r="E110" s="34">
        <v>0</v>
      </c>
      <c r="F110" s="74">
        <v>0</v>
      </c>
      <c r="G110" s="34">
        <v>0</v>
      </c>
      <c r="H110" s="36">
        <v>0</v>
      </c>
      <c r="I110" s="39"/>
      <c r="J110" s="39"/>
      <c r="K110" s="39"/>
      <c r="L110" s="39"/>
      <c r="M110" s="39"/>
      <c r="N110" s="36">
        <f t="shared" si="3"/>
        <v>0</v>
      </c>
      <c r="O110" s="36">
        <f t="shared" si="3"/>
        <v>0</v>
      </c>
      <c r="P110" s="36">
        <f t="shared" si="3"/>
        <v>0</v>
      </c>
      <c r="Q110" s="36"/>
      <c r="R110" s="36"/>
      <c r="S110" s="36">
        <f t="shared" si="4"/>
        <v>0</v>
      </c>
      <c r="T110" s="167" t="s">
        <v>653</v>
      </c>
      <c r="U110" s="37" t="s">
        <v>654</v>
      </c>
      <c r="V110" s="37">
        <v>11</v>
      </c>
      <c r="W110" s="10"/>
      <c r="X110" s="10"/>
      <c r="Y110" s="10">
        <v>0</v>
      </c>
      <c r="Z110" s="10"/>
      <c r="AA110" s="34">
        <v>240</v>
      </c>
      <c r="AB110" s="10">
        <v>120</v>
      </c>
      <c r="AC110" s="10">
        <v>240</v>
      </c>
      <c r="AD110" s="10"/>
      <c r="AE110" s="10">
        <v>0</v>
      </c>
      <c r="AF110" s="10">
        <v>0</v>
      </c>
      <c r="AG110" s="10">
        <v>0</v>
      </c>
      <c r="AH110" s="10" t="s">
        <v>218</v>
      </c>
      <c r="AI110" s="10" t="s">
        <v>218</v>
      </c>
      <c r="AJ110" s="10" t="s">
        <v>218</v>
      </c>
      <c r="AK110" s="10" t="s">
        <v>218</v>
      </c>
      <c r="AL110" s="10" t="s">
        <v>218</v>
      </c>
      <c r="AM110" s="10" t="s">
        <v>218</v>
      </c>
      <c r="AN110" s="10" t="s">
        <v>218</v>
      </c>
      <c r="AO110" s="10" t="s">
        <v>218</v>
      </c>
      <c r="AP110" s="10" t="s">
        <v>218</v>
      </c>
    </row>
    <row r="111" spans="1:42" s="27" customFormat="1" ht="144.75" customHeight="1" x14ac:dyDescent="0.25">
      <c r="A111" s="34"/>
      <c r="B111" s="34"/>
      <c r="C111" s="34"/>
      <c r="D111" s="34"/>
      <c r="E111" s="34"/>
      <c r="F111" s="74"/>
      <c r="G111" s="34"/>
      <c r="H111" s="36"/>
      <c r="I111" s="39"/>
      <c r="J111" s="39"/>
      <c r="K111" s="39"/>
      <c r="L111" s="39"/>
      <c r="M111" s="39"/>
      <c r="N111" s="36"/>
      <c r="O111" s="36"/>
      <c r="P111" s="36"/>
      <c r="Q111" s="36"/>
      <c r="R111" s="36"/>
      <c r="S111" s="36"/>
      <c r="T111" s="167" t="s">
        <v>651</v>
      </c>
      <c r="U111" s="168" t="s">
        <v>652</v>
      </c>
      <c r="V111" s="169">
        <v>100</v>
      </c>
      <c r="W111" s="10"/>
      <c r="X111" s="10"/>
      <c r="Y111" s="10">
        <v>0</v>
      </c>
      <c r="Z111" s="10">
        <v>165</v>
      </c>
      <c r="AA111" s="34"/>
      <c r="AB111" s="10"/>
      <c r="AC111" s="10"/>
      <c r="AD111" s="10"/>
      <c r="AE111" s="10"/>
      <c r="AF111" s="10"/>
      <c r="AG111" s="10"/>
      <c r="AH111" s="10"/>
      <c r="AI111" s="10"/>
      <c r="AJ111" s="10"/>
      <c r="AK111" s="10"/>
      <c r="AL111" s="10"/>
      <c r="AM111" s="10"/>
      <c r="AN111" s="10"/>
      <c r="AO111" s="10"/>
      <c r="AP111" s="10"/>
    </row>
    <row r="112" spans="1:42" s="27" customFormat="1" ht="60" x14ac:dyDescent="0.25">
      <c r="A112" s="34" t="s">
        <v>55</v>
      </c>
      <c r="B112" s="34" t="s">
        <v>354</v>
      </c>
      <c r="C112" s="34" t="s">
        <v>355</v>
      </c>
      <c r="D112" s="34">
        <v>241110900</v>
      </c>
      <c r="E112" s="34">
        <v>18464090</v>
      </c>
      <c r="F112" s="74" t="s">
        <v>428</v>
      </c>
      <c r="G112" s="34" t="s">
        <v>429</v>
      </c>
      <c r="H112" s="36">
        <v>1467376000</v>
      </c>
      <c r="I112" s="39">
        <v>1467376000</v>
      </c>
      <c r="J112" s="39">
        <v>1467376000</v>
      </c>
      <c r="K112" s="39"/>
      <c r="L112" s="39"/>
      <c r="M112" s="39"/>
      <c r="N112" s="36">
        <f t="shared" si="3"/>
        <v>1467376000</v>
      </c>
      <c r="O112" s="36">
        <f t="shared" si="3"/>
        <v>1467376000</v>
      </c>
      <c r="P112" s="36">
        <f t="shared" si="3"/>
        <v>1467376000</v>
      </c>
      <c r="Q112" s="162">
        <v>1024362633</v>
      </c>
      <c r="R112" s="36"/>
      <c r="S112" s="36">
        <f t="shared" si="4"/>
        <v>1024362633</v>
      </c>
      <c r="T112" s="36" t="s">
        <v>655</v>
      </c>
      <c r="U112" s="37" t="s">
        <v>225</v>
      </c>
      <c r="V112" s="160">
        <v>25</v>
      </c>
      <c r="W112" s="10"/>
      <c r="X112" s="10"/>
      <c r="Y112" s="170">
        <v>20</v>
      </c>
      <c r="Z112" s="10">
        <v>23</v>
      </c>
      <c r="AA112" s="34">
        <v>365</v>
      </c>
      <c r="AB112" s="10">
        <v>180</v>
      </c>
      <c r="AC112" s="10">
        <v>360</v>
      </c>
      <c r="AD112" s="10"/>
      <c r="AE112" s="10" t="s">
        <v>218</v>
      </c>
      <c r="AF112" s="10" t="s">
        <v>218</v>
      </c>
      <c r="AG112" s="10" t="s">
        <v>218</v>
      </c>
      <c r="AH112" s="10" t="s">
        <v>218</v>
      </c>
      <c r="AI112" s="10" t="s">
        <v>218</v>
      </c>
      <c r="AJ112" s="10" t="s">
        <v>218</v>
      </c>
      <c r="AK112" s="10" t="s">
        <v>218</v>
      </c>
      <c r="AL112" s="10" t="s">
        <v>218</v>
      </c>
      <c r="AM112" s="10" t="s">
        <v>218</v>
      </c>
      <c r="AN112" s="10" t="s">
        <v>218</v>
      </c>
      <c r="AO112" s="10" t="s">
        <v>218</v>
      </c>
      <c r="AP112" s="10" t="s">
        <v>218</v>
      </c>
    </row>
    <row r="113" spans="1:43" s="27" customFormat="1" ht="67.5" x14ac:dyDescent="0.25">
      <c r="A113" s="34" t="s">
        <v>55</v>
      </c>
      <c r="B113" s="34" t="s">
        <v>354</v>
      </c>
      <c r="C113" s="34" t="s">
        <v>355</v>
      </c>
      <c r="D113" s="34">
        <v>241110900</v>
      </c>
      <c r="E113" s="34">
        <v>18464001</v>
      </c>
      <c r="F113" s="74" t="s">
        <v>428</v>
      </c>
      <c r="G113" s="34" t="s">
        <v>429</v>
      </c>
      <c r="H113" s="36"/>
      <c r="I113" s="39">
        <v>300000000</v>
      </c>
      <c r="J113" s="39">
        <v>300000000</v>
      </c>
      <c r="K113" s="39"/>
      <c r="L113" s="39"/>
      <c r="M113" s="39"/>
      <c r="N113" s="36"/>
      <c r="O113" s="36"/>
      <c r="P113" s="36">
        <f t="shared" si="3"/>
        <v>300000000</v>
      </c>
      <c r="Q113" s="162">
        <v>67021720</v>
      </c>
      <c r="R113" s="36"/>
      <c r="S113" s="36">
        <f t="shared" si="4"/>
        <v>67021720</v>
      </c>
      <c r="T113" s="163" t="s">
        <v>656</v>
      </c>
      <c r="U113" s="164" t="s">
        <v>225</v>
      </c>
      <c r="V113" s="165">
        <v>204965</v>
      </c>
      <c r="W113" s="10"/>
      <c r="X113" s="10"/>
      <c r="Y113" s="170">
        <v>45761</v>
      </c>
      <c r="Z113" s="10">
        <v>103312</v>
      </c>
      <c r="AA113" s="34">
        <v>365</v>
      </c>
      <c r="AB113" s="10">
        <v>180</v>
      </c>
      <c r="AC113" s="10">
        <v>360</v>
      </c>
      <c r="AD113" s="10"/>
      <c r="AE113" s="10" t="s">
        <v>102</v>
      </c>
      <c r="AF113" s="10" t="s">
        <v>102</v>
      </c>
      <c r="AG113" s="10" t="s">
        <v>102</v>
      </c>
      <c r="AH113" s="10" t="s">
        <v>102</v>
      </c>
      <c r="AI113" s="10" t="s">
        <v>102</v>
      </c>
      <c r="AJ113" s="10" t="s">
        <v>102</v>
      </c>
      <c r="AK113" s="10" t="s">
        <v>102</v>
      </c>
      <c r="AL113" s="10" t="s">
        <v>102</v>
      </c>
      <c r="AM113" s="10" t="s">
        <v>102</v>
      </c>
      <c r="AN113" s="10" t="s">
        <v>102</v>
      </c>
      <c r="AO113" s="10" t="s">
        <v>102</v>
      </c>
      <c r="AP113" s="10" t="s">
        <v>102</v>
      </c>
    </row>
    <row r="114" spans="1:43" s="27" customFormat="1" ht="78.75" x14ac:dyDescent="0.25">
      <c r="A114" s="34">
        <v>0</v>
      </c>
      <c r="B114" s="34">
        <v>0</v>
      </c>
      <c r="C114" s="34">
        <v>0</v>
      </c>
      <c r="D114" s="34">
        <v>0</v>
      </c>
      <c r="E114" s="34">
        <v>0</v>
      </c>
      <c r="F114" s="74">
        <v>0</v>
      </c>
      <c r="G114" s="34">
        <v>0</v>
      </c>
      <c r="H114" s="36">
        <v>0</v>
      </c>
      <c r="I114" s="39"/>
      <c r="J114" s="39"/>
      <c r="K114" s="39"/>
      <c r="L114" s="39"/>
      <c r="M114" s="39"/>
      <c r="N114" s="36">
        <f t="shared" si="3"/>
        <v>0</v>
      </c>
      <c r="O114" s="36">
        <f t="shared" si="3"/>
        <v>0</v>
      </c>
      <c r="P114" s="36">
        <f t="shared" si="3"/>
        <v>0</v>
      </c>
      <c r="Q114" s="36"/>
      <c r="R114" s="36"/>
      <c r="S114" s="36">
        <f t="shared" si="4"/>
        <v>0</v>
      </c>
      <c r="T114" s="163" t="s">
        <v>657</v>
      </c>
      <c r="U114" s="164" t="s">
        <v>225</v>
      </c>
      <c r="V114" s="165">
        <v>10788</v>
      </c>
      <c r="W114" s="10"/>
      <c r="X114" s="10"/>
      <c r="Y114" s="10"/>
      <c r="Z114" s="10">
        <v>5438</v>
      </c>
      <c r="AA114" s="34">
        <v>365</v>
      </c>
      <c r="AB114" s="10">
        <v>180</v>
      </c>
      <c r="AC114" s="10">
        <v>360</v>
      </c>
      <c r="AD114" s="10"/>
      <c r="AE114" s="10" t="s">
        <v>218</v>
      </c>
      <c r="AF114" s="10" t="s">
        <v>218</v>
      </c>
      <c r="AG114" s="10" t="s">
        <v>218</v>
      </c>
      <c r="AH114" s="10" t="s">
        <v>218</v>
      </c>
      <c r="AI114" s="10" t="s">
        <v>218</v>
      </c>
      <c r="AJ114" s="10" t="s">
        <v>218</v>
      </c>
      <c r="AK114" s="10" t="s">
        <v>218</v>
      </c>
      <c r="AL114" s="10" t="s">
        <v>218</v>
      </c>
      <c r="AM114" s="10" t="s">
        <v>218</v>
      </c>
      <c r="AN114" s="10" t="s">
        <v>218</v>
      </c>
      <c r="AO114" s="10" t="s">
        <v>218</v>
      </c>
      <c r="AP114" s="10" t="s">
        <v>218</v>
      </c>
    </row>
    <row r="115" spans="1:43" s="27" customFormat="1" ht="45" x14ac:dyDescent="0.25">
      <c r="A115" s="34">
        <v>0</v>
      </c>
      <c r="B115" s="34">
        <v>0</v>
      </c>
      <c r="C115" s="34">
        <v>0</v>
      </c>
      <c r="D115" s="34">
        <v>0</v>
      </c>
      <c r="E115" s="34">
        <v>0</v>
      </c>
      <c r="F115" s="74">
        <v>0</v>
      </c>
      <c r="G115" s="34">
        <v>0</v>
      </c>
      <c r="H115" s="36">
        <v>0</v>
      </c>
      <c r="I115" s="39"/>
      <c r="J115" s="39"/>
      <c r="K115" s="39"/>
      <c r="L115" s="39"/>
      <c r="M115" s="39"/>
      <c r="N115" s="36">
        <f t="shared" si="3"/>
        <v>0</v>
      </c>
      <c r="O115" s="36">
        <f t="shared" si="3"/>
        <v>0</v>
      </c>
      <c r="P115" s="36">
        <f t="shared" si="3"/>
        <v>0</v>
      </c>
      <c r="Q115" s="36"/>
      <c r="R115" s="36"/>
      <c r="S115" s="36">
        <f t="shared" si="4"/>
        <v>0</v>
      </c>
      <c r="T115" s="163" t="s">
        <v>658</v>
      </c>
      <c r="U115" s="164" t="s">
        <v>225</v>
      </c>
      <c r="V115" s="165">
        <v>90</v>
      </c>
      <c r="W115" s="10"/>
      <c r="X115" s="10"/>
      <c r="Y115" s="10"/>
      <c r="Z115" s="10">
        <v>143</v>
      </c>
      <c r="AA115" s="34">
        <v>365</v>
      </c>
      <c r="AB115" s="10">
        <v>180</v>
      </c>
      <c r="AC115" s="10">
        <v>360</v>
      </c>
      <c r="AD115" s="10"/>
      <c r="AE115" s="10" t="s">
        <v>218</v>
      </c>
      <c r="AF115" s="10" t="s">
        <v>218</v>
      </c>
      <c r="AG115" s="10" t="s">
        <v>218</v>
      </c>
      <c r="AH115" s="10" t="s">
        <v>218</v>
      </c>
      <c r="AI115" s="10" t="s">
        <v>218</v>
      </c>
      <c r="AJ115" s="10" t="s">
        <v>218</v>
      </c>
      <c r="AK115" s="10" t="s">
        <v>218</v>
      </c>
      <c r="AL115" s="10" t="s">
        <v>218</v>
      </c>
      <c r="AM115" s="10" t="s">
        <v>218</v>
      </c>
      <c r="AN115" s="10" t="s">
        <v>218</v>
      </c>
      <c r="AO115" s="10" t="s">
        <v>218</v>
      </c>
      <c r="AP115" s="10" t="s">
        <v>218</v>
      </c>
    </row>
    <row r="116" spans="1:43" ht="45" x14ac:dyDescent="0.25">
      <c r="A116" s="34">
        <v>0</v>
      </c>
      <c r="B116" s="34">
        <v>0</v>
      </c>
      <c r="C116" s="34">
        <v>0</v>
      </c>
      <c r="D116" s="34">
        <v>0</v>
      </c>
      <c r="E116" s="34">
        <v>0</v>
      </c>
      <c r="F116" s="74">
        <v>0</v>
      </c>
      <c r="G116" s="34">
        <v>0</v>
      </c>
      <c r="H116" s="36">
        <v>0</v>
      </c>
      <c r="I116" s="39"/>
      <c r="J116" s="39"/>
      <c r="K116" s="39"/>
      <c r="L116" s="39"/>
      <c r="M116" s="39"/>
      <c r="N116" s="36">
        <f t="shared" si="3"/>
        <v>0</v>
      </c>
      <c r="O116" s="36">
        <f t="shared" si="3"/>
        <v>0</v>
      </c>
      <c r="P116" s="36">
        <f t="shared" si="3"/>
        <v>0</v>
      </c>
      <c r="Q116" s="36"/>
      <c r="R116" s="36"/>
      <c r="S116" s="36">
        <f t="shared" si="4"/>
        <v>0</v>
      </c>
      <c r="T116" s="171" t="s">
        <v>659</v>
      </c>
      <c r="U116" s="164" t="s">
        <v>225</v>
      </c>
      <c r="V116" s="165">
        <v>137773</v>
      </c>
      <c r="W116" s="10"/>
      <c r="X116" s="10"/>
      <c r="Y116" s="10"/>
      <c r="Z116" s="10">
        <v>72038</v>
      </c>
      <c r="AA116" s="34">
        <v>365</v>
      </c>
      <c r="AB116" s="10">
        <v>180</v>
      </c>
      <c r="AC116" s="10">
        <v>360</v>
      </c>
      <c r="AD116" s="10"/>
      <c r="AE116" s="10" t="s">
        <v>218</v>
      </c>
      <c r="AF116" s="10" t="s">
        <v>218</v>
      </c>
      <c r="AG116" s="10" t="s">
        <v>218</v>
      </c>
      <c r="AH116" s="10" t="s">
        <v>218</v>
      </c>
      <c r="AI116" s="10" t="s">
        <v>218</v>
      </c>
      <c r="AJ116" s="10" t="s">
        <v>218</v>
      </c>
      <c r="AK116" s="10" t="s">
        <v>218</v>
      </c>
      <c r="AL116" s="10" t="s">
        <v>218</v>
      </c>
      <c r="AM116" s="10" t="s">
        <v>218</v>
      </c>
      <c r="AN116" s="10" t="s">
        <v>218</v>
      </c>
      <c r="AO116" s="10" t="s">
        <v>218</v>
      </c>
      <c r="AP116" s="10" t="s">
        <v>218</v>
      </c>
      <c r="AQ116" s="27"/>
    </row>
    <row r="117" spans="1:43" ht="56.25" x14ac:dyDescent="0.25">
      <c r="A117" s="34">
        <v>0</v>
      </c>
      <c r="B117" s="34">
        <v>0</v>
      </c>
      <c r="C117" s="34">
        <v>0</v>
      </c>
      <c r="D117" s="34">
        <v>0</v>
      </c>
      <c r="E117" s="34">
        <v>0</v>
      </c>
      <c r="F117" s="74">
        <v>0</v>
      </c>
      <c r="G117" s="34">
        <v>0</v>
      </c>
      <c r="H117" s="36">
        <v>0</v>
      </c>
      <c r="I117" s="39"/>
      <c r="J117" s="39"/>
      <c r="K117" s="39"/>
      <c r="L117" s="39"/>
      <c r="M117" s="39"/>
      <c r="N117" s="36">
        <f t="shared" si="3"/>
        <v>0</v>
      </c>
      <c r="O117" s="36">
        <f t="shared" si="3"/>
        <v>0</v>
      </c>
      <c r="P117" s="36">
        <f t="shared" si="3"/>
        <v>0</v>
      </c>
      <c r="Q117" s="36"/>
      <c r="R117" s="36"/>
      <c r="S117" s="36">
        <f t="shared" si="4"/>
        <v>0</v>
      </c>
      <c r="T117" s="171" t="s">
        <v>660</v>
      </c>
      <c r="U117" s="164" t="s">
        <v>225</v>
      </c>
      <c r="V117" s="165">
        <v>7251</v>
      </c>
      <c r="W117" s="10"/>
      <c r="X117" s="10"/>
      <c r="Y117" s="10"/>
      <c r="Z117" s="10">
        <v>3800</v>
      </c>
      <c r="AA117" s="34">
        <v>365</v>
      </c>
      <c r="AB117" s="10">
        <v>180</v>
      </c>
      <c r="AC117" s="10">
        <v>360</v>
      </c>
      <c r="AD117" s="10"/>
      <c r="AE117" s="10" t="s">
        <v>218</v>
      </c>
      <c r="AF117" s="10" t="s">
        <v>218</v>
      </c>
      <c r="AG117" s="10" t="s">
        <v>218</v>
      </c>
      <c r="AH117" s="10" t="s">
        <v>218</v>
      </c>
      <c r="AI117" s="10" t="s">
        <v>218</v>
      </c>
      <c r="AJ117" s="10" t="s">
        <v>218</v>
      </c>
      <c r="AK117" s="10" t="s">
        <v>218</v>
      </c>
      <c r="AL117" s="10" t="s">
        <v>218</v>
      </c>
      <c r="AM117" s="10" t="s">
        <v>218</v>
      </c>
      <c r="AN117" s="10" t="s">
        <v>218</v>
      </c>
      <c r="AO117" s="10" t="s">
        <v>218</v>
      </c>
      <c r="AP117" s="10" t="s">
        <v>218</v>
      </c>
      <c r="AQ117" s="27"/>
    </row>
    <row r="118" spans="1:43" ht="72" x14ac:dyDescent="0.25">
      <c r="A118" s="34">
        <v>0</v>
      </c>
      <c r="B118" s="34">
        <v>0</v>
      </c>
      <c r="C118" s="34">
        <v>0</v>
      </c>
      <c r="D118" s="34">
        <v>0</v>
      </c>
      <c r="E118" s="34">
        <v>0</v>
      </c>
      <c r="F118" s="74">
        <v>0</v>
      </c>
      <c r="G118" s="34">
        <v>0</v>
      </c>
      <c r="H118" s="36">
        <v>0</v>
      </c>
      <c r="I118" s="39"/>
      <c r="J118" s="39"/>
      <c r="K118" s="39"/>
      <c r="L118" s="39"/>
      <c r="M118" s="39"/>
      <c r="N118" s="36">
        <f t="shared" si="3"/>
        <v>0</v>
      </c>
      <c r="O118" s="36">
        <f t="shared" si="3"/>
        <v>0</v>
      </c>
      <c r="P118" s="36">
        <f t="shared" si="3"/>
        <v>0</v>
      </c>
      <c r="Q118" s="36"/>
      <c r="R118" s="36"/>
      <c r="S118" s="36">
        <f t="shared" si="4"/>
        <v>0</v>
      </c>
      <c r="T118" s="37" t="s">
        <v>661</v>
      </c>
      <c r="U118" s="37" t="s">
        <v>225</v>
      </c>
      <c r="V118" s="160">
        <v>2558</v>
      </c>
      <c r="W118" s="10"/>
      <c r="X118" s="10"/>
      <c r="Y118" s="10"/>
      <c r="Z118" s="10">
        <v>3800</v>
      </c>
      <c r="AA118" s="34">
        <v>365</v>
      </c>
      <c r="AB118" s="10">
        <v>180</v>
      </c>
      <c r="AC118" s="10">
        <v>360</v>
      </c>
      <c r="AD118" s="10"/>
      <c r="AE118" s="10" t="s">
        <v>218</v>
      </c>
      <c r="AF118" s="10" t="s">
        <v>218</v>
      </c>
      <c r="AG118" s="10" t="s">
        <v>218</v>
      </c>
      <c r="AH118" s="10" t="s">
        <v>218</v>
      </c>
      <c r="AI118" s="10" t="s">
        <v>218</v>
      </c>
      <c r="AJ118" s="10" t="s">
        <v>218</v>
      </c>
      <c r="AK118" s="10" t="s">
        <v>218</v>
      </c>
      <c r="AL118" s="10" t="s">
        <v>218</v>
      </c>
      <c r="AM118" s="10" t="s">
        <v>218</v>
      </c>
      <c r="AN118" s="10" t="s">
        <v>218</v>
      </c>
      <c r="AO118" s="10" t="s">
        <v>218</v>
      </c>
      <c r="AP118" s="10" t="s">
        <v>218</v>
      </c>
      <c r="AQ118" s="27"/>
    </row>
    <row r="119" spans="1:43" ht="72" x14ac:dyDescent="0.25">
      <c r="A119" s="34">
        <v>0</v>
      </c>
      <c r="B119" s="34">
        <v>0</v>
      </c>
      <c r="C119" s="34">
        <v>0</v>
      </c>
      <c r="D119" s="34">
        <v>0</v>
      </c>
      <c r="E119" s="34">
        <v>0</v>
      </c>
      <c r="F119" s="74">
        <v>0</v>
      </c>
      <c r="G119" s="34">
        <v>0</v>
      </c>
      <c r="H119" s="36">
        <v>0</v>
      </c>
      <c r="I119" s="39"/>
      <c r="J119" s="39"/>
      <c r="K119" s="39"/>
      <c r="L119" s="39"/>
      <c r="M119" s="39"/>
      <c r="N119" s="36">
        <f t="shared" si="3"/>
        <v>0</v>
      </c>
      <c r="O119" s="36">
        <f t="shared" si="3"/>
        <v>0</v>
      </c>
      <c r="P119" s="36">
        <f t="shared" si="3"/>
        <v>0</v>
      </c>
      <c r="Q119" s="36"/>
      <c r="R119" s="36"/>
      <c r="S119" s="36">
        <f t="shared" si="4"/>
        <v>0</v>
      </c>
      <c r="T119" s="37" t="s">
        <v>662</v>
      </c>
      <c r="U119" s="37" t="s">
        <v>325</v>
      </c>
      <c r="V119" s="160">
        <v>50</v>
      </c>
      <c r="W119" s="10"/>
      <c r="X119" s="10"/>
      <c r="Y119" s="10"/>
      <c r="Z119" s="10">
        <v>50</v>
      </c>
      <c r="AA119" s="34">
        <v>305</v>
      </c>
      <c r="AB119" s="10">
        <v>180</v>
      </c>
      <c r="AC119" s="10">
        <v>360</v>
      </c>
      <c r="AD119" s="10"/>
      <c r="AE119" s="10">
        <v>0</v>
      </c>
      <c r="AF119" s="10">
        <v>0</v>
      </c>
      <c r="AG119" s="10" t="s">
        <v>218</v>
      </c>
      <c r="AH119" s="10" t="s">
        <v>218</v>
      </c>
      <c r="AI119" s="10" t="s">
        <v>218</v>
      </c>
      <c r="AJ119" s="10" t="s">
        <v>218</v>
      </c>
      <c r="AK119" s="10" t="s">
        <v>218</v>
      </c>
      <c r="AL119" s="10" t="s">
        <v>218</v>
      </c>
      <c r="AM119" s="10" t="s">
        <v>218</v>
      </c>
      <c r="AN119" s="10" t="s">
        <v>218</v>
      </c>
      <c r="AO119" s="10" t="s">
        <v>218</v>
      </c>
      <c r="AP119" s="10" t="s">
        <v>218</v>
      </c>
      <c r="AQ119" s="27"/>
    </row>
    <row r="120" spans="1:43" ht="60" x14ac:dyDescent="0.25">
      <c r="A120" s="34">
        <v>0</v>
      </c>
      <c r="B120" s="34">
        <v>0</v>
      </c>
      <c r="C120" s="34">
        <v>0</v>
      </c>
      <c r="D120" s="34">
        <v>0</v>
      </c>
      <c r="E120" s="34">
        <v>0</v>
      </c>
      <c r="F120" s="74">
        <v>0</v>
      </c>
      <c r="G120" s="34">
        <v>0</v>
      </c>
      <c r="H120" s="36">
        <v>0</v>
      </c>
      <c r="I120" s="39"/>
      <c r="J120" s="39"/>
      <c r="K120" s="39"/>
      <c r="L120" s="39"/>
      <c r="M120" s="39"/>
      <c r="N120" s="36">
        <f t="shared" si="3"/>
        <v>0</v>
      </c>
      <c r="O120" s="36">
        <f t="shared" si="3"/>
        <v>0</v>
      </c>
      <c r="P120" s="36">
        <f t="shared" si="3"/>
        <v>0</v>
      </c>
      <c r="Q120" s="36"/>
      <c r="R120" s="36"/>
      <c r="S120" s="36">
        <f t="shared" si="4"/>
        <v>0</v>
      </c>
      <c r="T120" s="37" t="s">
        <v>663</v>
      </c>
      <c r="U120" s="37" t="s">
        <v>225</v>
      </c>
      <c r="V120" s="160">
        <v>3209</v>
      </c>
      <c r="W120" s="10"/>
      <c r="X120" s="10"/>
      <c r="Y120" s="10"/>
      <c r="Z120" s="10">
        <v>5444</v>
      </c>
      <c r="AA120" s="34">
        <v>365</v>
      </c>
      <c r="AB120" s="10">
        <v>180</v>
      </c>
      <c r="AC120" s="10">
        <v>360</v>
      </c>
      <c r="AD120" s="10"/>
      <c r="AE120" s="10" t="s">
        <v>218</v>
      </c>
      <c r="AF120" s="10" t="s">
        <v>218</v>
      </c>
      <c r="AG120" s="10" t="s">
        <v>218</v>
      </c>
      <c r="AH120" s="10" t="s">
        <v>218</v>
      </c>
      <c r="AI120" s="10" t="s">
        <v>218</v>
      </c>
      <c r="AJ120" s="10" t="s">
        <v>218</v>
      </c>
      <c r="AK120" s="10" t="s">
        <v>218</v>
      </c>
      <c r="AL120" s="10" t="s">
        <v>218</v>
      </c>
      <c r="AM120" s="10" t="s">
        <v>218</v>
      </c>
      <c r="AN120" s="10" t="s">
        <v>218</v>
      </c>
      <c r="AO120" s="10" t="s">
        <v>218</v>
      </c>
      <c r="AP120" s="10" t="s">
        <v>218</v>
      </c>
      <c r="AQ120" s="27"/>
    </row>
    <row r="121" spans="1:43" ht="48" x14ac:dyDescent="0.25">
      <c r="A121" s="34">
        <v>0</v>
      </c>
      <c r="B121" s="34">
        <v>0</v>
      </c>
      <c r="C121" s="34">
        <v>0</v>
      </c>
      <c r="D121" s="34">
        <v>0</v>
      </c>
      <c r="E121" s="34">
        <v>0</v>
      </c>
      <c r="F121" s="74">
        <v>0</v>
      </c>
      <c r="G121" s="34">
        <v>0</v>
      </c>
      <c r="H121" s="36">
        <v>0</v>
      </c>
      <c r="I121" s="39"/>
      <c r="J121" s="39"/>
      <c r="K121" s="39"/>
      <c r="L121" s="39"/>
      <c r="M121" s="39"/>
      <c r="N121" s="36">
        <f t="shared" si="3"/>
        <v>0</v>
      </c>
      <c r="O121" s="36">
        <f t="shared" si="3"/>
        <v>0</v>
      </c>
      <c r="P121" s="36">
        <f t="shared" si="3"/>
        <v>0</v>
      </c>
      <c r="Q121" s="36"/>
      <c r="R121" s="36"/>
      <c r="S121" s="36">
        <f t="shared" si="4"/>
        <v>0</v>
      </c>
      <c r="T121" s="37" t="s">
        <v>664</v>
      </c>
      <c r="U121" s="37" t="s">
        <v>225</v>
      </c>
      <c r="V121" s="160">
        <v>2</v>
      </c>
      <c r="W121" s="10"/>
      <c r="X121" s="10"/>
      <c r="Y121" s="10"/>
      <c r="Z121" s="10">
        <v>2</v>
      </c>
      <c r="AA121" s="34">
        <v>365</v>
      </c>
      <c r="AB121" s="10">
        <v>180</v>
      </c>
      <c r="AC121" s="10">
        <v>360</v>
      </c>
      <c r="AD121" s="10"/>
      <c r="AE121" s="10" t="s">
        <v>218</v>
      </c>
      <c r="AF121" s="10" t="s">
        <v>218</v>
      </c>
      <c r="AG121" s="10" t="s">
        <v>218</v>
      </c>
      <c r="AH121" s="10" t="s">
        <v>218</v>
      </c>
      <c r="AI121" s="10" t="s">
        <v>218</v>
      </c>
      <c r="AJ121" s="10" t="s">
        <v>218</v>
      </c>
      <c r="AK121" s="10" t="s">
        <v>218</v>
      </c>
      <c r="AL121" s="10" t="s">
        <v>218</v>
      </c>
      <c r="AM121" s="10" t="s">
        <v>218</v>
      </c>
      <c r="AN121" s="10" t="s">
        <v>218</v>
      </c>
      <c r="AO121" s="10" t="s">
        <v>218</v>
      </c>
      <c r="AP121" s="10" t="s">
        <v>218</v>
      </c>
      <c r="AQ121" s="27"/>
    </row>
    <row r="122" spans="1:43" ht="48" x14ac:dyDescent="0.25">
      <c r="A122" s="34">
        <v>0</v>
      </c>
      <c r="B122" s="34">
        <v>0</v>
      </c>
      <c r="C122" s="34">
        <v>0</v>
      </c>
      <c r="D122" s="34">
        <v>0</v>
      </c>
      <c r="E122" s="34">
        <v>0</v>
      </c>
      <c r="F122" s="74">
        <v>0</v>
      </c>
      <c r="G122" s="34">
        <v>0</v>
      </c>
      <c r="H122" s="36">
        <v>0</v>
      </c>
      <c r="I122" s="39"/>
      <c r="J122" s="39"/>
      <c r="K122" s="39"/>
      <c r="L122" s="39"/>
      <c r="M122" s="39"/>
      <c r="N122" s="36">
        <f t="shared" si="3"/>
        <v>0</v>
      </c>
      <c r="O122" s="36">
        <f t="shared" si="3"/>
        <v>0</v>
      </c>
      <c r="P122" s="36">
        <f t="shared" si="3"/>
        <v>0</v>
      </c>
      <c r="Q122" s="36"/>
      <c r="R122" s="36"/>
      <c r="S122" s="36">
        <f t="shared" si="4"/>
        <v>0</v>
      </c>
      <c r="T122" s="37" t="s">
        <v>665</v>
      </c>
      <c r="U122" s="37" t="s">
        <v>225</v>
      </c>
      <c r="V122" s="160">
        <v>18</v>
      </c>
      <c r="W122" s="10"/>
      <c r="X122" s="10"/>
      <c r="Y122" s="10"/>
      <c r="Z122" s="10">
        <v>18</v>
      </c>
      <c r="AA122" s="34">
        <v>305</v>
      </c>
      <c r="AB122" s="10">
        <v>180</v>
      </c>
      <c r="AC122" s="10">
        <v>360</v>
      </c>
      <c r="AD122" s="10"/>
      <c r="AE122" s="10">
        <v>0</v>
      </c>
      <c r="AF122" s="10">
        <v>0</v>
      </c>
      <c r="AG122" s="10" t="s">
        <v>218</v>
      </c>
      <c r="AH122" s="10" t="s">
        <v>218</v>
      </c>
      <c r="AI122" s="10" t="s">
        <v>218</v>
      </c>
      <c r="AJ122" s="10" t="s">
        <v>218</v>
      </c>
      <c r="AK122" s="10" t="s">
        <v>218</v>
      </c>
      <c r="AL122" s="10" t="s">
        <v>218</v>
      </c>
      <c r="AM122" s="10" t="s">
        <v>218</v>
      </c>
      <c r="AN122" s="10" t="s">
        <v>218</v>
      </c>
      <c r="AO122" s="10" t="s">
        <v>218</v>
      </c>
      <c r="AP122" s="10" t="s">
        <v>218</v>
      </c>
      <c r="AQ122" s="27"/>
    </row>
    <row r="123" spans="1:43" ht="24" x14ac:dyDescent="0.25">
      <c r="A123" s="34">
        <v>0</v>
      </c>
      <c r="B123" s="34">
        <v>0</v>
      </c>
      <c r="C123" s="34">
        <v>0</v>
      </c>
      <c r="D123" s="34">
        <v>0</v>
      </c>
      <c r="E123" s="34">
        <v>0</v>
      </c>
      <c r="F123" s="74">
        <v>0</v>
      </c>
      <c r="G123" s="34">
        <v>0</v>
      </c>
      <c r="H123" s="36">
        <v>0</v>
      </c>
      <c r="I123" s="39"/>
      <c r="J123" s="39"/>
      <c r="K123" s="39"/>
      <c r="L123" s="39"/>
      <c r="M123" s="39"/>
      <c r="N123" s="36">
        <f t="shared" si="3"/>
        <v>0</v>
      </c>
      <c r="O123" s="36">
        <f t="shared" si="3"/>
        <v>0</v>
      </c>
      <c r="P123" s="36">
        <f t="shared" si="3"/>
        <v>0</v>
      </c>
      <c r="Q123" s="36"/>
      <c r="R123" s="36"/>
      <c r="S123" s="36">
        <f t="shared" si="4"/>
        <v>0</v>
      </c>
      <c r="T123" s="37" t="s">
        <v>666</v>
      </c>
      <c r="U123" s="37" t="s">
        <v>225</v>
      </c>
      <c r="V123" s="160">
        <v>4</v>
      </c>
      <c r="W123" s="10"/>
      <c r="X123" s="10"/>
      <c r="Y123" s="10"/>
      <c r="Z123" s="10">
        <v>10</v>
      </c>
      <c r="AA123" s="34">
        <v>270</v>
      </c>
      <c r="AB123" s="10">
        <v>135</v>
      </c>
      <c r="AC123" s="10">
        <v>270</v>
      </c>
      <c r="AD123" s="10"/>
      <c r="AE123" s="10">
        <v>0</v>
      </c>
      <c r="AF123" s="10">
        <v>0</v>
      </c>
      <c r="AG123" s="10">
        <v>0</v>
      </c>
      <c r="AH123" s="10" t="s">
        <v>218</v>
      </c>
      <c r="AI123" s="10" t="s">
        <v>218</v>
      </c>
      <c r="AJ123" s="10" t="s">
        <v>218</v>
      </c>
      <c r="AK123" s="10" t="s">
        <v>218</v>
      </c>
      <c r="AL123" s="10" t="s">
        <v>218</v>
      </c>
      <c r="AM123" s="10" t="s">
        <v>218</v>
      </c>
      <c r="AN123" s="10" t="s">
        <v>218</v>
      </c>
      <c r="AO123" s="10" t="s">
        <v>218</v>
      </c>
      <c r="AP123" s="10" t="s">
        <v>218</v>
      </c>
      <c r="AQ123" s="27"/>
    </row>
    <row r="124" spans="1:43" ht="60" x14ac:dyDescent="0.25">
      <c r="A124" s="34">
        <v>0</v>
      </c>
      <c r="B124" s="34">
        <v>0</v>
      </c>
      <c r="C124" s="34">
        <v>0</v>
      </c>
      <c r="D124" s="34">
        <v>0</v>
      </c>
      <c r="E124" s="34">
        <v>0</v>
      </c>
      <c r="F124" s="74">
        <v>0</v>
      </c>
      <c r="G124" s="34">
        <v>0</v>
      </c>
      <c r="H124" s="36">
        <v>0</v>
      </c>
      <c r="I124" s="39"/>
      <c r="J124" s="39"/>
      <c r="K124" s="39"/>
      <c r="L124" s="39"/>
      <c r="M124" s="39"/>
      <c r="N124" s="36">
        <f t="shared" si="3"/>
        <v>0</v>
      </c>
      <c r="O124" s="36">
        <f t="shared" si="3"/>
        <v>0</v>
      </c>
      <c r="P124" s="36">
        <f t="shared" si="3"/>
        <v>0</v>
      </c>
      <c r="Q124" s="36"/>
      <c r="R124" s="36"/>
      <c r="S124" s="36">
        <f t="shared" si="4"/>
        <v>0</v>
      </c>
      <c r="T124" s="37" t="s">
        <v>667</v>
      </c>
      <c r="U124" s="37" t="s">
        <v>225</v>
      </c>
      <c r="V124" s="160">
        <v>3</v>
      </c>
      <c r="W124" s="10"/>
      <c r="X124" s="10"/>
      <c r="Y124" s="10"/>
      <c r="Z124" s="10">
        <v>3</v>
      </c>
      <c r="AA124" s="34">
        <v>270</v>
      </c>
      <c r="AB124" s="10">
        <v>135</v>
      </c>
      <c r="AC124" s="10">
        <v>270</v>
      </c>
      <c r="AD124" s="10"/>
      <c r="AE124" s="10">
        <v>0</v>
      </c>
      <c r="AF124" s="10">
        <v>0</v>
      </c>
      <c r="AG124" s="10">
        <v>0</v>
      </c>
      <c r="AH124" s="10" t="s">
        <v>218</v>
      </c>
      <c r="AI124" s="10" t="s">
        <v>218</v>
      </c>
      <c r="AJ124" s="10" t="s">
        <v>218</v>
      </c>
      <c r="AK124" s="10" t="s">
        <v>218</v>
      </c>
      <c r="AL124" s="10" t="s">
        <v>218</v>
      </c>
      <c r="AM124" s="10" t="s">
        <v>218</v>
      </c>
      <c r="AN124" s="10" t="s">
        <v>218</v>
      </c>
      <c r="AO124" s="10" t="s">
        <v>218</v>
      </c>
      <c r="AP124" s="10" t="s">
        <v>218</v>
      </c>
      <c r="AQ124" s="27"/>
    </row>
    <row r="125" spans="1:43" ht="72" x14ac:dyDescent="0.25">
      <c r="A125" s="34" t="s">
        <v>55</v>
      </c>
      <c r="B125" s="34" t="s">
        <v>354</v>
      </c>
      <c r="C125" s="34" t="s">
        <v>355</v>
      </c>
      <c r="D125" s="34">
        <v>241110900</v>
      </c>
      <c r="E125" s="34">
        <v>242176001</v>
      </c>
      <c r="F125" s="74" t="s">
        <v>432</v>
      </c>
      <c r="G125" s="34" t="s">
        <v>433</v>
      </c>
      <c r="H125" s="36">
        <v>15435337000</v>
      </c>
      <c r="I125" s="39">
        <v>24486621451</v>
      </c>
      <c r="J125" s="39">
        <v>9051284451</v>
      </c>
      <c r="K125" s="39"/>
      <c r="L125" s="39"/>
      <c r="M125" s="39"/>
      <c r="N125" s="36">
        <f t="shared" si="3"/>
        <v>15435337000</v>
      </c>
      <c r="O125" s="36">
        <f t="shared" si="3"/>
        <v>24486621451</v>
      </c>
      <c r="P125" s="36">
        <f t="shared" si="3"/>
        <v>9051284451</v>
      </c>
      <c r="Q125" s="162">
        <v>9051284451</v>
      </c>
      <c r="R125" s="36"/>
      <c r="S125" s="36">
        <f t="shared" si="4"/>
        <v>9051284451</v>
      </c>
      <c r="T125" s="37" t="s">
        <v>668</v>
      </c>
      <c r="U125" s="37" t="s">
        <v>669</v>
      </c>
      <c r="V125" s="160">
        <v>1</v>
      </c>
      <c r="W125" s="10"/>
      <c r="X125" s="10"/>
      <c r="Y125" s="10"/>
      <c r="Z125" s="10"/>
      <c r="AA125" s="34">
        <v>245</v>
      </c>
      <c r="AB125" s="10">
        <v>123</v>
      </c>
      <c r="AC125" s="10">
        <v>246</v>
      </c>
      <c r="AD125" s="10"/>
      <c r="AE125" s="10">
        <v>0</v>
      </c>
      <c r="AF125" s="10">
        <v>0</v>
      </c>
      <c r="AG125" s="10">
        <v>0</v>
      </c>
      <c r="AH125" s="10" t="s">
        <v>218</v>
      </c>
      <c r="AI125" s="10" t="s">
        <v>218</v>
      </c>
      <c r="AJ125" s="10" t="s">
        <v>218</v>
      </c>
      <c r="AK125" s="10" t="s">
        <v>218</v>
      </c>
      <c r="AL125" s="10" t="s">
        <v>218</v>
      </c>
      <c r="AM125" s="10" t="s">
        <v>218</v>
      </c>
      <c r="AN125" s="10" t="s">
        <v>218</v>
      </c>
      <c r="AO125" s="10" t="s">
        <v>218</v>
      </c>
      <c r="AP125" s="10">
        <v>0</v>
      </c>
      <c r="AQ125" s="27"/>
    </row>
    <row r="126" spans="1:43" ht="24" x14ac:dyDescent="0.25">
      <c r="A126" s="34">
        <v>0</v>
      </c>
      <c r="B126" s="34">
        <v>0</v>
      </c>
      <c r="C126" s="34">
        <v>0</v>
      </c>
      <c r="D126" s="34">
        <v>0</v>
      </c>
      <c r="E126" s="34">
        <v>0</v>
      </c>
      <c r="F126" s="74">
        <v>0</v>
      </c>
      <c r="G126" s="34">
        <v>0</v>
      </c>
      <c r="H126" s="36">
        <v>0</v>
      </c>
      <c r="I126" s="39"/>
      <c r="J126" s="39"/>
      <c r="K126" s="39"/>
      <c r="L126" s="39"/>
      <c r="M126" s="39"/>
      <c r="N126" s="36">
        <f t="shared" si="3"/>
        <v>0</v>
      </c>
      <c r="O126" s="36">
        <f t="shared" si="3"/>
        <v>0</v>
      </c>
      <c r="P126" s="36">
        <f t="shared" si="3"/>
        <v>0</v>
      </c>
      <c r="Q126" s="36"/>
      <c r="R126" s="36"/>
      <c r="S126" s="36">
        <f t="shared" si="4"/>
        <v>0</v>
      </c>
      <c r="T126" s="37" t="s">
        <v>670</v>
      </c>
      <c r="U126" s="37" t="s">
        <v>669</v>
      </c>
      <c r="V126" s="160">
        <v>1</v>
      </c>
      <c r="W126" s="10"/>
      <c r="X126" s="10"/>
      <c r="Y126" s="10"/>
      <c r="Z126" s="10"/>
      <c r="AA126" s="34">
        <v>245</v>
      </c>
      <c r="AB126" s="10">
        <v>123</v>
      </c>
      <c r="AC126" s="10">
        <v>246</v>
      </c>
      <c r="AD126" s="10"/>
      <c r="AE126" s="10">
        <v>0</v>
      </c>
      <c r="AF126" s="10">
        <v>0</v>
      </c>
      <c r="AG126" s="10">
        <v>0</v>
      </c>
      <c r="AH126" s="10">
        <v>0</v>
      </c>
      <c r="AI126" s="10">
        <v>0</v>
      </c>
      <c r="AJ126" s="10">
        <v>0</v>
      </c>
      <c r="AK126" s="10">
        <v>0</v>
      </c>
      <c r="AL126" s="10">
        <v>0</v>
      </c>
      <c r="AM126" s="10">
        <v>0</v>
      </c>
      <c r="AN126" s="10" t="s">
        <v>102</v>
      </c>
      <c r="AO126" s="10" t="s">
        <v>102</v>
      </c>
      <c r="AP126" s="10" t="s">
        <v>102</v>
      </c>
      <c r="AQ126" s="27"/>
    </row>
    <row r="127" spans="1:43" ht="108" x14ac:dyDescent="0.25">
      <c r="A127" s="34" t="s">
        <v>55</v>
      </c>
      <c r="B127" s="34" t="s">
        <v>354</v>
      </c>
      <c r="C127" s="34" t="s">
        <v>355</v>
      </c>
      <c r="D127" s="34">
        <v>241120600</v>
      </c>
      <c r="E127" s="34">
        <v>12010090</v>
      </c>
      <c r="F127" s="74" t="s">
        <v>435</v>
      </c>
      <c r="G127" s="34" t="s">
        <v>436</v>
      </c>
      <c r="H127" s="36">
        <v>206889000</v>
      </c>
      <c r="I127" s="39">
        <v>395289000</v>
      </c>
      <c r="J127" s="39">
        <v>395289000</v>
      </c>
      <c r="K127" s="39"/>
      <c r="L127" s="39"/>
      <c r="M127" s="39"/>
      <c r="N127" s="36">
        <f t="shared" si="3"/>
        <v>206889000</v>
      </c>
      <c r="O127" s="36">
        <f t="shared" si="3"/>
        <v>395289000</v>
      </c>
      <c r="P127" s="36">
        <f t="shared" si="3"/>
        <v>395289000</v>
      </c>
      <c r="Q127" s="144">
        <v>259069577</v>
      </c>
      <c r="R127" s="36"/>
      <c r="S127" s="36">
        <f t="shared" si="4"/>
        <v>259069577</v>
      </c>
      <c r="T127" s="37" t="s">
        <v>671</v>
      </c>
      <c r="U127" s="160" t="s">
        <v>672</v>
      </c>
      <c r="V127" s="160">
        <v>3</v>
      </c>
      <c r="W127" s="10"/>
      <c r="X127" s="10"/>
      <c r="Y127" s="10">
        <v>0</v>
      </c>
      <c r="Z127" s="10">
        <v>4</v>
      </c>
      <c r="AA127" s="34">
        <v>365</v>
      </c>
      <c r="AB127" s="10">
        <v>182</v>
      </c>
      <c r="AC127" s="10">
        <v>365</v>
      </c>
      <c r="AD127" s="10"/>
      <c r="AE127" s="10" t="s">
        <v>218</v>
      </c>
      <c r="AF127" s="10" t="s">
        <v>218</v>
      </c>
      <c r="AG127" s="10" t="s">
        <v>218</v>
      </c>
      <c r="AH127" s="10" t="s">
        <v>218</v>
      </c>
      <c r="AI127" s="10" t="s">
        <v>218</v>
      </c>
      <c r="AJ127" s="10" t="s">
        <v>218</v>
      </c>
      <c r="AK127" s="10" t="s">
        <v>218</v>
      </c>
      <c r="AL127" s="10" t="s">
        <v>218</v>
      </c>
      <c r="AM127" s="10" t="s">
        <v>218</v>
      </c>
      <c r="AN127" s="10" t="s">
        <v>218</v>
      </c>
      <c r="AO127" s="10" t="s">
        <v>218</v>
      </c>
      <c r="AP127" s="10" t="s">
        <v>218</v>
      </c>
      <c r="AQ127" s="27"/>
    </row>
    <row r="128" spans="1:43" ht="108" x14ac:dyDescent="0.25">
      <c r="A128" s="34" t="s">
        <v>55</v>
      </c>
      <c r="B128" s="34" t="s">
        <v>354</v>
      </c>
      <c r="C128" s="34" t="s">
        <v>355</v>
      </c>
      <c r="D128" s="34">
        <v>241120600</v>
      </c>
      <c r="E128" s="34">
        <v>12010001</v>
      </c>
      <c r="F128" s="74" t="s">
        <v>435</v>
      </c>
      <c r="G128" s="34" t="s">
        <v>436</v>
      </c>
      <c r="H128" s="39">
        <v>100000000</v>
      </c>
      <c r="I128" s="39">
        <v>265689606</v>
      </c>
      <c r="J128" s="39">
        <v>365689606</v>
      </c>
      <c r="K128" s="39"/>
      <c r="L128" s="39"/>
      <c r="M128" s="39"/>
      <c r="N128" s="36">
        <f t="shared" si="3"/>
        <v>100000000</v>
      </c>
      <c r="O128" s="36">
        <f t="shared" si="3"/>
        <v>265689606</v>
      </c>
      <c r="P128" s="36">
        <f t="shared" si="3"/>
        <v>365689606</v>
      </c>
      <c r="Q128" s="144">
        <v>272483559</v>
      </c>
      <c r="R128" s="36"/>
      <c r="S128" s="36">
        <f t="shared" si="4"/>
        <v>272483559</v>
      </c>
      <c r="T128" s="37" t="s">
        <v>673</v>
      </c>
      <c r="U128" s="160" t="s">
        <v>316</v>
      </c>
      <c r="V128" s="160">
        <v>27</v>
      </c>
      <c r="W128" s="10"/>
      <c r="X128" s="10">
        <v>21</v>
      </c>
      <c r="Y128" s="10"/>
      <c r="Z128" s="10">
        <v>46</v>
      </c>
      <c r="AA128" s="34">
        <v>365</v>
      </c>
      <c r="AB128" s="10">
        <v>182</v>
      </c>
      <c r="AC128" s="10">
        <v>365</v>
      </c>
      <c r="AD128" s="10"/>
      <c r="AE128" s="10" t="s">
        <v>218</v>
      </c>
      <c r="AF128" s="10" t="s">
        <v>218</v>
      </c>
      <c r="AG128" s="10" t="s">
        <v>218</v>
      </c>
      <c r="AH128" s="10" t="s">
        <v>218</v>
      </c>
      <c r="AI128" s="10" t="s">
        <v>218</v>
      </c>
      <c r="AJ128" s="10" t="s">
        <v>218</v>
      </c>
      <c r="AK128" s="10" t="s">
        <v>218</v>
      </c>
      <c r="AL128" s="10" t="s">
        <v>218</v>
      </c>
      <c r="AM128" s="10" t="s">
        <v>218</v>
      </c>
      <c r="AN128" s="10" t="s">
        <v>218</v>
      </c>
      <c r="AO128" s="10" t="s">
        <v>218</v>
      </c>
      <c r="AP128" s="10" t="s">
        <v>218</v>
      </c>
      <c r="AQ128" s="27"/>
    </row>
    <row r="129" spans="1:43" x14ac:dyDescent="0.25">
      <c r="A129" s="34"/>
      <c r="B129" s="34"/>
      <c r="C129" s="34"/>
      <c r="D129" s="34"/>
      <c r="E129" s="34"/>
      <c r="F129" s="74"/>
      <c r="G129" s="34"/>
      <c r="H129" s="36"/>
      <c r="I129" s="39"/>
      <c r="J129" s="39"/>
      <c r="K129" s="39"/>
      <c r="L129" s="39"/>
      <c r="M129" s="39"/>
      <c r="N129" s="36"/>
      <c r="O129" s="36"/>
      <c r="P129" s="36"/>
      <c r="Q129" s="36"/>
      <c r="R129" s="36"/>
      <c r="S129" s="36"/>
      <c r="T129" s="37" t="s">
        <v>674</v>
      </c>
      <c r="U129" s="160" t="s">
        <v>316</v>
      </c>
      <c r="V129" s="160">
        <v>1</v>
      </c>
      <c r="W129" s="10"/>
      <c r="X129" s="10">
        <v>0</v>
      </c>
      <c r="Y129" s="10"/>
      <c r="Z129" s="10"/>
      <c r="AA129" s="34">
        <v>365</v>
      </c>
      <c r="AB129" s="10">
        <v>182</v>
      </c>
      <c r="AC129" s="10">
        <v>365</v>
      </c>
      <c r="AD129" s="10"/>
      <c r="AE129" s="10" t="s">
        <v>218</v>
      </c>
      <c r="AF129" s="10" t="s">
        <v>218</v>
      </c>
      <c r="AG129" s="10" t="s">
        <v>218</v>
      </c>
      <c r="AH129" s="10" t="s">
        <v>218</v>
      </c>
      <c r="AI129" s="10" t="s">
        <v>218</v>
      </c>
      <c r="AJ129" s="10" t="s">
        <v>218</v>
      </c>
      <c r="AK129" s="10" t="s">
        <v>218</v>
      </c>
      <c r="AL129" s="10" t="s">
        <v>218</v>
      </c>
      <c r="AM129" s="10" t="s">
        <v>218</v>
      </c>
      <c r="AN129" s="10" t="s">
        <v>218</v>
      </c>
      <c r="AO129" s="10" t="s">
        <v>218</v>
      </c>
      <c r="AP129" s="10" t="s">
        <v>218</v>
      </c>
      <c r="AQ129" s="27"/>
    </row>
    <row r="130" spans="1:43" ht="72" x14ac:dyDescent="0.25">
      <c r="A130" s="34"/>
      <c r="B130" s="34"/>
      <c r="C130" s="34"/>
      <c r="D130" s="34"/>
      <c r="E130" s="34"/>
      <c r="F130" s="74"/>
      <c r="G130" s="34"/>
      <c r="H130" s="36"/>
      <c r="I130" s="39"/>
      <c r="J130" s="39"/>
      <c r="K130" s="39"/>
      <c r="L130" s="39"/>
      <c r="M130" s="39"/>
      <c r="N130" s="36"/>
      <c r="O130" s="36"/>
      <c r="P130" s="36"/>
      <c r="Q130" s="36"/>
      <c r="R130" s="36"/>
      <c r="S130" s="36"/>
      <c r="T130" s="37" t="s">
        <v>675</v>
      </c>
      <c r="U130" s="160" t="s">
        <v>316</v>
      </c>
      <c r="V130" s="160">
        <v>1</v>
      </c>
      <c r="W130" s="10"/>
      <c r="X130" s="10">
        <v>0</v>
      </c>
      <c r="Y130" s="10"/>
      <c r="Z130" s="10"/>
      <c r="AA130" s="34">
        <v>365</v>
      </c>
      <c r="AB130" s="10">
        <v>182</v>
      </c>
      <c r="AC130" s="10">
        <v>365</v>
      </c>
      <c r="AD130" s="10"/>
      <c r="AE130" s="10" t="s">
        <v>218</v>
      </c>
      <c r="AF130" s="10" t="s">
        <v>218</v>
      </c>
      <c r="AG130" s="10" t="s">
        <v>218</v>
      </c>
      <c r="AH130" s="10" t="s">
        <v>218</v>
      </c>
      <c r="AI130" s="10" t="s">
        <v>218</v>
      </c>
      <c r="AJ130" s="10" t="s">
        <v>218</v>
      </c>
      <c r="AK130" s="10" t="s">
        <v>218</v>
      </c>
      <c r="AL130" s="10" t="s">
        <v>218</v>
      </c>
      <c r="AM130" s="10" t="s">
        <v>218</v>
      </c>
      <c r="AN130" s="10" t="s">
        <v>218</v>
      </c>
      <c r="AO130" s="10" t="s">
        <v>218</v>
      </c>
      <c r="AP130" s="10" t="s">
        <v>218</v>
      </c>
      <c r="AQ130" s="27"/>
    </row>
    <row r="131" spans="1:43" ht="60" x14ac:dyDescent="0.25">
      <c r="A131" s="34"/>
      <c r="B131" s="34"/>
      <c r="C131" s="34"/>
      <c r="D131" s="34"/>
      <c r="E131" s="34"/>
      <c r="F131" s="74"/>
      <c r="G131" s="34"/>
      <c r="H131" s="36"/>
      <c r="I131" s="39"/>
      <c r="J131" s="39"/>
      <c r="K131" s="39"/>
      <c r="L131" s="39"/>
      <c r="M131" s="39"/>
      <c r="N131" s="36"/>
      <c r="O131" s="36"/>
      <c r="P131" s="36"/>
      <c r="Q131" s="36"/>
      <c r="R131" s="36"/>
      <c r="S131" s="36"/>
      <c r="T131" s="37" t="s">
        <v>676</v>
      </c>
      <c r="U131" s="160" t="s">
        <v>316</v>
      </c>
      <c r="V131" s="160">
        <v>1</v>
      </c>
      <c r="W131" s="10"/>
      <c r="X131" s="10"/>
      <c r="Y131" s="10">
        <v>0</v>
      </c>
      <c r="Z131" s="10"/>
      <c r="AA131" s="34">
        <v>365</v>
      </c>
      <c r="AB131" s="10">
        <v>182</v>
      </c>
      <c r="AC131" s="10">
        <v>365</v>
      </c>
      <c r="AD131" s="10"/>
      <c r="AE131" s="10" t="s">
        <v>218</v>
      </c>
      <c r="AF131" s="10" t="s">
        <v>218</v>
      </c>
      <c r="AG131" s="10" t="s">
        <v>218</v>
      </c>
      <c r="AH131" s="10" t="s">
        <v>218</v>
      </c>
      <c r="AI131" s="10" t="s">
        <v>218</v>
      </c>
      <c r="AJ131" s="10" t="s">
        <v>218</v>
      </c>
      <c r="AK131" s="10" t="s">
        <v>218</v>
      </c>
      <c r="AL131" s="10" t="s">
        <v>218</v>
      </c>
      <c r="AM131" s="10" t="s">
        <v>218</v>
      </c>
      <c r="AN131" s="10" t="s">
        <v>218</v>
      </c>
      <c r="AO131" s="10" t="s">
        <v>218</v>
      </c>
      <c r="AP131" s="10" t="s">
        <v>218</v>
      </c>
      <c r="AQ131" s="27"/>
    </row>
    <row r="132" spans="1:43" ht="144" x14ac:dyDescent="0.25">
      <c r="A132" s="34" t="s">
        <v>55</v>
      </c>
      <c r="B132" s="34" t="s">
        <v>354</v>
      </c>
      <c r="C132" s="34" t="s">
        <v>355</v>
      </c>
      <c r="D132" s="34">
        <v>241120600</v>
      </c>
      <c r="E132" s="34">
        <v>12260001</v>
      </c>
      <c r="F132" s="74" t="s">
        <v>439</v>
      </c>
      <c r="G132" s="34" t="s">
        <v>440</v>
      </c>
      <c r="H132" s="36">
        <v>140000000</v>
      </c>
      <c r="I132" s="39">
        <v>140000000</v>
      </c>
      <c r="J132" s="39">
        <v>122000000</v>
      </c>
      <c r="K132" s="39"/>
      <c r="L132" s="39"/>
      <c r="M132" s="39"/>
      <c r="N132" s="36">
        <f t="shared" si="3"/>
        <v>140000000</v>
      </c>
      <c r="O132" s="36">
        <f t="shared" si="3"/>
        <v>140000000</v>
      </c>
      <c r="P132" s="36">
        <f t="shared" si="3"/>
        <v>122000000</v>
      </c>
      <c r="Q132" s="162">
        <v>122000000</v>
      </c>
      <c r="R132" s="36"/>
      <c r="S132" s="36">
        <f t="shared" si="4"/>
        <v>122000000</v>
      </c>
      <c r="T132" s="37" t="s">
        <v>677</v>
      </c>
      <c r="U132" s="37" t="s">
        <v>225</v>
      </c>
      <c r="V132" s="37">
        <v>509</v>
      </c>
      <c r="W132" s="10">
        <v>458</v>
      </c>
      <c r="X132" s="10"/>
      <c r="Y132" s="10"/>
      <c r="Z132" s="10">
        <v>486</v>
      </c>
      <c r="AA132" s="34">
        <v>335</v>
      </c>
      <c r="AB132" s="10">
        <v>167</v>
      </c>
      <c r="AC132" s="10">
        <v>330</v>
      </c>
      <c r="AD132" s="10"/>
      <c r="AE132" s="10">
        <v>0</v>
      </c>
      <c r="AF132" s="10" t="s">
        <v>218</v>
      </c>
      <c r="AG132" s="10" t="s">
        <v>218</v>
      </c>
      <c r="AH132" s="10" t="s">
        <v>218</v>
      </c>
      <c r="AI132" s="10" t="s">
        <v>218</v>
      </c>
      <c r="AJ132" s="10" t="s">
        <v>218</v>
      </c>
      <c r="AK132" s="10" t="s">
        <v>218</v>
      </c>
      <c r="AL132" s="10" t="s">
        <v>218</v>
      </c>
      <c r="AM132" s="10" t="s">
        <v>218</v>
      </c>
      <c r="AN132" s="10" t="s">
        <v>218</v>
      </c>
      <c r="AO132" s="10" t="s">
        <v>218</v>
      </c>
      <c r="AP132" s="10" t="s">
        <v>218</v>
      </c>
      <c r="AQ132" s="27"/>
    </row>
    <row r="133" spans="1:43" ht="60" x14ac:dyDescent="0.25">
      <c r="A133" s="34"/>
      <c r="B133" s="34"/>
      <c r="C133" s="34"/>
      <c r="D133" s="34"/>
      <c r="E133" s="34"/>
      <c r="F133" s="74"/>
      <c r="G133" s="34"/>
      <c r="H133" s="36"/>
      <c r="I133" s="39"/>
      <c r="J133" s="39"/>
      <c r="K133" s="39"/>
      <c r="L133" s="39"/>
      <c r="M133" s="39"/>
      <c r="N133" s="36"/>
      <c r="O133" s="36"/>
      <c r="P133" s="36"/>
      <c r="Q133" s="36"/>
      <c r="R133" s="36"/>
      <c r="S133" s="36"/>
      <c r="T133" s="37" t="s">
        <v>678</v>
      </c>
      <c r="U133" s="37" t="s">
        <v>215</v>
      </c>
      <c r="V133" s="37">
        <v>509</v>
      </c>
      <c r="W133" s="10"/>
      <c r="X133" s="10"/>
      <c r="Y133" s="10"/>
      <c r="Z133" s="10">
        <v>611</v>
      </c>
      <c r="AA133" s="34">
        <v>335</v>
      </c>
      <c r="AB133" s="10">
        <v>167</v>
      </c>
      <c r="AC133" s="10">
        <v>330</v>
      </c>
      <c r="AD133" s="10"/>
      <c r="AE133" s="10" t="s">
        <v>218</v>
      </c>
      <c r="AF133" s="10" t="s">
        <v>218</v>
      </c>
      <c r="AG133" s="10" t="s">
        <v>218</v>
      </c>
      <c r="AH133" s="10" t="s">
        <v>218</v>
      </c>
      <c r="AI133" s="10" t="s">
        <v>218</v>
      </c>
      <c r="AJ133" s="10" t="s">
        <v>218</v>
      </c>
      <c r="AK133" s="10" t="s">
        <v>218</v>
      </c>
      <c r="AL133" s="10" t="s">
        <v>218</v>
      </c>
      <c r="AM133" s="10" t="s">
        <v>218</v>
      </c>
      <c r="AN133" s="10" t="s">
        <v>218</v>
      </c>
      <c r="AO133" s="10" t="s">
        <v>218</v>
      </c>
      <c r="AP133" s="10" t="s">
        <v>218</v>
      </c>
      <c r="AQ133" s="27"/>
    </row>
    <row r="134" spans="1:43" ht="36" x14ac:dyDescent="0.25">
      <c r="A134" s="34"/>
      <c r="B134" s="34"/>
      <c r="C134" s="34"/>
      <c r="D134" s="34"/>
      <c r="E134" s="34"/>
      <c r="F134" s="74"/>
      <c r="G134" s="34"/>
      <c r="H134" s="36"/>
      <c r="I134" s="39"/>
      <c r="J134" s="39"/>
      <c r="K134" s="39"/>
      <c r="L134" s="39"/>
      <c r="M134" s="39"/>
      <c r="N134" s="36"/>
      <c r="O134" s="36"/>
      <c r="P134" s="36"/>
      <c r="Q134" s="36"/>
      <c r="R134" s="36"/>
      <c r="S134" s="36"/>
      <c r="T134" s="37" t="s">
        <v>679</v>
      </c>
      <c r="U134" s="37" t="s">
        <v>680</v>
      </c>
      <c r="V134" s="37">
        <v>7914</v>
      </c>
      <c r="W134" s="10"/>
      <c r="X134" s="10"/>
      <c r="Y134" s="10"/>
      <c r="Z134" s="10">
        <v>13000</v>
      </c>
      <c r="AA134" s="34">
        <v>335</v>
      </c>
      <c r="AB134" s="10">
        <v>167</v>
      </c>
      <c r="AC134" s="10">
        <v>330</v>
      </c>
      <c r="AD134" s="10"/>
      <c r="AE134" s="10" t="s">
        <v>218</v>
      </c>
      <c r="AF134" s="10" t="s">
        <v>218</v>
      </c>
      <c r="AG134" s="10" t="s">
        <v>218</v>
      </c>
      <c r="AH134" s="10" t="s">
        <v>218</v>
      </c>
      <c r="AI134" s="10" t="s">
        <v>218</v>
      </c>
      <c r="AJ134" s="10" t="s">
        <v>218</v>
      </c>
      <c r="AK134" s="10" t="s">
        <v>218</v>
      </c>
      <c r="AL134" s="10" t="s">
        <v>218</v>
      </c>
      <c r="AM134" s="10" t="s">
        <v>218</v>
      </c>
      <c r="AN134" s="10" t="s">
        <v>218</v>
      </c>
      <c r="AO134" s="10" t="s">
        <v>218</v>
      </c>
      <c r="AP134" s="10" t="s">
        <v>218</v>
      </c>
      <c r="AQ134" s="27"/>
    </row>
    <row r="135" spans="1:43" ht="48" x14ac:dyDescent="0.25">
      <c r="A135" s="34"/>
      <c r="B135" s="34"/>
      <c r="C135" s="34"/>
      <c r="D135" s="34"/>
      <c r="E135" s="34"/>
      <c r="F135" s="74"/>
      <c r="G135" s="34"/>
      <c r="H135" s="36"/>
      <c r="I135" s="39"/>
      <c r="J135" s="39"/>
      <c r="K135" s="39"/>
      <c r="L135" s="39"/>
      <c r="M135" s="39"/>
      <c r="N135" s="36"/>
      <c r="O135" s="36"/>
      <c r="P135" s="36"/>
      <c r="Q135" s="36"/>
      <c r="R135" s="36"/>
      <c r="S135" s="36"/>
      <c r="T135" s="37" t="s">
        <v>681</v>
      </c>
      <c r="U135" s="37" t="s">
        <v>682</v>
      </c>
      <c r="V135" s="37">
        <v>113</v>
      </c>
      <c r="W135" s="10"/>
      <c r="X135" s="10"/>
      <c r="Y135" s="10"/>
      <c r="Z135" s="10">
        <v>114</v>
      </c>
      <c r="AA135" s="34">
        <v>335</v>
      </c>
      <c r="AB135" s="10">
        <v>167</v>
      </c>
      <c r="AC135" s="10">
        <v>330</v>
      </c>
      <c r="AD135" s="10"/>
      <c r="AE135" s="10" t="s">
        <v>218</v>
      </c>
      <c r="AF135" s="10" t="s">
        <v>218</v>
      </c>
      <c r="AG135" s="10" t="s">
        <v>218</v>
      </c>
      <c r="AH135" s="10" t="s">
        <v>218</v>
      </c>
      <c r="AI135" s="10" t="s">
        <v>218</v>
      </c>
      <c r="AJ135" s="10" t="s">
        <v>218</v>
      </c>
      <c r="AK135" s="10" t="s">
        <v>218</v>
      </c>
      <c r="AL135" s="10" t="s">
        <v>218</v>
      </c>
      <c r="AM135" s="10" t="s">
        <v>218</v>
      </c>
      <c r="AN135" s="10" t="s">
        <v>218</v>
      </c>
      <c r="AO135" s="10" t="s">
        <v>218</v>
      </c>
      <c r="AP135" s="10" t="s">
        <v>218</v>
      </c>
      <c r="AQ135" s="27"/>
    </row>
    <row r="136" spans="1:43" ht="120" x14ac:dyDescent="0.25">
      <c r="A136" s="34" t="s">
        <v>55</v>
      </c>
      <c r="B136" s="34" t="s">
        <v>354</v>
      </c>
      <c r="C136" s="34" t="s">
        <v>355</v>
      </c>
      <c r="D136" s="34">
        <v>241120600</v>
      </c>
      <c r="E136" s="34">
        <v>12260090</v>
      </c>
      <c r="F136" s="74" t="s">
        <v>439</v>
      </c>
      <c r="G136" s="34" t="s">
        <v>443</v>
      </c>
      <c r="H136" s="36">
        <v>71152000</v>
      </c>
      <c r="I136" s="39">
        <v>79437000</v>
      </c>
      <c r="J136" s="39">
        <v>79437000</v>
      </c>
      <c r="K136" s="39"/>
      <c r="L136" s="39"/>
      <c r="M136" s="39"/>
      <c r="N136" s="36">
        <f t="shared" si="3"/>
        <v>71152000</v>
      </c>
      <c r="O136" s="36">
        <f t="shared" si="3"/>
        <v>79437000</v>
      </c>
      <c r="P136" s="36">
        <f t="shared" si="3"/>
        <v>79437000</v>
      </c>
      <c r="Q136" s="162">
        <v>64626714</v>
      </c>
      <c r="R136" s="36"/>
      <c r="S136" s="36">
        <f t="shared" si="4"/>
        <v>64626714</v>
      </c>
      <c r="T136" s="37" t="s">
        <v>683</v>
      </c>
      <c r="U136" s="37" t="s">
        <v>556</v>
      </c>
      <c r="V136" s="37">
        <v>0</v>
      </c>
      <c r="W136" s="10"/>
      <c r="X136" s="10"/>
      <c r="Y136" s="10"/>
      <c r="Z136" s="10">
        <v>1</v>
      </c>
      <c r="AA136" s="34">
        <v>365</v>
      </c>
      <c r="AB136" s="10">
        <v>167</v>
      </c>
      <c r="AC136" s="10">
        <v>330</v>
      </c>
      <c r="AD136" s="10"/>
      <c r="AE136" s="10" t="s">
        <v>218</v>
      </c>
      <c r="AF136" s="10" t="s">
        <v>218</v>
      </c>
      <c r="AG136" s="10" t="s">
        <v>218</v>
      </c>
      <c r="AH136" s="10" t="s">
        <v>218</v>
      </c>
      <c r="AI136" s="10" t="s">
        <v>218</v>
      </c>
      <c r="AJ136" s="10" t="s">
        <v>218</v>
      </c>
      <c r="AK136" s="10" t="s">
        <v>218</v>
      </c>
      <c r="AL136" s="10" t="s">
        <v>218</v>
      </c>
      <c r="AM136" s="10" t="s">
        <v>218</v>
      </c>
      <c r="AN136" s="10" t="s">
        <v>218</v>
      </c>
      <c r="AO136" s="10" t="s">
        <v>218</v>
      </c>
      <c r="AP136" s="10" t="s">
        <v>218</v>
      </c>
      <c r="AQ136" s="27"/>
    </row>
    <row r="137" spans="1:43" ht="96" x14ac:dyDescent="0.25">
      <c r="A137" s="34" t="s">
        <v>55</v>
      </c>
      <c r="B137" s="34" t="s">
        <v>354</v>
      </c>
      <c r="C137" s="34" t="s">
        <v>355</v>
      </c>
      <c r="D137" s="34">
        <v>241120600</v>
      </c>
      <c r="E137" s="34">
        <v>12261001</v>
      </c>
      <c r="F137" s="74" t="s">
        <v>444</v>
      </c>
      <c r="G137" s="34" t="s">
        <v>445</v>
      </c>
      <c r="H137" s="36">
        <v>130000000</v>
      </c>
      <c r="I137" s="39">
        <v>1012000000</v>
      </c>
      <c r="J137" s="39">
        <v>914780800</v>
      </c>
      <c r="K137" s="39"/>
      <c r="L137" s="39"/>
      <c r="M137" s="39"/>
      <c r="N137" s="36">
        <f t="shared" si="3"/>
        <v>130000000</v>
      </c>
      <c r="O137" s="36">
        <f t="shared" si="3"/>
        <v>1012000000</v>
      </c>
      <c r="P137" s="36">
        <f t="shared" si="3"/>
        <v>914780800</v>
      </c>
      <c r="Q137" s="162">
        <v>730762530</v>
      </c>
      <c r="R137" s="36"/>
      <c r="S137" s="36">
        <f t="shared" si="4"/>
        <v>730762530</v>
      </c>
      <c r="T137" s="37" t="s">
        <v>684</v>
      </c>
      <c r="U137" s="37" t="s">
        <v>685</v>
      </c>
      <c r="V137" s="160">
        <v>400000</v>
      </c>
      <c r="W137" s="10"/>
      <c r="X137" s="10"/>
      <c r="Y137" s="10">
        <v>104800</v>
      </c>
      <c r="Z137" s="10">
        <v>352312</v>
      </c>
      <c r="AA137" s="34">
        <v>335</v>
      </c>
      <c r="AB137" s="10">
        <v>167</v>
      </c>
      <c r="AC137" s="10">
        <v>330</v>
      </c>
      <c r="AD137" s="10"/>
      <c r="AE137" s="10">
        <v>0</v>
      </c>
      <c r="AF137" s="10" t="s">
        <v>218</v>
      </c>
      <c r="AG137" s="10" t="s">
        <v>218</v>
      </c>
      <c r="AH137" s="10" t="s">
        <v>218</v>
      </c>
      <c r="AI137" s="10" t="s">
        <v>218</v>
      </c>
      <c r="AJ137" s="10" t="s">
        <v>218</v>
      </c>
      <c r="AK137" s="10" t="s">
        <v>218</v>
      </c>
      <c r="AL137" s="10" t="s">
        <v>218</v>
      </c>
      <c r="AM137" s="10" t="s">
        <v>218</v>
      </c>
      <c r="AN137" s="10" t="s">
        <v>218</v>
      </c>
      <c r="AO137" s="10" t="s">
        <v>218</v>
      </c>
      <c r="AP137" s="10" t="s">
        <v>218</v>
      </c>
      <c r="AQ137" s="27"/>
    </row>
    <row r="138" spans="1:43" ht="36" x14ac:dyDescent="0.25">
      <c r="A138" s="34">
        <v>0</v>
      </c>
      <c r="B138" s="34">
        <v>0</v>
      </c>
      <c r="C138" s="34">
        <v>0</v>
      </c>
      <c r="D138" s="34">
        <v>0</v>
      </c>
      <c r="E138" s="34">
        <v>0</v>
      </c>
      <c r="F138" s="74">
        <v>0</v>
      </c>
      <c r="G138" s="34">
        <v>0</v>
      </c>
      <c r="H138" s="36">
        <v>0</v>
      </c>
      <c r="I138" s="39"/>
      <c r="J138" s="39"/>
      <c r="K138" s="39"/>
      <c r="L138" s="39"/>
      <c r="M138" s="39"/>
      <c r="N138" s="36">
        <f t="shared" si="3"/>
        <v>0</v>
      </c>
      <c r="O138" s="36">
        <f t="shared" si="3"/>
        <v>0</v>
      </c>
      <c r="P138" s="36">
        <f t="shared" si="3"/>
        <v>0</v>
      </c>
      <c r="Q138" s="36"/>
      <c r="R138" s="36"/>
      <c r="S138" s="36">
        <f t="shared" si="4"/>
        <v>0</v>
      </c>
      <c r="T138" s="37" t="s">
        <v>686</v>
      </c>
      <c r="U138" s="37" t="s">
        <v>687</v>
      </c>
      <c r="V138" s="160">
        <v>25</v>
      </c>
      <c r="W138" s="10"/>
      <c r="X138" s="10"/>
      <c r="Y138" s="10"/>
      <c r="Z138" s="10"/>
      <c r="AA138" s="34">
        <v>120</v>
      </c>
      <c r="AB138" s="10">
        <v>60</v>
      </c>
      <c r="AC138" s="10">
        <v>120</v>
      </c>
      <c r="AD138" s="10" t="s">
        <v>688</v>
      </c>
      <c r="AE138" s="10">
        <v>0</v>
      </c>
      <c r="AF138" s="10">
        <v>0</v>
      </c>
      <c r="AG138" s="10">
        <v>0</v>
      </c>
      <c r="AH138" s="10">
        <v>0</v>
      </c>
      <c r="AI138" s="10" t="s">
        <v>218</v>
      </c>
      <c r="AJ138" s="10" t="s">
        <v>218</v>
      </c>
      <c r="AK138" s="10" t="s">
        <v>218</v>
      </c>
      <c r="AL138" s="10" t="s">
        <v>218</v>
      </c>
      <c r="AM138" s="10">
        <v>0</v>
      </c>
      <c r="AN138" s="10">
        <v>0</v>
      </c>
      <c r="AO138" s="10">
        <v>0</v>
      </c>
      <c r="AP138" s="10">
        <v>0</v>
      </c>
      <c r="AQ138" s="27"/>
    </row>
    <row r="139" spans="1:43" ht="60" x14ac:dyDescent="0.25">
      <c r="A139" s="34">
        <v>0</v>
      </c>
      <c r="B139" s="34">
        <v>0</v>
      </c>
      <c r="C139" s="34">
        <v>0</v>
      </c>
      <c r="D139" s="34">
        <v>0</v>
      </c>
      <c r="E139" s="34">
        <v>0</v>
      </c>
      <c r="F139" s="74">
        <v>0</v>
      </c>
      <c r="G139" s="34">
        <v>0</v>
      </c>
      <c r="H139" s="36">
        <v>0</v>
      </c>
      <c r="I139" s="39"/>
      <c r="J139" s="39"/>
      <c r="K139" s="39"/>
      <c r="L139" s="39"/>
      <c r="M139" s="39"/>
      <c r="N139" s="36">
        <f t="shared" si="3"/>
        <v>0</v>
      </c>
      <c r="O139" s="36">
        <f t="shared" si="3"/>
        <v>0</v>
      </c>
      <c r="P139" s="36">
        <f t="shared" si="3"/>
        <v>0</v>
      </c>
      <c r="Q139" s="36"/>
      <c r="R139" s="36"/>
      <c r="S139" s="36">
        <f t="shared" si="4"/>
        <v>0</v>
      </c>
      <c r="T139" s="37" t="s">
        <v>689</v>
      </c>
      <c r="U139" s="37" t="s">
        <v>690</v>
      </c>
      <c r="V139" s="160">
        <v>60</v>
      </c>
      <c r="W139" s="10"/>
      <c r="X139" s="10"/>
      <c r="Y139" s="10">
        <v>15</v>
      </c>
      <c r="Z139" s="10">
        <v>42</v>
      </c>
      <c r="AA139" s="34">
        <v>365</v>
      </c>
      <c r="AB139" s="10">
        <v>167</v>
      </c>
      <c r="AC139" s="10">
        <v>330</v>
      </c>
      <c r="AD139" s="10"/>
      <c r="AE139" s="10" t="s">
        <v>218</v>
      </c>
      <c r="AF139" s="10" t="s">
        <v>218</v>
      </c>
      <c r="AG139" s="10" t="s">
        <v>218</v>
      </c>
      <c r="AH139" s="10" t="s">
        <v>218</v>
      </c>
      <c r="AI139" s="10" t="s">
        <v>218</v>
      </c>
      <c r="AJ139" s="10" t="s">
        <v>218</v>
      </c>
      <c r="AK139" s="10" t="s">
        <v>218</v>
      </c>
      <c r="AL139" s="10" t="s">
        <v>218</v>
      </c>
      <c r="AM139" s="10" t="s">
        <v>218</v>
      </c>
      <c r="AN139" s="10" t="s">
        <v>218</v>
      </c>
      <c r="AO139" s="10" t="s">
        <v>218</v>
      </c>
      <c r="AP139" s="10" t="s">
        <v>218</v>
      </c>
      <c r="AQ139" s="27"/>
    </row>
    <row r="140" spans="1:43" ht="72" x14ac:dyDescent="0.25">
      <c r="A140" s="34"/>
      <c r="B140" s="34"/>
      <c r="C140" s="34"/>
      <c r="D140" s="34"/>
      <c r="E140" s="34"/>
      <c r="F140" s="74"/>
      <c r="G140" s="34"/>
      <c r="H140" s="36"/>
      <c r="I140" s="39"/>
      <c r="J140" s="39"/>
      <c r="K140" s="39"/>
      <c r="L140" s="39"/>
      <c r="M140" s="39"/>
      <c r="N140" s="36"/>
      <c r="O140" s="36"/>
      <c r="P140" s="36"/>
      <c r="Q140" s="36"/>
      <c r="R140" s="36"/>
      <c r="S140" s="36"/>
      <c r="T140" s="37" t="s">
        <v>691</v>
      </c>
      <c r="U140" s="37" t="s">
        <v>316</v>
      </c>
      <c r="V140" s="160"/>
      <c r="W140" s="10">
        <v>5000</v>
      </c>
      <c r="X140" s="10"/>
      <c r="Y140" s="10"/>
      <c r="Z140" s="10">
        <v>1</v>
      </c>
      <c r="AA140" s="34">
        <v>365</v>
      </c>
      <c r="AB140" s="10">
        <v>167</v>
      </c>
      <c r="AC140" s="10">
        <v>330</v>
      </c>
      <c r="AD140" s="10"/>
      <c r="AE140" s="10"/>
      <c r="AF140" s="10"/>
      <c r="AG140" s="10"/>
      <c r="AH140" s="10"/>
      <c r="AI140" s="10"/>
      <c r="AJ140" s="10"/>
      <c r="AK140" s="10"/>
      <c r="AL140" s="10"/>
      <c r="AM140" s="10"/>
      <c r="AN140" s="10"/>
      <c r="AO140" s="10"/>
      <c r="AP140" s="10"/>
      <c r="AQ140" s="27"/>
    </row>
    <row r="141" spans="1:43" ht="96" x14ac:dyDescent="0.25">
      <c r="A141" s="34" t="s">
        <v>55</v>
      </c>
      <c r="B141" s="34" t="s">
        <v>354</v>
      </c>
      <c r="C141" s="34" t="s">
        <v>355</v>
      </c>
      <c r="D141" s="34">
        <v>241120600</v>
      </c>
      <c r="E141" s="34">
        <v>12261090</v>
      </c>
      <c r="F141" s="74" t="s">
        <v>444</v>
      </c>
      <c r="G141" s="34" t="s">
        <v>448</v>
      </c>
      <c r="H141" s="36">
        <v>85548000</v>
      </c>
      <c r="I141" s="39">
        <v>99125000</v>
      </c>
      <c r="J141" s="39">
        <v>99125000</v>
      </c>
      <c r="K141" s="39"/>
      <c r="L141" s="39"/>
      <c r="M141" s="39"/>
      <c r="N141" s="36">
        <f t="shared" si="3"/>
        <v>85548000</v>
      </c>
      <c r="O141" s="36">
        <f t="shared" si="3"/>
        <v>99125000</v>
      </c>
      <c r="P141" s="36">
        <f t="shared" si="3"/>
        <v>99125000</v>
      </c>
      <c r="Q141" s="162">
        <v>74547054</v>
      </c>
      <c r="R141" s="36"/>
      <c r="S141" s="36">
        <f t="shared" si="4"/>
        <v>74547054</v>
      </c>
      <c r="T141" s="37" t="s">
        <v>692</v>
      </c>
      <c r="U141" s="37" t="s">
        <v>225</v>
      </c>
      <c r="V141" s="160">
        <v>2</v>
      </c>
      <c r="W141" s="10"/>
      <c r="X141" s="10"/>
      <c r="Y141" s="10"/>
      <c r="Z141" s="10">
        <v>1</v>
      </c>
      <c r="AA141" s="34">
        <v>365</v>
      </c>
      <c r="AB141" s="10">
        <v>167</v>
      </c>
      <c r="AC141" s="10">
        <v>330</v>
      </c>
      <c r="AD141" s="10"/>
      <c r="AE141" s="10" t="s">
        <v>218</v>
      </c>
      <c r="AF141" s="10" t="s">
        <v>218</v>
      </c>
      <c r="AG141" s="10" t="s">
        <v>218</v>
      </c>
      <c r="AH141" s="10" t="s">
        <v>218</v>
      </c>
      <c r="AI141" s="10" t="s">
        <v>218</v>
      </c>
      <c r="AJ141" s="10" t="s">
        <v>218</v>
      </c>
      <c r="AK141" s="10" t="s">
        <v>218</v>
      </c>
      <c r="AL141" s="10" t="s">
        <v>218</v>
      </c>
      <c r="AM141" s="10" t="s">
        <v>218</v>
      </c>
      <c r="AN141" s="10" t="s">
        <v>218</v>
      </c>
      <c r="AO141" s="10" t="s">
        <v>218</v>
      </c>
      <c r="AP141" s="10" t="s">
        <v>218</v>
      </c>
      <c r="AQ141" s="27"/>
    </row>
    <row r="142" spans="1:43" s="172" customFormat="1" ht="60" x14ac:dyDescent="0.25">
      <c r="A142" s="34" t="s">
        <v>55</v>
      </c>
      <c r="B142" s="34" t="s">
        <v>354</v>
      </c>
      <c r="C142" s="34" t="s">
        <v>355</v>
      </c>
      <c r="D142" s="34">
        <v>241120600</v>
      </c>
      <c r="E142" s="34">
        <v>12263001</v>
      </c>
      <c r="F142" s="74" t="s">
        <v>449</v>
      </c>
      <c r="G142" s="34" t="s">
        <v>450</v>
      </c>
      <c r="H142" s="36">
        <v>3516000000</v>
      </c>
      <c r="I142" s="39">
        <v>7672821810</v>
      </c>
      <c r="J142" s="39">
        <v>6775426903</v>
      </c>
      <c r="K142" s="39"/>
      <c r="L142" s="39"/>
      <c r="M142" s="39"/>
      <c r="N142" s="36">
        <f t="shared" si="3"/>
        <v>3516000000</v>
      </c>
      <c r="O142" s="36">
        <f t="shared" si="3"/>
        <v>7672821810</v>
      </c>
      <c r="P142" s="36">
        <f t="shared" si="3"/>
        <v>6775426903</v>
      </c>
      <c r="Q142" s="162">
        <v>6215546948</v>
      </c>
      <c r="R142" s="36"/>
      <c r="S142" s="36">
        <f t="shared" si="4"/>
        <v>6215546948</v>
      </c>
      <c r="T142" s="37" t="s">
        <v>693</v>
      </c>
      <c r="U142" s="37" t="s">
        <v>694</v>
      </c>
      <c r="V142" s="160">
        <v>27525</v>
      </c>
      <c r="W142" s="10"/>
      <c r="X142" s="10"/>
      <c r="Y142" s="10"/>
      <c r="Z142" s="10"/>
      <c r="AA142" s="34">
        <v>240</v>
      </c>
      <c r="AB142" s="10">
        <v>120</v>
      </c>
      <c r="AC142" s="10">
        <v>240</v>
      </c>
      <c r="AD142" s="10"/>
      <c r="AE142" s="10"/>
      <c r="AF142" s="10"/>
      <c r="AG142" s="10"/>
      <c r="AH142" s="10"/>
      <c r="AI142" s="10"/>
      <c r="AJ142" s="10"/>
      <c r="AK142" s="10"/>
      <c r="AL142" s="10"/>
      <c r="AM142" s="10"/>
      <c r="AN142" s="10"/>
      <c r="AO142" s="10"/>
      <c r="AP142" s="10"/>
      <c r="AQ142" s="27"/>
    </row>
    <row r="143" spans="1:43" s="27" customFormat="1" ht="72" x14ac:dyDescent="0.25">
      <c r="A143" s="34"/>
      <c r="B143" s="34"/>
      <c r="C143" s="34"/>
      <c r="D143" s="34"/>
      <c r="E143" s="34"/>
      <c r="F143" s="74"/>
      <c r="G143" s="34"/>
      <c r="H143" s="36"/>
      <c r="I143" s="39"/>
      <c r="J143" s="39"/>
      <c r="K143" s="39"/>
      <c r="L143" s="39"/>
      <c r="M143" s="39"/>
      <c r="N143" s="36"/>
      <c r="O143" s="36"/>
      <c r="P143" s="36"/>
      <c r="Q143" s="36"/>
      <c r="R143" s="36"/>
      <c r="S143" s="36"/>
      <c r="T143" s="37" t="s">
        <v>695</v>
      </c>
      <c r="U143" s="37" t="s">
        <v>694</v>
      </c>
      <c r="W143" s="10">
        <v>47595</v>
      </c>
      <c r="X143" s="10"/>
      <c r="Y143" s="10">
        <v>104421</v>
      </c>
      <c r="Z143" s="10">
        <v>159662</v>
      </c>
      <c r="AA143" s="34"/>
      <c r="AB143" s="10"/>
      <c r="AC143" s="10"/>
      <c r="AD143" s="10"/>
      <c r="AE143" s="10" t="s">
        <v>218</v>
      </c>
      <c r="AF143" s="10" t="s">
        <v>218</v>
      </c>
      <c r="AG143" s="10" t="s">
        <v>218</v>
      </c>
      <c r="AH143" s="10" t="s">
        <v>218</v>
      </c>
      <c r="AI143" s="10" t="s">
        <v>218</v>
      </c>
      <c r="AJ143" s="10" t="s">
        <v>218</v>
      </c>
      <c r="AK143" s="10" t="s">
        <v>218</v>
      </c>
      <c r="AL143" s="10" t="s">
        <v>218</v>
      </c>
      <c r="AM143" s="10" t="s">
        <v>218</v>
      </c>
      <c r="AN143" s="10" t="s">
        <v>218</v>
      </c>
      <c r="AO143" s="10" t="s">
        <v>218</v>
      </c>
      <c r="AP143" s="10" t="s">
        <v>218</v>
      </c>
    </row>
    <row r="144" spans="1:43" s="27" customFormat="1" ht="36" x14ac:dyDescent="0.25">
      <c r="A144" s="34">
        <v>0</v>
      </c>
      <c r="B144" s="34">
        <v>0</v>
      </c>
      <c r="C144" s="34">
        <v>0</v>
      </c>
      <c r="D144" s="34">
        <v>0</v>
      </c>
      <c r="E144" s="34">
        <v>0</v>
      </c>
      <c r="F144" s="74">
        <v>0</v>
      </c>
      <c r="G144" s="34">
        <v>0</v>
      </c>
      <c r="H144" s="36">
        <v>0</v>
      </c>
      <c r="I144" s="39"/>
      <c r="J144" s="39"/>
      <c r="K144" s="39"/>
      <c r="L144" s="39"/>
      <c r="M144" s="39"/>
      <c r="N144" s="36">
        <f t="shared" si="3"/>
        <v>0</v>
      </c>
      <c r="O144" s="36">
        <f t="shared" si="3"/>
        <v>0</v>
      </c>
      <c r="P144" s="36">
        <f t="shared" si="3"/>
        <v>0</v>
      </c>
      <c r="Q144" s="36"/>
      <c r="R144" s="36"/>
      <c r="S144" s="36">
        <f t="shared" si="4"/>
        <v>0</v>
      </c>
      <c r="T144" s="37" t="s">
        <v>696</v>
      </c>
      <c r="U144" s="37" t="s">
        <v>697</v>
      </c>
      <c r="V144" s="160">
        <v>20070</v>
      </c>
      <c r="W144" s="10">
        <v>0</v>
      </c>
      <c r="X144" s="10"/>
      <c r="Y144" s="10"/>
      <c r="Z144" s="10">
        <v>40949</v>
      </c>
      <c r="AA144" s="34">
        <v>240</v>
      </c>
      <c r="AB144" s="10">
        <v>120</v>
      </c>
      <c r="AC144" s="10">
        <v>240</v>
      </c>
      <c r="AD144" s="10"/>
      <c r="AE144" s="10"/>
      <c r="AF144" s="10"/>
      <c r="AG144" s="10"/>
      <c r="AH144" s="10"/>
      <c r="AI144" s="10"/>
      <c r="AJ144" s="10"/>
      <c r="AK144" s="10"/>
      <c r="AL144" s="10"/>
      <c r="AM144" s="10"/>
      <c r="AN144" s="10"/>
      <c r="AO144" s="10"/>
      <c r="AP144" s="10"/>
    </row>
    <row r="145" spans="1:43" ht="24" x14ac:dyDescent="0.25">
      <c r="A145" s="34">
        <v>0</v>
      </c>
      <c r="B145" s="34">
        <v>0</v>
      </c>
      <c r="C145" s="34">
        <v>0</v>
      </c>
      <c r="D145" s="34">
        <v>0</v>
      </c>
      <c r="E145" s="34">
        <v>0</v>
      </c>
      <c r="F145" s="74">
        <v>0</v>
      </c>
      <c r="G145" s="34">
        <v>0</v>
      </c>
      <c r="H145" s="36">
        <v>0</v>
      </c>
      <c r="I145" s="39"/>
      <c r="J145" s="39"/>
      <c r="K145" s="39"/>
      <c r="L145" s="39"/>
      <c r="M145" s="39"/>
      <c r="N145" s="36">
        <f t="shared" si="3"/>
        <v>0</v>
      </c>
      <c r="O145" s="36">
        <f t="shared" si="3"/>
        <v>0</v>
      </c>
      <c r="P145" s="36">
        <f t="shared" si="3"/>
        <v>0</v>
      </c>
      <c r="Q145" s="36"/>
      <c r="R145" s="36"/>
      <c r="S145" s="36">
        <f t="shared" si="4"/>
        <v>0</v>
      </c>
      <c r="T145" s="37" t="s">
        <v>698</v>
      </c>
      <c r="U145" s="37" t="s">
        <v>699</v>
      </c>
      <c r="V145" s="160">
        <v>10</v>
      </c>
      <c r="W145" s="10"/>
      <c r="X145" s="10"/>
      <c r="Y145" s="10"/>
      <c r="Z145" s="10">
        <v>10</v>
      </c>
      <c r="AA145" s="34">
        <v>70</v>
      </c>
      <c r="AB145" s="10">
        <v>35</v>
      </c>
      <c r="AC145" s="10">
        <v>70</v>
      </c>
      <c r="AD145" s="10"/>
      <c r="AE145" s="10" t="s">
        <v>218</v>
      </c>
      <c r="AF145" s="10" t="s">
        <v>218</v>
      </c>
      <c r="AG145" s="10" t="s">
        <v>218</v>
      </c>
      <c r="AH145" s="10" t="s">
        <v>218</v>
      </c>
      <c r="AI145" s="10" t="s">
        <v>218</v>
      </c>
      <c r="AJ145" s="10" t="s">
        <v>218</v>
      </c>
      <c r="AK145" s="10" t="s">
        <v>218</v>
      </c>
      <c r="AL145" s="10" t="s">
        <v>218</v>
      </c>
      <c r="AM145" s="10" t="s">
        <v>218</v>
      </c>
      <c r="AN145" s="10" t="s">
        <v>218</v>
      </c>
      <c r="AO145" s="10" t="s">
        <v>218</v>
      </c>
      <c r="AP145" s="10" t="s">
        <v>218</v>
      </c>
      <c r="AQ145" s="27"/>
    </row>
    <row r="146" spans="1:43" ht="72" x14ac:dyDescent="0.25">
      <c r="A146" s="34" t="s">
        <v>55</v>
      </c>
      <c r="B146" s="34" t="s">
        <v>354</v>
      </c>
      <c r="C146" s="34" t="s">
        <v>355</v>
      </c>
      <c r="D146" s="34">
        <v>241120600</v>
      </c>
      <c r="E146" s="34">
        <v>12263090</v>
      </c>
      <c r="F146" s="74" t="s">
        <v>449</v>
      </c>
      <c r="G146" s="34" t="s">
        <v>453</v>
      </c>
      <c r="H146" s="36">
        <v>119280000</v>
      </c>
      <c r="I146" s="39">
        <v>131280000</v>
      </c>
      <c r="J146" s="39">
        <v>131280000</v>
      </c>
      <c r="K146" s="39"/>
      <c r="L146" s="39"/>
      <c r="M146" s="39"/>
      <c r="N146" s="36">
        <f t="shared" si="3"/>
        <v>119280000</v>
      </c>
      <c r="O146" s="36">
        <f t="shared" si="3"/>
        <v>131280000</v>
      </c>
      <c r="P146" s="36">
        <f t="shared" si="3"/>
        <v>131280000</v>
      </c>
      <c r="Q146" s="162">
        <v>114102175</v>
      </c>
      <c r="R146" s="36"/>
      <c r="S146" s="36">
        <f t="shared" si="4"/>
        <v>114102175</v>
      </c>
      <c r="T146" s="37" t="s">
        <v>700</v>
      </c>
      <c r="U146" s="37" t="s">
        <v>225</v>
      </c>
      <c r="V146" s="160">
        <v>1</v>
      </c>
      <c r="W146" s="10"/>
      <c r="X146" s="10"/>
      <c r="Y146" s="10"/>
      <c r="Z146" s="10">
        <v>1</v>
      </c>
      <c r="AA146" s="34">
        <v>240</v>
      </c>
      <c r="AB146" s="10">
        <v>120</v>
      </c>
      <c r="AC146" s="10">
        <v>240</v>
      </c>
      <c r="AD146" s="10"/>
      <c r="AE146" s="10" t="s">
        <v>102</v>
      </c>
      <c r="AF146" s="10" t="s">
        <v>218</v>
      </c>
      <c r="AG146" s="10" t="s">
        <v>218</v>
      </c>
      <c r="AH146" s="10" t="s">
        <v>218</v>
      </c>
      <c r="AI146" s="10" t="s">
        <v>218</v>
      </c>
      <c r="AJ146" s="10" t="s">
        <v>218</v>
      </c>
      <c r="AK146" s="10" t="s">
        <v>218</v>
      </c>
      <c r="AL146" s="10" t="s">
        <v>218</v>
      </c>
      <c r="AM146" s="10" t="s">
        <v>218</v>
      </c>
      <c r="AN146" s="10" t="s">
        <v>218</v>
      </c>
      <c r="AO146" s="10" t="s">
        <v>218</v>
      </c>
      <c r="AP146" s="10" t="s">
        <v>218</v>
      </c>
      <c r="AQ146" s="27"/>
    </row>
    <row r="147" spans="1:43" ht="75" x14ac:dyDescent="0.25">
      <c r="A147" s="34" t="s">
        <v>55</v>
      </c>
      <c r="B147" s="34" t="s">
        <v>354</v>
      </c>
      <c r="C147" s="34" t="s">
        <v>355</v>
      </c>
      <c r="D147" s="34">
        <v>241120600</v>
      </c>
      <c r="E147" s="34">
        <v>12264002</v>
      </c>
      <c r="F147" s="74" t="s">
        <v>454</v>
      </c>
      <c r="G147" s="34" t="s">
        <v>455</v>
      </c>
      <c r="H147" s="36">
        <v>506000000</v>
      </c>
      <c r="I147" s="39">
        <v>660137100</v>
      </c>
      <c r="J147" s="39">
        <v>660137100</v>
      </c>
      <c r="K147" s="39"/>
      <c r="L147" s="39"/>
      <c r="M147" s="39"/>
      <c r="N147" s="36">
        <f t="shared" si="3"/>
        <v>506000000</v>
      </c>
      <c r="O147" s="36">
        <f t="shared" si="3"/>
        <v>660137100</v>
      </c>
      <c r="P147" s="36">
        <f t="shared" si="3"/>
        <v>660137100</v>
      </c>
      <c r="Q147" s="144">
        <v>607275674</v>
      </c>
      <c r="R147" s="36"/>
      <c r="S147" s="36">
        <f t="shared" si="4"/>
        <v>607275674</v>
      </c>
      <c r="T147" s="37" t="s">
        <v>701</v>
      </c>
      <c r="U147" s="37" t="s">
        <v>556</v>
      </c>
      <c r="V147" s="37">
        <v>125</v>
      </c>
      <c r="W147" s="10"/>
      <c r="X147" s="10"/>
      <c r="Y147" s="10"/>
      <c r="Z147" s="10">
        <v>95</v>
      </c>
      <c r="AA147" s="34">
        <v>335</v>
      </c>
      <c r="AB147" s="10">
        <v>167</v>
      </c>
      <c r="AC147" s="10">
        <v>331</v>
      </c>
      <c r="AD147" s="10" t="s">
        <v>702</v>
      </c>
      <c r="AE147" s="10">
        <v>0</v>
      </c>
      <c r="AF147" s="10"/>
      <c r="AG147" s="10"/>
      <c r="AH147" s="10"/>
      <c r="AI147" s="10"/>
      <c r="AJ147" s="10"/>
      <c r="AK147" s="10"/>
      <c r="AL147" s="10"/>
      <c r="AM147" s="10"/>
      <c r="AN147" s="10"/>
      <c r="AO147" s="10"/>
      <c r="AP147" s="10"/>
      <c r="AQ147" s="27"/>
    </row>
    <row r="148" spans="1:43" ht="409.5" x14ac:dyDescent="0.25">
      <c r="A148" s="34">
        <v>0</v>
      </c>
      <c r="B148" s="34">
        <v>0</v>
      </c>
      <c r="C148" s="34">
        <v>0</v>
      </c>
      <c r="D148" s="34">
        <v>0</v>
      </c>
      <c r="E148" s="34">
        <v>0</v>
      </c>
      <c r="F148" s="74">
        <v>0</v>
      </c>
      <c r="G148" s="34">
        <v>0</v>
      </c>
      <c r="H148" s="36">
        <v>0</v>
      </c>
      <c r="I148" s="39"/>
      <c r="J148" s="39"/>
      <c r="K148" s="39"/>
      <c r="L148" s="39"/>
      <c r="M148" s="39"/>
      <c r="N148" s="36">
        <f t="shared" si="3"/>
        <v>0</v>
      </c>
      <c r="O148" s="36">
        <f t="shared" si="3"/>
        <v>0</v>
      </c>
      <c r="P148" s="36">
        <f t="shared" si="3"/>
        <v>0</v>
      </c>
      <c r="Q148" s="36"/>
      <c r="R148" s="36"/>
      <c r="S148" s="36">
        <f t="shared" si="4"/>
        <v>0</v>
      </c>
      <c r="T148" s="37" t="s">
        <v>703</v>
      </c>
      <c r="U148" s="37" t="s">
        <v>556</v>
      </c>
      <c r="V148" s="37">
        <v>125</v>
      </c>
      <c r="W148" s="10"/>
      <c r="X148" s="10"/>
      <c r="Y148" s="10"/>
      <c r="Z148" s="10">
        <v>109</v>
      </c>
      <c r="AA148" s="34">
        <v>335</v>
      </c>
      <c r="AB148" s="10">
        <v>167</v>
      </c>
      <c r="AC148" s="10">
        <v>331</v>
      </c>
      <c r="AD148" s="173" t="s">
        <v>704</v>
      </c>
      <c r="AE148" s="10">
        <v>0</v>
      </c>
      <c r="AF148" s="10"/>
      <c r="AG148" s="10"/>
      <c r="AH148" s="10"/>
      <c r="AI148" s="10"/>
      <c r="AJ148" s="10"/>
      <c r="AK148" s="10"/>
      <c r="AL148" s="10"/>
      <c r="AM148" s="10"/>
      <c r="AN148" s="10"/>
      <c r="AO148" s="10"/>
      <c r="AP148" s="10"/>
      <c r="AQ148" s="27"/>
    </row>
    <row r="149" spans="1:43" ht="409.5" x14ac:dyDescent="0.25">
      <c r="A149" s="34">
        <v>0</v>
      </c>
      <c r="B149" s="34">
        <v>0</v>
      </c>
      <c r="C149" s="34">
        <v>0</v>
      </c>
      <c r="D149" s="34">
        <v>0</v>
      </c>
      <c r="E149" s="34">
        <v>0</v>
      </c>
      <c r="F149" s="74">
        <v>0</v>
      </c>
      <c r="G149" s="34">
        <v>0</v>
      </c>
      <c r="H149" s="36">
        <v>0</v>
      </c>
      <c r="I149" s="39"/>
      <c r="J149" s="39"/>
      <c r="K149" s="39"/>
      <c r="L149" s="39"/>
      <c r="M149" s="39"/>
      <c r="N149" s="36">
        <f t="shared" si="3"/>
        <v>0</v>
      </c>
      <c r="O149" s="36">
        <f t="shared" si="3"/>
        <v>0</v>
      </c>
      <c r="P149" s="36">
        <f t="shared" si="3"/>
        <v>0</v>
      </c>
      <c r="Q149" s="36"/>
      <c r="R149" s="36"/>
      <c r="S149" s="36">
        <f t="shared" si="4"/>
        <v>0</v>
      </c>
      <c r="T149" s="37" t="s">
        <v>705</v>
      </c>
      <c r="U149" s="37" t="s">
        <v>556</v>
      </c>
      <c r="V149" s="37">
        <v>125</v>
      </c>
      <c r="W149" s="10"/>
      <c r="X149" s="10"/>
      <c r="Y149" s="10"/>
      <c r="Z149" s="10">
        <v>109</v>
      </c>
      <c r="AA149" s="34">
        <v>335</v>
      </c>
      <c r="AB149" s="10">
        <v>164</v>
      </c>
      <c r="AC149" s="10">
        <v>330</v>
      </c>
      <c r="AD149" s="173" t="s">
        <v>704</v>
      </c>
      <c r="AE149" s="10">
        <v>0</v>
      </c>
      <c r="AF149" s="10"/>
      <c r="AG149" s="10"/>
      <c r="AH149" s="10"/>
      <c r="AI149" s="10"/>
      <c r="AJ149" s="10"/>
      <c r="AK149" s="10"/>
      <c r="AL149" s="10"/>
      <c r="AM149" s="10"/>
      <c r="AN149" s="10"/>
      <c r="AO149" s="10"/>
      <c r="AP149" s="10"/>
      <c r="AQ149" s="27"/>
    </row>
    <row r="150" spans="1:43" ht="409.5" x14ac:dyDescent="0.25">
      <c r="A150" s="34">
        <v>0</v>
      </c>
      <c r="B150" s="34">
        <v>0</v>
      </c>
      <c r="C150" s="34">
        <v>0</v>
      </c>
      <c r="D150" s="34">
        <v>0</v>
      </c>
      <c r="E150" s="34">
        <v>0</v>
      </c>
      <c r="F150" s="74">
        <v>0</v>
      </c>
      <c r="G150" s="34">
        <v>0</v>
      </c>
      <c r="H150" s="36">
        <v>0</v>
      </c>
      <c r="I150" s="39"/>
      <c r="J150" s="39"/>
      <c r="K150" s="39"/>
      <c r="L150" s="39"/>
      <c r="M150" s="39"/>
      <c r="N150" s="36">
        <f t="shared" si="3"/>
        <v>0</v>
      </c>
      <c r="O150" s="36">
        <f t="shared" si="3"/>
        <v>0</v>
      </c>
      <c r="P150" s="36">
        <f t="shared" si="3"/>
        <v>0</v>
      </c>
      <c r="Q150" s="36"/>
      <c r="R150" s="36"/>
      <c r="S150" s="36">
        <f t="shared" si="4"/>
        <v>0</v>
      </c>
      <c r="T150" s="37" t="s">
        <v>706</v>
      </c>
      <c r="U150" s="37" t="s">
        <v>556</v>
      </c>
      <c r="V150" s="37">
        <v>125</v>
      </c>
      <c r="W150" s="10"/>
      <c r="X150" s="10"/>
      <c r="Y150" s="10"/>
      <c r="Z150" s="10">
        <v>109</v>
      </c>
      <c r="AA150" s="34">
        <v>335</v>
      </c>
      <c r="AB150" s="10" t="s">
        <v>707</v>
      </c>
      <c r="AC150" s="10">
        <v>331</v>
      </c>
      <c r="AD150" s="173" t="s">
        <v>704</v>
      </c>
      <c r="AE150" s="10">
        <v>0</v>
      </c>
      <c r="AF150" s="10"/>
      <c r="AG150" s="10"/>
      <c r="AH150" s="10"/>
      <c r="AI150" s="10"/>
      <c r="AJ150" s="10"/>
      <c r="AK150" s="10"/>
      <c r="AL150" s="10"/>
      <c r="AM150" s="10"/>
      <c r="AN150" s="10"/>
      <c r="AO150" s="10"/>
      <c r="AP150" s="10"/>
      <c r="AQ150" s="27"/>
    </row>
    <row r="151" spans="1:43" ht="409.5" x14ac:dyDescent="0.25">
      <c r="A151" s="34">
        <v>0</v>
      </c>
      <c r="B151" s="34">
        <v>0</v>
      </c>
      <c r="C151" s="34">
        <v>0</v>
      </c>
      <c r="D151" s="34">
        <v>0</v>
      </c>
      <c r="E151" s="34">
        <v>0</v>
      </c>
      <c r="F151" s="74">
        <v>0</v>
      </c>
      <c r="G151" s="34">
        <v>0</v>
      </c>
      <c r="H151" s="36">
        <v>0</v>
      </c>
      <c r="I151" s="39"/>
      <c r="J151" s="39"/>
      <c r="K151" s="39"/>
      <c r="L151" s="39"/>
      <c r="M151" s="39"/>
      <c r="N151" s="36">
        <f t="shared" si="3"/>
        <v>0</v>
      </c>
      <c r="O151" s="36">
        <f t="shared" si="3"/>
        <v>0</v>
      </c>
      <c r="P151" s="36">
        <f t="shared" si="3"/>
        <v>0</v>
      </c>
      <c r="Q151" s="36"/>
      <c r="R151" s="36"/>
      <c r="S151" s="36">
        <f t="shared" si="4"/>
        <v>0</v>
      </c>
      <c r="T151" s="37" t="s">
        <v>708</v>
      </c>
      <c r="U151" s="37" t="s">
        <v>556</v>
      </c>
      <c r="V151" s="37">
        <v>125</v>
      </c>
      <c r="W151" s="10"/>
      <c r="X151" s="10"/>
      <c r="Y151" s="10"/>
      <c r="Z151" s="10">
        <v>95</v>
      </c>
      <c r="AA151" s="34">
        <v>335</v>
      </c>
      <c r="AB151" s="10" t="s">
        <v>707</v>
      </c>
      <c r="AC151" s="10">
        <v>331</v>
      </c>
      <c r="AD151" s="173" t="s">
        <v>704</v>
      </c>
      <c r="AE151" s="10">
        <v>0</v>
      </c>
      <c r="AF151" s="10"/>
      <c r="AG151" s="10"/>
      <c r="AH151" s="10"/>
      <c r="AI151" s="10"/>
      <c r="AJ151" s="10"/>
      <c r="AK151" s="10"/>
      <c r="AL151" s="10"/>
      <c r="AM151" s="10"/>
      <c r="AN151" s="10"/>
      <c r="AO151" s="10"/>
      <c r="AP151" s="10"/>
      <c r="AQ151" s="27"/>
    </row>
    <row r="152" spans="1:43" ht="409.5" x14ac:dyDescent="0.25">
      <c r="A152" s="34">
        <v>0</v>
      </c>
      <c r="B152" s="34">
        <v>0</v>
      </c>
      <c r="C152" s="34">
        <v>0</v>
      </c>
      <c r="D152" s="34">
        <v>0</v>
      </c>
      <c r="E152" s="34">
        <v>0</v>
      </c>
      <c r="F152" s="74">
        <v>0</v>
      </c>
      <c r="G152" s="34">
        <v>0</v>
      </c>
      <c r="H152" s="36">
        <v>0</v>
      </c>
      <c r="I152" s="39"/>
      <c r="J152" s="39"/>
      <c r="K152" s="39"/>
      <c r="L152" s="39"/>
      <c r="M152" s="39"/>
      <c r="N152" s="36">
        <f t="shared" si="3"/>
        <v>0</v>
      </c>
      <c r="O152" s="36">
        <f t="shared" si="3"/>
        <v>0</v>
      </c>
      <c r="P152" s="36">
        <f t="shared" si="3"/>
        <v>0</v>
      </c>
      <c r="Q152" s="36"/>
      <c r="R152" s="36"/>
      <c r="S152" s="36">
        <f t="shared" si="4"/>
        <v>0</v>
      </c>
      <c r="T152" s="37" t="s">
        <v>709</v>
      </c>
      <c r="U152" s="37" t="s">
        <v>556</v>
      </c>
      <c r="V152" s="37">
        <v>125</v>
      </c>
      <c r="W152" s="10"/>
      <c r="X152" s="10"/>
      <c r="Y152" s="10"/>
      <c r="Z152" s="10">
        <v>95</v>
      </c>
      <c r="AA152" s="34">
        <v>335</v>
      </c>
      <c r="AB152" s="10" t="s">
        <v>707</v>
      </c>
      <c r="AC152" s="10">
        <v>331</v>
      </c>
      <c r="AD152" s="173" t="s">
        <v>704</v>
      </c>
      <c r="AE152" s="10">
        <v>0</v>
      </c>
      <c r="AF152" s="10"/>
      <c r="AG152" s="10"/>
      <c r="AH152" s="10"/>
      <c r="AI152" s="10"/>
      <c r="AJ152" s="10"/>
      <c r="AK152" s="10"/>
      <c r="AL152" s="10"/>
      <c r="AM152" s="10"/>
      <c r="AN152" s="10"/>
      <c r="AO152" s="10"/>
      <c r="AP152" s="10"/>
      <c r="AQ152" s="27"/>
    </row>
    <row r="153" spans="1:43" ht="409.5" x14ac:dyDescent="0.25">
      <c r="A153" s="34">
        <v>0</v>
      </c>
      <c r="B153" s="34">
        <v>0</v>
      </c>
      <c r="C153" s="34">
        <v>0</v>
      </c>
      <c r="D153" s="34">
        <v>0</v>
      </c>
      <c r="E153" s="34">
        <v>0</v>
      </c>
      <c r="F153" s="74">
        <v>0</v>
      </c>
      <c r="G153" s="34">
        <v>0</v>
      </c>
      <c r="H153" s="36">
        <v>0</v>
      </c>
      <c r="I153" s="39"/>
      <c r="J153" s="39"/>
      <c r="K153" s="39"/>
      <c r="L153" s="39"/>
      <c r="M153" s="39"/>
      <c r="N153" s="36">
        <f t="shared" si="3"/>
        <v>0</v>
      </c>
      <c r="O153" s="36">
        <f t="shared" si="3"/>
        <v>0</v>
      </c>
      <c r="P153" s="36">
        <f t="shared" si="3"/>
        <v>0</v>
      </c>
      <c r="Q153" s="36"/>
      <c r="R153" s="36"/>
      <c r="S153" s="36">
        <f t="shared" si="4"/>
        <v>0</v>
      </c>
      <c r="T153" s="37" t="s">
        <v>710</v>
      </c>
      <c r="U153" s="37" t="s">
        <v>556</v>
      </c>
      <c r="V153" s="37">
        <v>125</v>
      </c>
      <c r="W153" s="10"/>
      <c r="X153" s="10"/>
      <c r="Y153" s="10"/>
      <c r="Z153" s="10">
        <v>95</v>
      </c>
      <c r="AA153" s="34">
        <v>335</v>
      </c>
      <c r="AB153" s="27"/>
      <c r="AC153" s="10"/>
      <c r="AD153" s="173" t="s">
        <v>704</v>
      </c>
      <c r="AE153" s="10">
        <v>0</v>
      </c>
      <c r="AF153" s="10"/>
      <c r="AG153" s="10"/>
      <c r="AH153" s="10"/>
      <c r="AI153" s="10"/>
      <c r="AJ153" s="10"/>
      <c r="AK153" s="10"/>
      <c r="AL153" s="10"/>
      <c r="AM153" s="10"/>
      <c r="AN153" s="10"/>
      <c r="AO153" s="10"/>
      <c r="AP153" s="10"/>
      <c r="AQ153" s="27"/>
    </row>
    <row r="154" spans="1:43" ht="409.5" x14ac:dyDescent="0.25">
      <c r="A154" s="34">
        <v>0</v>
      </c>
      <c r="B154" s="34">
        <v>0</v>
      </c>
      <c r="C154" s="34">
        <v>0</v>
      </c>
      <c r="D154" s="34">
        <v>0</v>
      </c>
      <c r="E154" s="34">
        <v>0</v>
      </c>
      <c r="F154" s="74">
        <v>0</v>
      </c>
      <c r="G154" s="34">
        <v>0</v>
      </c>
      <c r="H154" s="36">
        <v>0</v>
      </c>
      <c r="I154" s="39"/>
      <c r="J154" s="39"/>
      <c r="K154" s="39"/>
      <c r="L154" s="39"/>
      <c r="M154" s="39"/>
      <c r="N154" s="36">
        <f t="shared" si="3"/>
        <v>0</v>
      </c>
      <c r="O154" s="36">
        <f t="shared" si="3"/>
        <v>0</v>
      </c>
      <c r="P154" s="36">
        <f t="shared" si="3"/>
        <v>0</v>
      </c>
      <c r="Q154" s="36"/>
      <c r="R154" s="36"/>
      <c r="S154" s="36">
        <f t="shared" si="4"/>
        <v>0</v>
      </c>
      <c r="T154" s="37" t="s">
        <v>711</v>
      </c>
      <c r="U154" s="37" t="s">
        <v>556</v>
      </c>
      <c r="V154" s="37">
        <v>125</v>
      </c>
      <c r="W154" s="10"/>
      <c r="X154" s="10"/>
      <c r="Y154" s="10"/>
      <c r="Z154" s="10">
        <v>95</v>
      </c>
      <c r="AA154" s="34">
        <v>335</v>
      </c>
      <c r="AB154" s="10"/>
      <c r="AC154" s="10"/>
      <c r="AD154" s="173" t="s">
        <v>704</v>
      </c>
      <c r="AE154" s="10">
        <v>0</v>
      </c>
      <c r="AF154" s="10"/>
      <c r="AG154" s="10"/>
      <c r="AH154" s="10"/>
      <c r="AI154" s="10"/>
      <c r="AJ154" s="10"/>
      <c r="AK154" s="10"/>
      <c r="AL154" s="10"/>
      <c r="AM154" s="10"/>
      <c r="AN154" s="10"/>
      <c r="AO154" s="10"/>
      <c r="AP154" s="10"/>
      <c r="AQ154" s="27"/>
    </row>
    <row r="155" spans="1:43" ht="409.5" x14ac:dyDescent="0.25">
      <c r="A155" s="34">
        <v>0</v>
      </c>
      <c r="B155" s="34">
        <v>0</v>
      </c>
      <c r="C155" s="34">
        <v>0</v>
      </c>
      <c r="D155" s="34">
        <v>0</v>
      </c>
      <c r="E155" s="34">
        <v>0</v>
      </c>
      <c r="F155" s="74">
        <v>0</v>
      </c>
      <c r="G155" s="34">
        <v>0</v>
      </c>
      <c r="H155" s="36">
        <v>0</v>
      </c>
      <c r="I155" s="39"/>
      <c r="J155" s="39"/>
      <c r="K155" s="39"/>
      <c r="L155" s="39"/>
      <c r="M155" s="39"/>
      <c r="N155" s="36">
        <f t="shared" si="3"/>
        <v>0</v>
      </c>
      <c r="O155" s="36">
        <f t="shared" si="3"/>
        <v>0</v>
      </c>
      <c r="P155" s="36">
        <f t="shared" si="3"/>
        <v>0</v>
      </c>
      <c r="Q155" s="36"/>
      <c r="R155" s="36"/>
      <c r="S155" s="36">
        <f t="shared" si="4"/>
        <v>0</v>
      </c>
      <c r="T155" s="37" t="s">
        <v>712</v>
      </c>
      <c r="U155" s="37" t="s">
        <v>556</v>
      </c>
      <c r="V155" s="37">
        <v>125</v>
      </c>
      <c r="W155" s="10"/>
      <c r="X155" s="10"/>
      <c r="Y155" s="10"/>
      <c r="Z155" s="10">
        <v>95</v>
      </c>
      <c r="AA155" s="34">
        <v>335</v>
      </c>
      <c r="AB155" s="10"/>
      <c r="AC155" s="10"/>
      <c r="AD155" s="173" t="s">
        <v>704</v>
      </c>
      <c r="AE155" s="10">
        <v>0</v>
      </c>
      <c r="AF155" s="10"/>
      <c r="AG155" s="10"/>
      <c r="AH155" s="10"/>
      <c r="AI155" s="10"/>
      <c r="AJ155" s="10"/>
      <c r="AK155" s="10"/>
      <c r="AL155" s="10"/>
      <c r="AM155" s="10"/>
      <c r="AN155" s="10"/>
      <c r="AO155" s="10"/>
      <c r="AP155" s="10"/>
      <c r="AQ155" s="27"/>
    </row>
    <row r="156" spans="1:43" ht="409.5" x14ac:dyDescent="0.25">
      <c r="A156" s="34">
        <v>0</v>
      </c>
      <c r="B156" s="34">
        <v>0</v>
      </c>
      <c r="C156" s="34">
        <v>0</v>
      </c>
      <c r="D156" s="34">
        <v>0</v>
      </c>
      <c r="E156" s="34">
        <v>0</v>
      </c>
      <c r="F156" s="74">
        <v>0</v>
      </c>
      <c r="G156" s="34">
        <v>0</v>
      </c>
      <c r="H156" s="36">
        <v>0</v>
      </c>
      <c r="I156" s="39"/>
      <c r="J156" s="39"/>
      <c r="K156" s="39"/>
      <c r="L156" s="39"/>
      <c r="M156" s="39"/>
      <c r="N156" s="36">
        <f t="shared" si="3"/>
        <v>0</v>
      </c>
      <c r="O156" s="36">
        <f t="shared" si="3"/>
        <v>0</v>
      </c>
      <c r="P156" s="36">
        <f t="shared" si="3"/>
        <v>0</v>
      </c>
      <c r="Q156" s="36"/>
      <c r="R156" s="36"/>
      <c r="S156" s="36">
        <f t="shared" si="4"/>
        <v>0</v>
      </c>
      <c r="T156" s="37" t="s">
        <v>713</v>
      </c>
      <c r="U156" s="37" t="s">
        <v>556</v>
      </c>
      <c r="V156" s="37">
        <v>125</v>
      </c>
      <c r="W156" s="10"/>
      <c r="X156" s="10"/>
      <c r="Y156" s="10"/>
      <c r="Z156" s="10">
        <v>95</v>
      </c>
      <c r="AA156" s="34">
        <v>335</v>
      </c>
      <c r="AB156" s="10"/>
      <c r="AC156" s="10">
        <v>330</v>
      </c>
      <c r="AD156" s="173" t="s">
        <v>704</v>
      </c>
      <c r="AE156" s="10">
        <v>0</v>
      </c>
      <c r="AF156" s="10"/>
      <c r="AG156" s="10"/>
      <c r="AH156" s="10"/>
      <c r="AI156" s="10"/>
      <c r="AJ156" s="10"/>
      <c r="AK156" s="10"/>
      <c r="AL156" s="10"/>
      <c r="AM156" s="10"/>
      <c r="AN156" s="10"/>
      <c r="AO156" s="10"/>
      <c r="AP156" s="10"/>
      <c r="AQ156" s="27"/>
    </row>
    <row r="157" spans="1:43" ht="409.5" x14ac:dyDescent="0.25">
      <c r="A157" s="34">
        <v>0</v>
      </c>
      <c r="B157" s="34">
        <v>0</v>
      </c>
      <c r="C157" s="34">
        <v>0</v>
      </c>
      <c r="D157" s="34">
        <v>0</v>
      </c>
      <c r="E157" s="34">
        <v>0</v>
      </c>
      <c r="F157" s="74">
        <v>0</v>
      </c>
      <c r="G157" s="34">
        <v>0</v>
      </c>
      <c r="H157" s="36">
        <v>0</v>
      </c>
      <c r="I157" s="39"/>
      <c r="J157" s="39"/>
      <c r="K157" s="39"/>
      <c r="L157" s="39"/>
      <c r="M157" s="39"/>
      <c r="N157" s="36">
        <f t="shared" si="3"/>
        <v>0</v>
      </c>
      <c r="O157" s="36">
        <f t="shared" si="3"/>
        <v>0</v>
      </c>
      <c r="P157" s="36">
        <f t="shared" si="3"/>
        <v>0</v>
      </c>
      <c r="Q157" s="36"/>
      <c r="R157" s="36"/>
      <c r="S157" s="36">
        <f t="shared" si="4"/>
        <v>0</v>
      </c>
      <c r="T157" s="37" t="s">
        <v>714</v>
      </c>
      <c r="U157" s="37" t="s">
        <v>556</v>
      </c>
      <c r="V157" s="37">
        <v>125</v>
      </c>
      <c r="W157" s="10"/>
      <c r="X157" s="10"/>
      <c r="Y157" s="10"/>
      <c r="Z157" s="10">
        <v>95</v>
      </c>
      <c r="AA157" s="34">
        <v>335</v>
      </c>
      <c r="AB157" s="10"/>
      <c r="AC157" s="10">
        <v>330</v>
      </c>
      <c r="AD157" s="173" t="s">
        <v>704</v>
      </c>
      <c r="AE157" s="10">
        <v>0</v>
      </c>
      <c r="AF157" s="10"/>
      <c r="AG157" s="10"/>
      <c r="AH157" s="10"/>
      <c r="AI157" s="10"/>
      <c r="AJ157" s="10"/>
      <c r="AK157" s="10"/>
      <c r="AL157" s="10"/>
      <c r="AM157" s="10"/>
      <c r="AN157" s="10"/>
      <c r="AO157" s="10"/>
      <c r="AP157" s="10"/>
      <c r="AQ157" s="27"/>
    </row>
    <row r="158" spans="1:43" ht="409.5" x14ac:dyDescent="0.25">
      <c r="A158" s="34">
        <v>0</v>
      </c>
      <c r="B158" s="34">
        <v>0</v>
      </c>
      <c r="C158" s="34">
        <v>0</v>
      </c>
      <c r="D158" s="34">
        <v>0</v>
      </c>
      <c r="E158" s="34">
        <v>0</v>
      </c>
      <c r="F158" s="74">
        <v>0</v>
      </c>
      <c r="G158" s="34">
        <v>0</v>
      </c>
      <c r="H158" s="36">
        <v>0</v>
      </c>
      <c r="I158" s="39"/>
      <c r="J158" s="39"/>
      <c r="K158" s="39"/>
      <c r="L158" s="39"/>
      <c r="M158" s="39"/>
      <c r="N158" s="36">
        <f t="shared" si="3"/>
        <v>0</v>
      </c>
      <c r="O158" s="36">
        <f t="shared" si="3"/>
        <v>0</v>
      </c>
      <c r="P158" s="36">
        <f t="shared" si="3"/>
        <v>0</v>
      </c>
      <c r="Q158" s="36"/>
      <c r="R158" s="36"/>
      <c r="S158" s="36">
        <f t="shared" si="4"/>
        <v>0</v>
      </c>
      <c r="T158" s="37" t="s">
        <v>715</v>
      </c>
      <c r="U158" s="37" t="s">
        <v>556</v>
      </c>
      <c r="V158" s="37">
        <v>125</v>
      </c>
      <c r="W158" s="10"/>
      <c r="X158" s="10"/>
      <c r="Y158" s="10"/>
      <c r="Z158" s="10">
        <v>17</v>
      </c>
      <c r="AA158" s="34">
        <v>335</v>
      </c>
      <c r="AB158" s="10"/>
      <c r="AC158" s="10">
        <v>330</v>
      </c>
      <c r="AD158" s="173" t="s">
        <v>704</v>
      </c>
      <c r="AE158" s="10">
        <v>0</v>
      </c>
      <c r="AF158" s="10"/>
      <c r="AG158" s="10"/>
      <c r="AH158" s="10"/>
      <c r="AI158" s="10"/>
      <c r="AJ158" s="10"/>
      <c r="AK158" s="10"/>
      <c r="AL158" s="10"/>
      <c r="AM158" s="10"/>
      <c r="AN158" s="10"/>
      <c r="AO158" s="10"/>
      <c r="AP158" s="10"/>
      <c r="AQ158" s="27"/>
    </row>
    <row r="159" spans="1:43" ht="114.75" x14ac:dyDescent="0.25">
      <c r="A159" s="34">
        <v>0</v>
      </c>
      <c r="B159" s="34">
        <v>0</v>
      </c>
      <c r="C159" s="34">
        <v>0</v>
      </c>
      <c r="D159" s="34">
        <v>0</v>
      </c>
      <c r="E159" s="34">
        <v>0</v>
      </c>
      <c r="F159" s="74">
        <v>0</v>
      </c>
      <c r="G159" s="34">
        <v>0</v>
      </c>
      <c r="H159" s="36">
        <v>0</v>
      </c>
      <c r="I159" s="39"/>
      <c r="J159" s="39"/>
      <c r="K159" s="39"/>
      <c r="L159" s="39"/>
      <c r="M159" s="39"/>
      <c r="N159" s="36">
        <f t="shared" si="3"/>
        <v>0</v>
      </c>
      <c r="O159" s="36">
        <f t="shared" si="3"/>
        <v>0</v>
      </c>
      <c r="P159" s="36">
        <f t="shared" si="3"/>
        <v>0</v>
      </c>
      <c r="Q159" s="36"/>
      <c r="R159" s="36"/>
      <c r="S159" s="36">
        <f t="shared" si="4"/>
        <v>0</v>
      </c>
      <c r="T159" s="37" t="s">
        <v>716</v>
      </c>
      <c r="U159" s="37" t="s">
        <v>556</v>
      </c>
      <c r="V159" s="37">
        <v>125</v>
      </c>
      <c r="W159" s="10"/>
      <c r="X159" s="10"/>
      <c r="Y159" s="10"/>
      <c r="Z159" s="10">
        <v>95</v>
      </c>
      <c r="AA159" s="34">
        <v>335</v>
      </c>
      <c r="AB159" s="10" t="s">
        <v>707</v>
      </c>
      <c r="AC159" s="10">
        <v>331</v>
      </c>
      <c r="AD159" s="173" t="s">
        <v>717</v>
      </c>
      <c r="AE159" s="10">
        <v>0</v>
      </c>
      <c r="AF159" s="10"/>
      <c r="AG159" s="10"/>
      <c r="AH159" s="10"/>
      <c r="AI159" s="10"/>
      <c r="AJ159" s="10"/>
      <c r="AK159" s="10"/>
      <c r="AL159" s="10"/>
      <c r="AM159" s="10"/>
      <c r="AN159" s="10"/>
      <c r="AO159" s="10"/>
      <c r="AP159" s="10"/>
      <c r="AQ159" s="27"/>
    </row>
    <row r="160" spans="1:43" ht="75" x14ac:dyDescent="0.25">
      <c r="A160" s="34"/>
      <c r="B160" s="34"/>
      <c r="C160" s="34"/>
      <c r="D160" s="34"/>
      <c r="E160" s="34"/>
      <c r="F160" s="74"/>
      <c r="G160" s="34"/>
      <c r="H160" s="36"/>
      <c r="I160" s="39"/>
      <c r="J160" s="39"/>
      <c r="K160" s="39"/>
      <c r="L160" s="39"/>
      <c r="M160" s="39"/>
      <c r="N160" s="36"/>
      <c r="O160" s="36"/>
      <c r="P160" s="36"/>
      <c r="Q160" s="36"/>
      <c r="R160" s="36"/>
      <c r="S160" s="36"/>
      <c r="T160" s="37" t="s">
        <v>718</v>
      </c>
      <c r="U160" s="37" t="s">
        <v>316</v>
      </c>
      <c r="V160" s="174">
        <v>125</v>
      </c>
      <c r="W160" s="10"/>
      <c r="X160" s="10"/>
      <c r="Y160" s="10">
        <v>43</v>
      </c>
      <c r="Z160" s="10">
        <v>95</v>
      </c>
      <c r="AA160" s="34">
        <v>335</v>
      </c>
      <c r="AB160" s="10">
        <v>167</v>
      </c>
      <c r="AC160" s="10">
        <v>330</v>
      </c>
      <c r="AD160" s="10" t="s">
        <v>702</v>
      </c>
      <c r="AE160" s="10"/>
      <c r="AF160" s="10" t="s">
        <v>218</v>
      </c>
      <c r="AG160" s="10" t="s">
        <v>218</v>
      </c>
      <c r="AH160" s="10" t="s">
        <v>218</v>
      </c>
      <c r="AI160" s="10" t="s">
        <v>218</v>
      </c>
      <c r="AJ160" s="10" t="s">
        <v>218</v>
      </c>
      <c r="AK160" s="10" t="s">
        <v>218</v>
      </c>
      <c r="AL160" s="10" t="s">
        <v>218</v>
      </c>
      <c r="AM160" s="10" t="s">
        <v>218</v>
      </c>
      <c r="AN160" s="10" t="s">
        <v>218</v>
      </c>
      <c r="AO160" s="10" t="s">
        <v>218</v>
      </c>
      <c r="AP160" s="10" t="s">
        <v>218</v>
      </c>
      <c r="AQ160" s="27"/>
    </row>
    <row r="161" spans="1:43" ht="75" x14ac:dyDescent="0.25">
      <c r="A161" s="34"/>
      <c r="B161" s="34"/>
      <c r="C161" s="34"/>
      <c r="D161" s="34"/>
      <c r="E161" s="34"/>
      <c r="F161" s="74"/>
      <c r="G161" s="34"/>
      <c r="H161" s="36"/>
      <c r="I161" s="39"/>
      <c r="J161" s="39"/>
      <c r="K161" s="39"/>
      <c r="L161" s="39"/>
      <c r="M161" s="39"/>
      <c r="N161" s="36"/>
      <c r="O161" s="36"/>
      <c r="P161" s="36"/>
      <c r="Q161" s="36"/>
      <c r="R161" s="36"/>
      <c r="S161" s="36"/>
      <c r="T161" s="37" t="s">
        <v>719</v>
      </c>
      <c r="U161" s="37" t="s">
        <v>316</v>
      </c>
      <c r="V161" s="174">
        <v>125</v>
      </c>
      <c r="W161" s="10"/>
      <c r="X161" s="10"/>
      <c r="Y161" s="10">
        <v>55</v>
      </c>
      <c r="Z161" s="10">
        <v>110</v>
      </c>
      <c r="AA161" s="34">
        <v>335</v>
      </c>
      <c r="AB161" s="10">
        <v>167</v>
      </c>
      <c r="AC161" s="10">
        <v>330</v>
      </c>
      <c r="AD161" s="10" t="s">
        <v>702</v>
      </c>
      <c r="AE161" s="10"/>
      <c r="AF161" s="10" t="s">
        <v>218</v>
      </c>
      <c r="AG161" s="10" t="s">
        <v>218</v>
      </c>
      <c r="AH161" s="10" t="s">
        <v>218</v>
      </c>
      <c r="AI161" s="10" t="s">
        <v>218</v>
      </c>
      <c r="AJ161" s="10" t="s">
        <v>218</v>
      </c>
      <c r="AK161" s="10" t="s">
        <v>218</v>
      </c>
      <c r="AL161" s="10" t="s">
        <v>218</v>
      </c>
      <c r="AM161" s="10" t="s">
        <v>218</v>
      </c>
      <c r="AN161" s="10" t="s">
        <v>218</v>
      </c>
      <c r="AO161" s="10" t="s">
        <v>218</v>
      </c>
      <c r="AP161" s="10" t="s">
        <v>218</v>
      </c>
      <c r="AQ161" s="27"/>
    </row>
    <row r="162" spans="1:43" ht="108" x14ac:dyDescent="0.25">
      <c r="A162" s="34"/>
      <c r="B162" s="34"/>
      <c r="C162" s="34"/>
      <c r="D162" s="34"/>
      <c r="E162" s="34"/>
      <c r="F162" s="74"/>
      <c r="G162" s="34"/>
      <c r="H162" s="36"/>
      <c r="I162" s="39"/>
      <c r="J162" s="39"/>
      <c r="K162" s="39"/>
      <c r="L162" s="39"/>
      <c r="M162" s="39"/>
      <c r="N162" s="36"/>
      <c r="O162" s="36"/>
      <c r="P162" s="36"/>
      <c r="Q162" s="36"/>
      <c r="R162" s="36"/>
      <c r="S162" s="36"/>
      <c r="T162" s="37" t="s">
        <v>720</v>
      </c>
      <c r="U162" s="37" t="s">
        <v>316</v>
      </c>
      <c r="V162" s="174">
        <v>125</v>
      </c>
      <c r="W162" s="10"/>
      <c r="X162" s="10"/>
      <c r="Y162" s="10">
        <v>29</v>
      </c>
      <c r="Z162" s="10">
        <v>95</v>
      </c>
      <c r="AA162" s="34">
        <v>335</v>
      </c>
      <c r="AB162" s="10">
        <v>167</v>
      </c>
      <c r="AC162" s="10">
        <v>330</v>
      </c>
      <c r="AD162" s="10"/>
      <c r="AE162" s="10"/>
      <c r="AF162" s="10" t="s">
        <v>218</v>
      </c>
      <c r="AG162" s="10" t="s">
        <v>218</v>
      </c>
      <c r="AH162" s="10" t="s">
        <v>218</v>
      </c>
      <c r="AI162" s="10" t="s">
        <v>218</v>
      </c>
      <c r="AJ162" s="10" t="s">
        <v>218</v>
      </c>
      <c r="AK162" s="10" t="s">
        <v>218</v>
      </c>
      <c r="AL162" s="10" t="s">
        <v>218</v>
      </c>
      <c r="AM162" s="10" t="s">
        <v>218</v>
      </c>
      <c r="AN162" s="10" t="s">
        <v>218</v>
      </c>
      <c r="AO162" s="10" t="s">
        <v>218</v>
      </c>
      <c r="AP162" s="10" t="s">
        <v>218</v>
      </c>
      <c r="AQ162" s="27"/>
    </row>
    <row r="163" spans="1:43" ht="84" x14ac:dyDescent="0.25">
      <c r="A163" s="34"/>
      <c r="B163" s="34"/>
      <c r="C163" s="34"/>
      <c r="D163" s="34"/>
      <c r="E163" s="34"/>
      <c r="F163" s="74"/>
      <c r="G163" s="34"/>
      <c r="H163" s="36"/>
      <c r="I163" s="39"/>
      <c r="J163" s="39"/>
      <c r="K163" s="39"/>
      <c r="L163" s="39"/>
      <c r="M163" s="39"/>
      <c r="N163" s="36"/>
      <c r="O163" s="36"/>
      <c r="P163" s="36"/>
      <c r="Q163" s="36"/>
      <c r="R163" s="36"/>
      <c r="S163" s="36"/>
      <c r="T163" s="175" t="s">
        <v>721</v>
      </c>
      <c r="U163" s="37" t="s">
        <v>316</v>
      </c>
      <c r="V163" s="174">
        <v>125</v>
      </c>
      <c r="W163" s="10"/>
      <c r="X163" s="10"/>
      <c r="Y163" s="10">
        <v>29</v>
      </c>
      <c r="Z163" s="10"/>
      <c r="AA163" s="34">
        <v>335</v>
      </c>
      <c r="AB163" s="10">
        <v>167</v>
      </c>
      <c r="AC163" s="10">
        <v>330</v>
      </c>
      <c r="AD163" s="10"/>
      <c r="AE163" s="10"/>
      <c r="AF163" s="10" t="s">
        <v>218</v>
      </c>
      <c r="AG163" s="10" t="s">
        <v>218</v>
      </c>
      <c r="AH163" s="10" t="s">
        <v>218</v>
      </c>
      <c r="AI163" s="10" t="s">
        <v>218</v>
      </c>
      <c r="AJ163" s="10" t="s">
        <v>218</v>
      </c>
      <c r="AK163" s="10" t="s">
        <v>218</v>
      </c>
      <c r="AL163" s="10" t="s">
        <v>218</v>
      </c>
      <c r="AM163" s="10" t="s">
        <v>218</v>
      </c>
      <c r="AN163" s="10" t="s">
        <v>218</v>
      </c>
      <c r="AO163" s="10" t="s">
        <v>218</v>
      </c>
      <c r="AP163" s="10" t="s">
        <v>218</v>
      </c>
      <c r="AQ163" s="27"/>
    </row>
    <row r="164" spans="1:43" ht="94.5" x14ac:dyDescent="0.25">
      <c r="A164" s="34" t="s">
        <v>55</v>
      </c>
      <c r="B164" s="34" t="s">
        <v>354</v>
      </c>
      <c r="C164" s="34" t="s">
        <v>355</v>
      </c>
      <c r="D164" s="34">
        <v>241120600</v>
      </c>
      <c r="E164" s="34">
        <v>12264001</v>
      </c>
      <c r="F164" s="74" t="s">
        <v>454</v>
      </c>
      <c r="G164" s="34" t="s">
        <v>456</v>
      </c>
      <c r="H164" s="36">
        <v>608000000</v>
      </c>
      <c r="I164" s="39">
        <v>751037900</v>
      </c>
      <c r="J164" s="39">
        <v>751037900</v>
      </c>
      <c r="K164" s="39"/>
      <c r="L164" s="39"/>
      <c r="M164" s="39"/>
      <c r="N164" s="36"/>
      <c r="O164" s="36"/>
      <c r="P164" s="36"/>
      <c r="Q164" s="162">
        <v>751037900</v>
      </c>
      <c r="R164" s="36"/>
      <c r="S164" s="36"/>
      <c r="T164" s="175" t="s">
        <v>722</v>
      </c>
      <c r="U164" s="37" t="s">
        <v>316</v>
      </c>
      <c r="V164" s="174">
        <v>125</v>
      </c>
      <c r="W164" s="10"/>
      <c r="X164" s="10"/>
      <c r="Y164" s="10">
        <v>60</v>
      </c>
      <c r="Z164" s="10">
        <v>63</v>
      </c>
      <c r="AA164" s="34">
        <v>335</v>
      </c>
      <c r="AB164" s="10">
        <v>167</v>
      </c>
      <c r="AC164" s="10">
        <v>330</v>
      </c>
      <c r="AD164" s="10"/>
      <c r="AE164" s="10"/>
      <c r="AF164" s="10" t="s">
        <v>218</v>
      </c>
      <c r="AG164" s="10" t="s">
        <v>218</v>
      </c>
      <c r="AH164" s="10" t="s">
        <v>218</v>
      </c>
      <c r="AI164" s="10" t="s">
        <v>218</v>
      </c>
      <c r="AJ164" s="10" t="s">
        <v>218</v>
      </c>
      <c r="AK164" s="10" t="s">
        <v>218</v>
      </c>
      <c r="AL164" s="10" t="s">
        <v>218</v>
      </c>
      <c r="AM164" s="10" t="s">
        <v>218</v>
      </c>
      <c r="AN164" s="10" t="s">
        <v>218</v>
      </c>
      <c r="AO164" s="10" t="s">
        <v>218</v>
      </c>
      <c r="AP164" s="10" t="s">
        <v>218</v>
      </c>
      <c r="AQ164" s="27"/>
    </row>
    <row r="165" spans="1:43" ht="315" x14ac:dyDescent="0.25">
      <c r="A165" s="34" t="s">
        <v>55</v>
      </c>
      <c r="B165" s="34" t="s">
        <v>354</v>
      </c>
      <c r="C165" s="34" t="s">
        <v>355</v>
      </c>
      <c r="D165" s="34">
        <v>241120600</v>
      </c>
      <c r="E165" s="34">
        <v>12264003</v>
      </c>
      <c r="F165" s="74" t="s">
        <v>454</v>
      </c>
      <c r="G165" s="34" t="s">
        <v>456</v>
      </c>
      <c r="H165" s="36">
        <v>394000000</v>
      </c>
      <c r="I165" s="39">
        <v>470959018</v>
      </c>
      <c r="J165" s="39">
        <v>470959018</v>
      </c>
      <c r="K165" s="39">
        <v>375009200</v>
      </c>
      <c r="L165" s="39"/>
      <c r="M165" s="39"/>
      <c r="N165" s="36"/>
      <c r="O165" s="36"/>
      <c r="P165" s="36"/>
      <c r="Q165" s="144">
        <v>463568854</v>
      </c>
      <c r="R165" s="36"/>
      <c r="S165" s="36"/>
      <c r="T165" s="176" t="s">
        <v>723</v>
      </c>
      <c r="U165" s="37" t="s">
        <v>316</v>
      </c>
      <c r="V165" s="174">
        <v>125</v>
      </c>
      <c r="W165" s="10"/>
      <c r="X165" s="10"/>
      <c r="Y165" s="10">
        <v>60</v>
      </c>
      <c r="Z165" s="10">
        <v>109</v>
      </c>
      <c r="AA165" s="34">
        <v>335</v>
      </c>
      <c r="AB165" s="10">
        <v>167</v>
      </c>
      <c r="AC165" s="10">
        <v>330</v>
      </c>
      <c r="AD165" s="10"/>
      <c r="AE165" s="10"/>
      <c r="AF165" s="10" t="s">
        <v>218</v>
      </c>
      <c r="AG165" s="10" t="s">
        <v>218</v>
      </c>
      <c r="AH165" s="10" t="s">
        <v>218</v>
      </c>
      <c r="AI165" s="10" t="s">
        <v>218</v>
      </c>
      <c r="AJ165" s="10" t="s">
        <v>218</v>
      </c>
      <c r="AK165" s="10" t="s">
        <v>218</v>
      </c>
      <c r="AL165" s="10" t="s">
        <v>218</v>
      </c>
      <c r="AM165" s="10" t="s">
        <v>218</v>
      </c>
      <c r="AN165" s="10" t="s">
        <v>218</v>
      </c>
      <c r="AO165" s="10" t="s">
        <v>218</v>
      </c>
      <c r="AP165" s="10" t="s">
        <v>218</v>
      </c>
      <c r="AQ165" s="27"/>
    </row>
    <row r="166" spans="1:43" ht="108" x14ac:dyDescent="0.25">
      <c r="A166" s="34" t="s">
        <v>55</v>
      </c>
      <c r="B166" s="34" t="s">
        <v>354</v>
      </c>
      <c r="C166" s="34" t="s">
        <v>355</v>
      </c>
      <c r="D166" s="34">
        <v>241120600</v>
      </c>
      <c r="E166" s="34">
        <v>12264004</v>
      </c>
      <c r="F166" s="74" t="s">
        <v>454</v>
      </c>
      <c r="G166" s="34" t="s">
        <v>456</v>
      </c>
      <c r="H166" s="36">
        <v>110000000</v>
      </c>
      <c r="I166" s="39">
        <v>110000000</v>
      </c>
      <c r="J166" s="162">
        <v>110000000</v>
      </c>
      <c r="K166" s="39"/>
      <c r="L166" s="39"/>
      <c r="M166" s="39"/>
      <c r="N166" s="36"/>
      <c r="O166" s="36"/>
      <c r="P166" s="36"/>
      <c r="Q166" s="36">
        <v>0</v>
      </c>
      <c r="R166" s="36"/>
      <c r="S166" s="36"/>
      <c r="T166" s="37" t="s">
        <v>724</v>
      </c>
      <c r="U166" s="37" t="s">
        <v>316</v>
      </c>
      <c r="V166" s="174">
        <v>125</v>
      </c>
      <c r="W166" s="10"/>
      <c r="X166" s="10"/>
      <c r="Y166" s="10">
        <v>60</v>
      </c>
      <c r="Z166" s="10"/>
      <c r="AA166" s="34">
        <v>335</v>
      </c>
      <c r="AB166" s="10">
        <v>167</v>
      </c>
      <c r="AC166" s="10">
        <v>330</v>
      </c>
      <c r="AD166" s="10" t="s">
        <v>702</v>
      </c>
      <c r="AE166" s="10"/>
      <c r="AF166" s="10" t="s">
        <v>218</v>
      </c>
      <c r="AG166" s="10" t="s">
        <v>218</v>
      </c>
      <c r="AH166" s="10" t="s">
        <v>218</v>
      </c>
      <c r="AI166" s="10" t="s">
        <v>218</v>
      </c>
      <c r="AJ166" s="10" t="s">
        <v>218</v>
      </c>
      <c r="AK166" s="10" t="s">
        <v>218</v>
      </c>
      <c r="AL166" s="10" t="s">
        <v>218</v>
      </c>
      <c r="AM166" s="10" t="s">
        <v>218</v>
      </c>
      <c r="AN166" s="10" t="s">
        <v>218</v>
      </c>
      <c r="AO166" s="10" t="s">
        <v>218</v>
      </c>
      <c r="AP166" s="10" t="s">
        <v>218</v>
      </c>
      <c r="AQ166" s="27"/>
    </row>
    <row r="167" spans="1:43" ht="84" x14ac:dyDescent="0.25">
      <c r="A167" s="34" t="s">
        <v>55</v>
      </c>
      <c r="B167" s="34" t="s">
        <v>354</v>
      </c>
      <c r="C167" s="34" t="s">
        <v>355</v>
      </c>
      <c r="D167" s="34">
        <v>241120600</v>
      </c>
      <c r="E167" s="34">
        <v>12264005</v>
      </c>
      <c r="F167" s="74" t="s">
        <v>454</v>
      </c>
      <c r="G167" s="34" t="s">
        <v>456</v>
      </c>
      <c r="H167" s="36">
        <v>1100000000</v>
      </c>
      <c r="I167" s="39">
        <v>1150000000</v>
      </c>
      <c r="J167" s="162">
        <v>1150000000</v>
      </c>
      <c r="K167" s="39"/>
      <c r="L167" s="39"/>
      <c r="M167" s="39"/>
      <c r="N167" s="36"/>
      <c r="O167" s="36"/>
      <c r="P167" s="36"/>
      <c r="Q167" s="162">
        <v>1100000000</v>
      </c>
      <c r="R167" s="36"/>
      <c r="S167" s="36"/>
      <c r="T167" s="37" t="s">
        <v>708</v>
      </c>
      <c r="U167" s="37" t="s">
        <v>316</v>
      </c>
      <c r="V167" s="174">
        <v>125</v>
      </c>
      <c r="W167" s="10"/>
      <c r="X167" s="10"/>
      <c r="Y167" s="10">
        <v>60</v>
      </c>
      <c r="Z167" s="10">
        <v>109</v>
      </c>
      <c r="AA167" s="34">
        <v>335</v>
      </c>
      <c r="AB167" s="10">
        <v>167</v>
      </c>
      <c r="AC167" s="10">
        <v>330</v>
      </c>
      <c r="AD167" s="10" t="s">
        <v>702</v>
      </c>
      <c r="AE167" s="10"/>
      <c r="AF167" s="10" t="s">
        <v>218</v>
      </c>
      <c r="AG167" s="10" t="s">
        <v>218</v>
      </c>
      <c r="AH167" s="10" t="s">
        <v>218</v>
      </c>
      <c r="AI167" s="10" t="s">
        <v>218</v>
      </c>
      <c r="AJ167" s="10" t="s">
        <v>218</v>
      </c>
      <c r="AK167" s="10" t="s">
        <v>218</v>
      </c>
      <c r="AL167" s="10" t="s">
        <v>218</v>
      </c>
      <c r="AM167" s="10" t="s">
        <v>218</v>
      </c>
      <c r="AN167" s="10" t="s">
        <v>218</v>
      </c>
      <c r="AO167" s="10" t="s">
        <v>218</v>
      </c>
      <c r="AP167" s="10" t="s">
        <v>218</v>
      </c>
      <c r="AQ167" s="27"/>
    </row>
    <row r="168" spans="1:43" ht="108" x14ac:dyDescent="0.25">
      <c r="A168" s="34" t="s">
        <v>55</v>
      </c>
      <c r="B168" s="34" t="s">
        <v>354</v>
      </c>
      <c r="C168" s="34" t="s">
        <v>355</v>
      </c>
      <c r="D168" s="34">
        <v>241120600</v>
      </c>
      <c r="E168" s="34">
        <v>12264006</v>
      </c>
      <c r="F168" s="74" t="s">
        <v>454</v>
      </c>
      <c r="G168" s="34" t="s">
        <v>456</v>
      </c>
      <c r="H168" s="36"/>
      <c r="I168" s="39">
        <v>9905000</v>
      </c>
      <c r="J168" s="39">
        <v>9905000</v>
      </c>
      <c r="K168" s="39"/>
      <c r="L168" s="39"/>
      <c r="M168" s="39"/>
      <c r="N168" s="36"/>
      <c r="O168" s="36"/>
      <c r="P168" s="36"/>
      <c r="Q168" s="144">
        <v>0</v>
      </c>
      <c r="R168" s="36"/>
      <c r="S168" s="36"/>
      <c r="T168" s="37" t="s">
        <v>725</v>
      </c>
      <c r="U168" s="37" t="s">
        <v>316</v>
      </c>
      <c r="V168" s="174">
        <v>125</v>
      </c>
      <c r="W168" s="10"/>
      <c r="X168" s="10"/>
      <c r="Y168" s="10">
        <v>43</v>
      </c>
      <c r="Z168" s="10">
        <v>17</v>
      </c>
      <c r="AA168" s="34">
        <v>335</v>
      </c>
      <c r="AB168" s="10">
        <v>167</v>
      </c>
      <c r="AC168" s="10">
        <v>330</v>
      </c>
      <c r="AD168" s="10"/>
      <c r="AE168" s="10"/>
      <c r="AF168" s="10" t="s">
        <v>218</v>
      </c>
      <c r="AG168" s="10" t="s">
        <v>218</v>
      </c>
      <c r="AH168" s="10" t="s">
        <v>218</v>
      </c>
      <c r="AI168" s="10" t="s">
        <v>218</v>
      </c>
      <c r="AJ168" s="10" t="s">
        <v>218</v>
      </c>
      <c r="AK168" s="10" t="s">
        <v>218</v>
      </c>
      <c r="AL168" s="10" t="s">
        <v>218</v>
      </c>
      <c r="AM168" s="10" t="s">
        <v>218</v>
      </c>
      <c r="AN168" s="10" t="s">
        <v>218</v>
      </c>
      <c r="AO168" s="10" t="s">
        <v>218</v>
      </c>
      <c r="AP168" s="10" t="s">
        <v>218</v>
      </c>
      <c r="AQ168" s="27"/>
    </row>
    <row r="169" spans="1:43" ht="84" x14ac:dyDescent="0.25">
      <c r="A169" s="34" t="s">
        <v>55</v>
      </c>
      <c r="B169" s="34" t="s">
        <v>354</v>
      </c>
      <c r="C169" s="34" t="s">
        <v>355</v>
      </c>
      <c r="D169" s="34">
        <v>241120600</v>
      </c>
      <c r="E169" s="34">
        <v>12264090</v>
      </c>
      <c r="F169" s="74" t="s">
        <v>454</v>
      </c>
      <c r="G169" s="34" t="s">
        <v>456</v>
      </c>
      <c r="H169" s="36">
        <v>211388000</v>
      </c>
      <c r="I169" s="39">
        <v>304326000</v>
      </c>
      <c r="J169" s="39">
        <v>304326000</v>
      </c>
      <c r="K169" s="39"/>
      <c r="L169" s="39"/>
      <c r="M169" s="39"/>
      <c r="N169" s="36">
        <f t="shared" si="3"/>
        <v>211388000</v>
      </c>
      <c r="O169" s="36">
        <f t="shared" si="3"/>
        <v>304326000</v>
      </c>
      <c r="P169" s="36">
        <f t="shared" si="3"/>
        <v>304326000</v>
      </c>
      <c r="Q169" s="162">
        <v>251472581</v>
      </c>
      <c r="R169" s="36"/>
      <c r="S169" s="36">
        <f t="shared" si="4"/>
        <v>251472581</v>
      </c>
      <c r="T169" s="37" t="s">
        <v>700</v>
      </c>
      <c r="U169" s="37" t="s">
        <v>556</v>
      </c>
      <c r="V169" s="37">
        <v>4</v>
      </c>
      <c r="W169" s="10"/>
      <c r="X169" s="10"/>
      <c r="Y169" s="10">
        <v>4</v>
      </c>
      <c r="Z169" s="10">
        <v>4</v>
      </c>
      <c r="AA169" s="34">
        <v>365</v>
      </c>
      <c r="AB169" s="10">
        <v>167</v>
      </c>
      <c r="AC169" s="10">
        <v>330</v>
      </c>
      <c r="AD169" s="10"/>
      <c r="AE169" s="10" t="s">
        <v>218</v>
      </c>
      <c r="AF169" s="10" t="s">
        <v>218</v>
      </c>
      <c r="AG169" s="10" t="s">
        <v>218</v>
      </c>
      <c r="AH169" s="10" t="s">
        <v>218</v>
      </c>
      <c r="AI169" s="10" t="s">
        <v>218</v>
      </c>
      <c r="AJ169" s="10" t="s">
        <v>218</v>
      </c>
      <c r="AK169" s="10" t="s">
        <v>218</v>
      </c>
      <c r="AL169" s="10" t="s">
        <v>218</v>
      </c>
      <c r="AM169" s="10" t="s">
        <v>218</v>
      </c>
      <c r="AN169" s="10" t="s">
        <v>218</v>
      </c>
      <c r="AO169" s="10" t="s">
        <v>218</v>
      </c>
      <c r="AP169" s="10" t="s">
        <v>218</v>
      </c>
      <c r="AQ169" s="27"/>
    </row>
    <row r="170" spans="1:43" ht="84" x14ac:dyDescent="0.25">
      <c r="A170" s="34" t="s">
        <v>55</v>
      </c>
      <c r="B170" s="34" t="s">
        <v>354</v>
      </c>
      <c r="C170" s="34" t="s">
        <v>355</v>
      </c>
      <c r="D170" s="34">
        <v>241120600</v>
      </c>
      <c r="E170" s="34">
        <v>12264007</v>
      </c>
      <c r="F170" s="74" t="s">
        <v>454</v>
      </c>
      <c r="G170" s="34" t="s">
        <v>456</v>
      </c>
      <c r="H170" s="36"/>
      <c r="I170" s="39">
        <v>25498500</v>
      </c>
      <c r="J170" s="39">
        <v>25498500</v>
      </c>
      <c r="K170" s="39"/>
      <c r="L170" s="39"/>
      <c r="M170" s="39"/>
      <c r="N170" s="36"/>
      <c r="O170" s="36"/>
      <c r="P170" s="36"/>
      <c r="Q170" s="144">
        <v>0</v>
      </c>
      <c r="R170" s="36"/>
      <c r="S170" s="36"/>
      <c r="T170" s="37"/>
      <c r="U170" s="37"/>
      <c r="V170" s="37"/>
      <c r="W170" s="10"/>
      <c r="X170" s="10"/>
      <c r="Y170" s="10"/>
      <c r="Z170" s="10"/>
      <c r="AA170" s="34"/>
      <c r="AB170" s="10"/>
      <c r="AC170" s="10"/>
      <c r="AD170" s="10"/>
      <c r="AE170" s="10"/>
      <c r="AF170" s="10"/>
      <c r="AG170" s="10"/>
      <c r="AH170" s="10"/>
      <c r="AI170" s="10"/>
      <c r="AJ170" s="10"/>
      <c r="AK170" s="10"/>
      <c r="AL170" s="10"/>
      <c r="AM170" s="10"/>
      <c r="AN170" s="10"/>
      <c r="AO170" s="10"/>
      <c r="AP170" s="10"/>
      <c r="AQ170" s="27"/>
    </row>
    <row r="171" spans="1:43" ht="84" x14ac:dyDescent="0.25">
      <c r="A171" s="34" t="s">
        <v>55</v>
      </c>
      <c r="B171" s="34" t="s">
        <v>354</v>
      </c>
      <c r="C171" s="34" t="s">
        <v>355</v>
      </c>
      <c r="D171" s="34">
        <v>241120600</v>
      </c>
      <c r="E171" s="34">
        <v>12264008</v>
      </c>
      <c r="F171" s="74" t="s">
        <v>454</v>
      </c>
      <c r="G171" s="34" t="s">
        <v>456</v>
      </c>
      <c r="H171" s="36"/>
      <c r="I171" s="123"/>
      <c r="J171" s="39">
        <v>461166000</v>
      </c>
      <c r="K171" s="39"/>
      <c r="L171" s="39"/>
      <c r="M171" s="39"/>
      <c r="N171" s="36"/>
      <c r="O171" s="36"/>
      <c r="P171" s="36"/>
      <c r="Q171" s="144">
        <v>0</v>
      </c>
      <c r="R171" s="36"/>
      <c r="S171" s="36"/>
      <c r="T171" s="37"/>
      <c r="U171" s="37"/>
      <c r="V171" s="37"/>
      <c r="W171" s="10"/>
      <c r="X171" s="10"/>
      <c r="Y171" s="10"/>
      <c r="Z171" s="10"/>
      <c r="AA171" s="34"/>
      <c r="AB171" s="10"/>
      <c r="AC171" s="10"/>
      <c r="AD171" s="10"/>
      <c r="AE171" s="10"/>
      <c r="AF171" s="10"/>
      <c r="AG171" s="10"/>
      <c r="AH171" s="10"/>
      <c r="AI171" s="10"/>
      <c r="AJ171" s="10"/>
      <c r="AK171" s="10"/>
      <c r="AL171" s="10"/>
      <c r="AM171" s="10"/>
      <c r="AN171" s="10"/>
      <c r="AO171" s="10"/>
      <c r="AP171" s="10"/>
      <c r="AQ171" s="27"/>
    </row>
    <row r="172" spans="1:43" ht="96" x14ac:dyDescent="0.25">
      <c r="A172" s="34" t="s">
        <v>55</v>
      </c>
      <c r="B172" s="34" t="s">
        <v>354</v>
      </c>
      <c r="C172" s="34" t="s">
        <v>355</v>
      </c>
      <c r="D172" s="34">
        <v>241120600</v>
      </c>
      <c r="E172" s="34">
        <v>12265001</v>
      </c>
      <c r="F172" s="74" t="s">
        <v>457</v>
      </c>
      <c r="G172" s="34" t="s">
        <v>458</v>
      </c>
      <c r="H172" s="36">
        <v>400000000</v>
      </c>
      <c r="I172" s="39">
        <v>460000000</v>
      </c>
      <c r="J172" s="39">
        <v>460000000</v>
      </c>
      <c r="K172" s="39"/>
      <c r="L172" s="39"/>
      <c r="M172" s="39"/>
      <c r="N172" s="36">
        <f t="shared" si="3"/>
        <v>400000000</v>
      </c>
      <c r="O172" s="36">
        <f t="shared" si="3"/>
        <v>460000000</v>
      </c>
      <c r="P172" s="36">
        <f t="shared" si="3"/>
        <v>460000000</v>
      </c>
      <c r="Q172" s="162">
        <v>460000000</v>
      </c>
      <c r="R172" s="36"/>
      <c r="S172" s="36">
        <f t="shared" si="4"/>
        <v>460000000</v>
      </c>
      <c r="T172" s="37" t="s">
        <v>726</v>
      </c>
      <c r="U172" s="160" t="s">
        <v>266</v>
      </c>
      <c r="V172" s="160">
        <v>125</v>
      </c>
      <c r="W172" s="10"/>
      <c r="X172" s="10"/>
      <c r="Y172" s="10">
        <v>123</v>
      </c>
      <c r="Z172" s="10">
        <v>125</v>
      </c>
      <c r="AA172" s="34">
        <v>365</v>
      </c>
      <c r="AB172" s="10">
        <v>182</v>
      </c>
      <c r="AC172" s="10">
        <v>365</v>
      </c>
      <c r="AD172" s="10"/>
      <c r="AE172" s="10">
        <v>0</v>
      </c>
      <c r="AF172" s="10">
        <v>0</v>
      </c>
      <c r="AG172" s="10" t="s">
        <v>218</v>
      </c>
      <c r="AH172" s="10" t="s">
        <v>218</v>
      </c>
      <c r="AI172" s="10" t="s">
        <v>218</v>
      </c>
      <c r="AJ172" s="10" t="s">
        <v>218</v>
      </c>
      <c r="AK172" s="10" t="s">
        <v>218</v>
      </c>
      <c r="AL172" s="10" t="s">
        <v>218</v>
      </c>
      <c r="AM172" s="10" t="s">
        <v>218</v>
      </c>
      <c r="AN172" s="10" t="s">
        <v>218</v>
      </c>
      <c r="AO172" s="10" t="s">
        <v>218</v>
      </c>
      <c r="AP172" s="10" t="s">
        <v>218</v>
      </c>
      <c r="AQ172" s="27"/>
    </row>
    <row r="173" spans="1:43" ht="84" x14ac:dyDescent="0.25">
      <c r="A173" s="34">
        <v>0</v>
      </c>
      <c r="B173" s="34">
        <v>0</v>
      </c>
      <c r="C173" s="34">
        <v>0</v>
      </c>
      <c r="D173" s="34">
        <v>0</v>
      </c>
      <c r="E173" s="34">
        <v>0</v>
      </c>
      <c r="F173" s="74">
        <v>0</v>
      </c>
      <c r="G173" s="34">
        <v>0</v>
      </c>
      <c r="H173" s="36">
        <v>0</v>
      </c>
      <c r="I173" s="39"/>
      <c r="J173" s="39"/>
      <c r="K173" s="39"/>
      <c r="L173" s="39"/>
      <c r="M173" s="39"/>
      <c r="N173" s="36">
        <f t="shared" si="3"/>
        <v>0</v>
      </c>
      <c r="O173" s="36">
        <f t="shared" si="3"/>
        <v>0</v>
      </c>
      <c r="P173" s="36">
        <f t="shared" si="3"/>
        <v>0</v>
      </c>
      <c r="Q173" s="36"/>
      <c r="R173" s="36"/>
      <c r="S173" s="36">
        <f t="shared" si="4"/>
        <v>0</v>
      </c>
      <c r="T173" s="37" t="s">
        <v>727</v>
      </c>
      <c r="U173" s="160" t="s">
        <v>266</v>
      </c>
      <c r="V173" s="160">
        <v>31</v>
      </c>
      <c r="W173" s="10"/>
      <c r="X173" s="10"/>
      <c r="Y173" s="10"/>
      <c r="Z173" s="10">
        <v>100</v>
      </c>
      <c r="AA173" s="34">
        <v>305</v>
      </c>
      <c r="AB173" s="10">
        <v>152</v>
      </c>
      <c r="AC173" s="10">
        <v>304</v>
      </c>
      <c r="AD173" s="10"/>
      <c r="AE173" s="10">
        <v>0</v>
      </c>
      <c r="AF173" s="10">
        <v>0</v>
      </c>
      <c r="AG173" s="10" t="s">
        <v>218</v>
      </c>
      <c r="AH173" s="10" t="s">
        <v>218</v>
      </c>
      <c r="AI173" s="10" t="s">
        <v>218</v>
      </c>
      <c r="AJ173" s="10" t="s">
        <v>218</v>
      </c>
      <c r="AK173" s="10" t="s">
        <v>218</v>
      </c>
      <c r="AL173" s="10" t="s">
        <v>218</v>
      </c>
      <c r="AM173" s="10" t="s">
        <v>218</v>
      </c>
      <c r="AN173" s="10" t="s">
        <v>218</v>
      </c>
      <c r="AO173" s="10" t="s">
        <v>218</v>
      </c>
      <c r="AP173" s="10" t="s">
        <v>218</v>
      </c>
      <c r="AQ173" s="27"/>
    </row>
    <row r="174" spans="1:43" ht="72" x14ac:dyDescent="0.25">
      <c r="A174" s="34">
        <v>0</v>
      </c>
      <c r="B174" s="34">
        <v>0</v>
      </c>
      <c r="C174" s="34">
        <v>0</v>
      </c>
      <c r="D174" s="34">
        <v>0</v>
      </c>
      <c r="E174" s="34">
        <v>0</v>
      </c>
      <c r="F174" s="74">
        <v>0</v>
      </c>
      <c r="G174" s="34">
        <v>0</v>
      </c>
      <c r="H174" s="36">
        <v>0</v>
      </c>
      <c r="I174" s="39"/>
      <c r="J174" s="39"/>
      <c r="K174" s="39"/>
      <c r="L174" s="39"/>
      <c r="M174" s="39"/>
      <c r="N174" s="36">
        <f t="shared" si="3"/>
        <v>0</v>
      </c>
      <c r="O174" s="36">
        <f t="shared" si="3"/>
        <v>0</v>
      </c>
      <c r="P174" s="36">
        <f t="shared" si="3"/>
        <v>0</v>
      </c>
      <c r="Q174" s="36"/>
      <c r="R174" s="36"/>
      <c r="S174" s="36">
        <f t="shared" si="4"/>
        <v>0</v>
      </c>
      <c r="T174" s="37" t="s">
        <v>728</v>
      </c>
      <c r="U174" s="160" t="s">
        <v>225</v>
      </c>
      <c r="V174" s="160">
        <v>1</v>
      </c>
      <c r="W174" s="10"/>
      <c r="X174" s="10"/>
      <c r="Y174" s="10"/>
      <c r="Z174" s="10">
        <v>1</v>
      </c>
      <c r="AA174" s="34">
        <v>305</v>
      </c>
      <c r="AB174" s="10">
        <v>152</v>
      </c>
      <c r="AC174" s="10">
        <v>304</v>
      </c>
      <c r="AD174" s="10"/>
      <c r="AE174" s="10">
        <v>0</v>
      </c>
      <c r="AF174" s="10">
        <v>0</v>
      </c>
      <c r="AG174" s="10" t="s">
        <v>218</v>
      </c>
      <c r="AH174" s="10" t="s">
        <v>218</v>
      </c>
      <c r="AI174" s="10" t="s">
        <v>218</v>
      </c>
      <c r="AJ174" s="10" t="s">
        <v>218</v>
      </c>
      <c r="AK174" s="10" t="s">
        <v>218</v>
      </c>
      <c r="AL174" s="10" t="s">
        <v>218</v>
      </c>
      <c r="AM174" s="10" t="s">
        <v>218</v>
      </c>
      <c r="AN174" s="10" t="s">
        <v>218</v>
      </c>
      <c r="AO174" s="10" t="s">
        <v>218</v>
      </c>
      <c r="AP174" s="10" t="s">
        <v>218</v>
      </c>
      <c r="AQ174" s="27"/>
    </row>
    <row r="175" spans="1:43" ht="108" x14ac:dyDescent="0.25">
      <c r="A175" s="34"/>
      <c r="B175" s="34"/>
      <c r="C175" s="34"/>
      <c r="D175" s="34"/>
      <c r="E175" s="34"/>
      <c r="F175" s="74"/>
      <c r="G175" s="34"/>
      <c r="H175" s="36"/>
      <c r="I175" s="39"/>
      <c r="J175" s="39"/>
      <c r="K175" s="39"/>
      <c r="L175" s="39"/>
      <c r="M175" s="39"/>
      <c r="N175" s="36"/>
      <c r="O175" s="36"/>
      <c r="P175" s="36"/>
      <c r="Q175" s="36"/>
      <c r="R175" s="36"/>
      <c r="S175" s="36"/>
      <c r="T175" s="37" t="s">
        <v>729</v>
      </c>
      <c r="U175" s="37" t="s">
        <v>225</v>
      </c>
      <c r="V175" s="160">
        <v>31</v>
      </c>
      <c r="W175" s="10"/>
      <c r="X175" s="10"/>
      <c r="Y175" s="10">
        <v>0</v>
      </c>
      <c r="Z175" s="10">
        <v>100</v>
      </c>
      <c r="AA175" s="34">
        <v>365</v>
      </c>
      <c r="AB175" s="10">
        <v>182</v>
      </c>
      <c r="AC175" s="10"/>
      <c r="AD175" s="10"/>
      <c r="AE175" s="10"/>
      <c r="AF175" s="10"/>
      <c r="AG175" s="10"/>
      <c r="AH175" s="10"/>
      <c r="AI175" s="10"/>
      <c r="AJ175" s="10"/>
      <c r="AK175" s="10"/>
      <c r="AL175" s="10"/>
      <c r="AM175" s="10"/>
      <c r="AN175" s="10"/>
      <c r="AO175" s="10"/>
      <c r="AP175" s="10"/>
      <c r="AQ175" s="27"/>
    </row>
    <row r="176" spans="1:43" ht="84" x14ac:dyDescent="0.25">
      <c r="A176" s="34"/>
      <c r="B176" s="34"/>
      <c r="C176" s="34"/>
      <c r="D176" s="34"/>
      <c r="E176" s="34"/>
      <c r="F176" s="74"/>
      <c r="G176" s="34"/>
      <c r="H176" s="36"/>
      <c r="I176" s="39"/>
      <c r="J176" s="39"/>
      <c r="K176" s="39"/>
      <c r="L176" s="39"/>
      <c r="M176" s="39"/>
      <c r="N176" s="36"/>
      <c r="O176" s="36"/>
      <c r="P176" s="36"/>
      <c r="Q176" s="36"/>
      <c r="R176" s="36"/>
      <c r="S176" s="36"/>
      <c r="T176" s="37" t="s">
        <v>730</v>
      </c>
      <c r="U176" s="37" t="s">
        <v>225</v>
      </c>
      <c r="V176" s="160">
        <v>1</v>
      </c>
      <c r="W176" s="10"/>
      <c r="X176" s="10"/>
      <c r="Y176" s="10">
        <v>1</v>
      </c>
      <c r="Z176" s="10">
        <v>9</v>
      </c>
      <c r="AA176" s="34">
        <v>365</v>
      </c>
      <c r="AB176" s="10">
        <v>182</v>
      </c>
      <c r="AC176" s="10">
        <v>365</v>
      </c>
      <c r="AD176" s="10"/>
      <c r="AE176" s="10"/>
      <c r="AF176" s="10"/>
      <c r="AG176" s="10" t="s">
        <v>218</v>
      </c>
      <c r="AH176" s="10" t="s">
        <v>218</v>
      </c>
      <c r="AI176" s="10" t="s">
        <v>218</v>
      </c>
      <c r="AJ176" s="10" t="s">
        <v>218</v>
      </c>
      <c r="AK176" s="10" t="s">
        <v>218</v>
      </c>
      <c r="AL176" s="10" t="s">
        <v>218</v>
      </c>
      <c r="AM176" s="10" t="s">
        <v>218</v>
      </c>
      <c r="AN176" s="10" t="s">
        <v>218</v>
      </c>
      <c r="AO176" s="10" t="s">
        <v>218</v>
      </c>
      <c r="AP176" s="10" t="s">
        <v>218</v>
      </c>
      <c r="AQ176" s="27"/>
    </row>
    <row r="177" spans="1:43" ht="60" x14ac:dyDescent="0.25">
      <c r="A177" s="34" t="s">
        <v>55</v>
      </c>
      <c r="B177" s="34" t="s">
        <v>354</v>
      </c>
      <c r="C177" s="34" t="s">
        <v>355</v>
      </c>
      <c r="D177" s="34">
        <v>241120600</v>
      </c>
      <c r="E177" s="34">
        <v>12265090</v>
      </c>
      <c r="F177" s="74" t="s">
        <v>457</v>
      </c>
      <c r="G177" s="34" t="s">
        <v>461</v>
      </c>
      <c r="H177" s="36">
        <v>102585000</v>
      </c>
      <c r="I177" s="39">
        <v>102585000</v>
      </c>
      <c r="J177" s="39">
        <v>102585000</v>
      </c>
      <c r="K177" s="39"/>
      <c r="L177" s="39"/>
      <c r="M177" s="39"/>
      <c r="N177" s="36">
        <f t="shared" si="3"/>
        <v>102585000</v>
      </c>
      <c r="O177" s="39">
        <v>102585000</v>
      </c>
      <c r="P177" s="36">
        <f t="shared" si="3"/>
        <v>102585000</v>
      </c>
      <c r="Q177" s="162">
        <v>74288304</v>
      </c>
      <c r="R177" s="36"/>
      <c r="S177" s="36">
        <f t="shared" si="4"/>
        <v>74288304</v>
      </c>
      <c r="T177" s="37" t="s">
        <v>731</v>
      </c>
      <c r="U177" s="37" t="s">
        <v>225</v>
      </c>
      <c r="V177" s="160">
        <v>1</v>
      </c>
      <c r="W177" s="10"/>
      <c r="X177" s="10"/>
      <c r="Y177" s="10">
        <v>1</v>
      </c>
      <c r="Z177" s="10">
        <v>1</v>
      </c>
      <c r="AA177" s="34">
        <v>365</v>
      </c>
      <c r="AB177" s="10">
        <v>182</v>
      </c>
      <c r="AC177" s="10">
        <v>365</v>
      </c>
      <c r="AD177" s="10"/>
      <c r="AE177" s="10">
        <v>0</v>
      </c>
      <c r="AF177" s="10">
        <v>0</v>
      </c>
      <c r="AG177" s="10" t="s">
        <v>218</v>
      </c>
      <c r="AH177" s="10" t="s">
        <v>218</v>
      </c>
      <c r="AI177" s="10" t="s">
        <v>218</v>
      </c>
      <c r="AJ177" s="10" t="s">
        <v>218</v>
      </c>
      <c r="AK177" s="10" t="s">
        <v>218</v>
      </c>
      <c r="AL177" s="10" t="s">
        <v>218</v>
      </c>
      <c r="AM177" s="10" t="s">
        <v>218</v>
      </c>
      <c r="AN177" s="10" t="s">
        <v>218</v>
      </c>
      <c r="AO177" s="10" t="s">
        <v>218</v>
      </c>
      <c r="AP177" s="10" t="s">
        <v>218</v>
      </c>
      <c r="AQ177" s="27"/>
    </row>
    <row r="178" spans="1:43" ht="36" x14ac:dyDescent="0.25">
      <c r="A178" s="34">
        <v>0</v>
      </c>
      <c r="B178" s="34">
        <v>0</v>
      </c>
      <c r="C178" s="34">
        <v>0</v>
      </c>
      <c r="D178" s="34">
        <v>0</v>
      </c>
      <c r="E178" s="34">
        <v>0</v>
      </c>
      <c r="F178" s="74">
        <v>0</v>
      </c>
      <c r="G178" s="34">
        <v>0</v>
      </c>
      <c r="H178" s="36">
        <v>0</v>
      </c>
      <c r="I178" s="39"/>
      <c r="J178" s="39"/>
      <c r="K178" s="39"/>
      <c r="L178" s="39"/>
      <c r="M178" s="39"/>
      <c r="N178" s="36">
        <f t="shared" si="3"/>
        <v>0</v>
      </c>
      <c r="O178" s="36">
        <f t="shared" si="3"/>
        <v>0</v>
      </c>
      <c r="P178" s="36">
        <f t="shared" si="3"/>
        <v>0</v>
      </c>
      <c r="Q178" s="36"/>
      <c r="R178" s="36"/>
      <c r="S178" s="36">
        <f t="shared" si="4"/>
        <v>0</v>
      </c>
      <c r="T178" s="37" t="s">
        <v>732</v>
      </c>
      <c r="U178" s="37" t="s">
        <v>225</v>
      </c>
      <c r="V178" s="160">
        <v>1</v>
      </c>
      <c r="W178" s="10"/>
      <c r="X178" s="10"/>
      <c r="Y178" s="10"/>
      <c r="Z178" s="10">
        <v>1</v>
      </c>
      <c r="AA178" s="34">
        <v>305</v>
      </c>
      <c r="AB178" s="10">
        <v>152</v>
      </c>
      <c r="AC178" s="10">
        <v>304</v>
      </c>
      <c r="AD178" s="10"/>
      <c r="AE178" s="10">
        <v>0</v>
      </c>
      <c r="AF178" s="10">
        <v>0</v>
      </c>
      <c r="AG178" s="10" t="s">
        <v>218</v>
      </c>
      <c r="AH178" s="10" t="s">
        <v>218</v>
      </c>
      <c r="AI178" s="10" t="s">
        <v>218</v>
      </c>
      <c r="AJ178" s="10" t="s">
        <v>218</v>
      </c>
      <c r="AK178" s="10" t="s">
        <v>218</v>
      </c>
      <c r="AL178" s="10" t="s">
        <v>218</v>
      </c>
      <c r="AM178" s="10" t="s">
        <v>218</v>
      </c>
      <c r="AN178" s="10" t="s">
        <v>218</v>
      </c>
      <c r="AO178" s="10" t="s">
        <v>218</v>
      </c>
      <c r="AP178" s="10" t="s">
        <v>218</v>
      </c>
      <c r="AQ178" s="27"/>
    </row>
    <row r="179" spans="1:43" ht="108" x14ac:dyDescent="0.25">
      <c r="A179" s="34" t="s">
        <v>55</v>
      </c>
      <c r="B179" s="34" t="s">
        <v>354</v>
      </c>
      <c r="C179" s="34" t="s">
        <v>355</v>
      </c>
      <c r="D179" s="34">
        <v>241120600</v>
      </c>
      <c r="E179" s="34">
        <v>12267001</v>
      </c>
      <c r="F179" s="74" t="s">
        <v>462</v>
      </c>
      <c r="G179" s="34" t="s">
        <v>463</v>
      </c>
      <c r="H179" s="36">
        <v>900000000</v>
      </c>
      <c r="I179" s="39">
        <v>2644215500</v>
      </c>
      <c r="J179" s="39">
        <v>2644215500</v>
      </c>
      <c r="K179" s="39"/>
      <c r="L179" s="39"/>
      <c r="M179" s="39"/>
      <c r="N179" s="36">
        <f t="shared" si="3"/>
        <v>900000000</v>
      </c>
      <c r="O179" s="36">
        <f t="shared" si="3"/>
        <v>2644215500</v>
      </c>
      <c r="P179" s="36">
        <f t="shared" si="3"/>
        <v>2644215500</v>
      </c>
      <c r="Q179" s="162">
        <v>2426898300</v>
      </c>
      <c r="R179" s="36"/>
      <c r="S179" s="36">
        <f t="shared" si="4"/>
        <v>2426898300</v>
      </c>
      <c r="T179" s="37" t="s">
        <v>733</v>
      </c>
      <c r="U179" s="37" t="s">
        <v>266</v>
      </c>
      <c r="V179" s="160">
        <v>125</v>
      </c>
      <c r="W179" s="10"/>
      <c r="X179" s="10"/>
      <c r="Y179" s="10">
        <v>62</v>
      </c>
      <c r="Z179" s="10">
        <v>62</v>
      </c>
      <c r="AA179" s="34">
        <v>335</v>
      </c>
      <c r="AB179" s="10">
        <v>167</v>
      </c>
      <c r="AC179" s="10">
        <v>330</v>
      </c>
      <c r="AD179" s="10" t="s">
        <v>734</v>
      </c>
      <c r="AE179" s="10">
        <v>0</v>
      </c>
      <c r="AF179" s="10" t="s">
        <v>218</v>
      </c>
      <c r="AG179" s="10" t="s">
        <v>218</v>
      </c>
      <c r="AH179" s="10" t="s">
        <v>218</v>
      </c>
      <c r="AI179" s="10" t="s">
        <v>218</v>
      </c>
      <c r="AJ179" s="10" t="s">
        <v>218</v>
      </c>
      <c r="AK179" s="10" t="s">
        <v>218</v>
      </c>
      <c r="AL179" s="10" t="s">
        <v>218</v>
      </c>
      <c r="AM179" s="10" t="s">
        <v>218</v>
      </c>
      <c r="AN179" s="10" t="s">
        <v>218</v>
      </c>
      <c r="AO179" s="10" t="s">
        <v>218</v>
      </c>
      <c r="AP179" s="10" t="s">
        <v>218</v>
      </c>
      <c r="AQ179" s="27"/>
    </row>
    <row r="180" spans="1:43" ht="48" x14ac:dyDescent="0.25">
      <c r="A180" s="34"/>
      <c r="B180" s="34"/>
      <c r="C180" s="34"/>
      <c r="D180" s="34"/>
      <c r="E180" s="34"/>
      <c r="F180" s="74"/>
      <c r="G180" s="34"/>
      <c r="H180" s="36"/>
      <c r="I180" s="39"/>
      <c r="J180" s="39"/>
      <c r="K180" s="39"/>
      <c r="L180" s="39"/>
      <c r="M180" s="39"/>
      <c r="N180" s="36"/>
      <c r="O180" s="36"/>
      <c r="P180" s="36"/>
      <c r="Q180" s="36"/>
      <c r="R180" s="36"/>
      <c r="S180" s="36"/>
      <c r="T180" s="37" t="s">
        <v>735</v>
      </c>
      <c r="U180" s="37" t="s">
        <v>266</v>
      </c>
      <c r="V180" s="160">
        <v>125</v>
      </c>
      <c r="W180" s="10"/>
      <c r="X180" s="10"/>
      <c r="Y180" s="10">
        <v>36</v>
      </c>
      <c r="Z180" s="10">
        <v>36</v>
      </c>
      <c r="AA180" s="34">
        <v>335</v>
      </c>
      <c r="AB180" s="10">
        <v>167</v>
      </c>
      <c r="AC180" s="10">
        <v>330</v>
      </c>
      <c r="AD180" s="10"/>
      <c r="AE180" s="10"/>
      <c r="AF180" s="10" t="s">
        <v>218</v>
      </c>
      <c r="AG180" s="10" t="s">
        <v>218</v>
      </c>
      <c r="AH180" s="10" t="s">
        <v>218</v>
      </c>
      <c r="AI180" s="10" t="s">
        <v>218</v>
      </c>
      <c r="AJ180" s="10" t="s">
        <v>218</v>
      </c>
      <c r="AK180" s="10" t="s">
        <v>218</v>
      </c>
      <c r="AL180" s="10" t="s">
        <v>218</v>
      </c>
      <c r="AM180" s="10" t="s">
        <v>218</v>
      </c>
      <c r="AN180" s="10" t="s">
        <v>218</v>
      </c>
      <c r="AO180" s="10" t="s">
        <v>218</v>
      </c>
      <c r="AP180" s="10" t="s">
        <v>218</v>
      </c>
      <c r="AQ180" s="27"/>
    </row>
    <row r="181" spans="1:43" ht="60" x14ac:dyDescent="0.25">
      <c r="A181" s="34"/>
      <c r="B181" s="34"/>
      <c r="C181" s="34"/>
      <c r="D181" s="34"/>
      <c r="E181" s="34"/>
      <c r="F181" s="74"/>
      <c r="G181" s="34"/>
      <c r="H181" s="36"/>
      <c r="I181" s="39"/>
      <c r="J181" s="39"/>
      <c r="K181" s="39"/>
      <c r="L181" s="39"/>
      <c r="M181" s="39"/>
      <c r="N181" s="36"/>
      <c r="O181" s="36"/>
      <c r="P181" s="36"/>
      <c r="Q181" s="36"/>
      <c r="R181" s="36"/>
      <c r="S181" s="36"/>
      <c r="T181" s="37" t="s">
        <v>736</v>
      </c>
      <c r="U181" s="37" t="s">
        <v>266</v>
      </c>
      <c r="V181" s="160">
        <v>50</v>
      </c>
      <c r="W181" s="10"/>
      <c r="X181" s="10"/>
      <c r="Y181" s="10">
        <v>10</v>
      </c>
      <c r="Z181" s="10">
        <v>10</v>
      </c>
      <c r="AA181" s="34">
        <v>335</v>
      </c>
      <c r="AB181" s="10">
        <v>167</v>
      </c>
      <c r="AC181" s="10">
        <v>330</v>
      </c>
      <c r="AD181" s="10"/>
      <c r="AE181" s="10"/>
      <c r="AF181" s="10" t="s">
        <v>218</v>
      </c>
      <c r="AG181" s="10" t="s">
        <v>218</v>
      </c>
      <c r="AH181" s="10" t="s">
        <v>218</v>
      </c>
      <c r="AI181" s="10" t="s">
        <v>218</v>
      </c>
      <c r="AJ181" s="10" t="s">
        <v>218</v>
      </c>
      <c r="AK181" s="10" t="s">
        <v>218</v>
      </c>
      <c r="AL181" s="10" t="s">
        <v>218</v>
      </c>
      <c r="AM181" s="10" t="s">
        <v>218</v>
      </c>
      <c r="AN181" s="10" t="s">
        <v>218</v>
      </c>
      <c r="AO181" s="10" t="s">
        <v>218</v>
      </c>
      <c r="AP181" s="10" t="s">
        <v>218</v>
      </c>
      <c r="AQ181" s="27"/>
    </row>
    <row r="182" spans="1:43" ht="48" x14ac:dyDescent="0.25">
      <c r="A182" s="34"/>
      <c r="B182" s="34"/>
      <c r="C182" s="34"/>
      <c r="D182" s="34"/>
      <c r="E182" s="34"/>
      <c r="F182" s="74"/>
      <c r="G182" s="34"/>
      <c r="H182" s="36"/>
      <c r="I182" s="39"/>
      <c r="J182" s="39"/>
      <c r="K182" s="39"/>
      <c r="L182" s="39"/>
      <c r="M182" s="39"/>
      <c r="N182" s="36"/>
      <c r="O182" s="36"/>
      <c r="P182" s="36"/>
      <c r="Q182" s="36"/>
      <c r="R182" s="36"/>
      <c r="S182" s="36"/>
      <c r="T182" s="37" t="s">
        <v>737</v>
      </c>
      <c r="U182" s="37" t="s">
        <v>266</v>
      </c>
      <c r="V182" s="160">
        <v>50</v>
      </c>
      <c r="W182" s="10"/>
      <c r="X182" s="10"/>
      <c r="Y182" s="10">
        <v>0</v>
      </c>
      <c r="Z182" s="10">
        <v>0</v>
      </c>
      <c r="AA182" s="34">
        <v>335</v>
      </c>
      <c r="AB182" s="10">
        <v>167</v>
      </c>
      <c r="AC182" s="10">
        <v>330</v>
      </c>
      <c r="AD182" s="10"/>
      <c r="AE182" s="10"/>
      <c r="AF182" s="10" t="s">
        <v>218</v>
      </c>
      <c r="AG182" s="10" t="s">
        <v>218</v>
      </c>
      <c r="AH182" s="10" t="s">
        <v>218</v>
      </c>
      <c r="AI182" s="10" t="s">
        <v>218</v>
      </c>
      <c r="AJ182" s="10" t="s">
        <v>218</v>
      </c>
      <c r="AK182" s="10" t="s">
        <v>218</v>
      </c>
      <c r="AL182" s="10" t="s">
        <v>218</v>
      </c>
      <c r="AM182" s="10" t="s">
        <v>218</v>
      </c>
      <c r="AN182" s="10" t="s">
        <v>218</v>
      </c>
      <c r="AO182" s="10" t="s">
        <v>218</v>
      </c>
      <c r="AP182" s="10" t="s">
        <v>218</v>
      </c>
      <c r="AQ182" s="27"/>
    </row>
    <row r="183" spans="1:43" ht="48" x14ac:dyDescent="0.25">
      <c r="A183" s="34"/>
      <c r="B183" s="34"/>
      <c r="C183" s="34"/>
      <c r="D183" s="34"/>
      <c r="E183" s="34"/>
      <c r="F183" s="74"/>
      <c r="G183" s="34"/>
      <c r="H183" s="36"/>
      <c r="I183" s="39"/>
      <c r="J183" s="39"/>
      <c r="K183" s="39"/>
      <c r="L183" s="39"/>
      <c r="M183" s="39"/>
      <c r="N183" s="36"/>
      <c r="O183" s="36"/>
      <c r="P183" s="36"/>
      <c r="Q183" s="36"/>
      <c r="R183" s="36"/>
      <c r="S183" s="36"/>
      <c r="T183" s="37" t="s">
        <v>738</v>
      </c>
      <c r="U183" s="37" t="s">
        <v>266</v>
      </c>
      <c r="V183" s="160">
        <v>1</v>
      </c>
      <c r="W183" s="10"/>
      <c r="X183" s="10"/>
      <c r="Y183" s="10">
        <v>0</v>
      </c>
      <c r="Z183" s="10">
        <v>0</v>
      </c>
      <c r="AA183" s="34">
        <v>335</v>
      </c>
      <c r="AB183" s="10">
        <v>167</v>
      </c>
      <c r="AC183" s="10">
        <v>330</v>
      </c>
      <c r="AD183" s="10"/>
      <c r="AE183" s="10"/>
      <c r="AF183" s="10" t="s">
        <v>218</v>
      </c>
      <c r="AG183" s="10" t="s">
        <v>218</v>
      </c>
      <c r="AH183" s="10" t="s">
        <v>218</v>
      </c>
      <c r="AI183" s="10" t="s">
        <v>218</v>
      </c>
      <c r="AJ183" s="10" t="s">
        <v>218</v>
      </c>
      <c r="AK183" s="10" t="s">
        <v>218</v>
      </c>
      <c r="AL183" s="10" t="s">
        <v>218</v>
      </c>
      <c r="AM183" s="10" t="s">
        <v>218</v>
      </c>
      <c r="AN183" s="10" t="s">
        <v>218</v>
      </c>
      <c r="AO183" s="10" t="s">
        <v>218</v>
      </c>
      <c r="AP183" s="10" t="s">
        <v>218</v>
      </c>
      <c r="AQ183" s="27"/>
    </row>
    <row r="184" spans="1:43" ht="72" x14ac:dyDescent="0.25">
      <c r="A184" s="34"/>
      <c r="B184" s="34"/>
      <c r="C184" s="34"/>
      <c r="D184" s="34"/>
      <c r="E184" s="34"/>
      <c r="F184" s="74"/>
      <c r="G184" s="34"/>
      <c r="H184" s="36"/>
      <c r="I184" s="39"/>
      <c r="J184" s="39"/>
      <c r="K184" s="39"/>
      <c r="L184" s="39"/>
      <c r="M184" s="39"/>
      <c r="N184" s="36"/>
      <c r="O184" s="36"/>
      <c r="P184" s="36"/>
      <c r="Q184" s="36"/>
      <c r="R184" s="36"/>
      <c r="S184" s="36"/>
      <c r="T184" s="37" t="s">
        <v>739</v>
      </c>
      <c r="U184" s="37" t="s">
        <v>266</v>
      </c>
      <c r="V184" s="160">
        <v>1</v>
      </c>
      <c r="W184" s="10"/>
      <c r="X184" s="10"/>
      <c r="Y184" s="10">
        <v>1</v>
      </c>
      <c r="Z184" s="10">
        <v>1</v>
      </c>
      <c r="AA184" s="34">
        <v>335</v>
      </c>
      <c r="AB184" s="10">
        <v>167</v>
      </c>
      <c r="AC184" s="10">
        <v>330</v>
      </c>
      <c r="AD184" s="10"/>
      <c r="AE184" s="10"/>
      <c r="AF184" s="10" t="s">
        <v>218</v>
      </c>
      <c r="AG184" s="10" t="s">
        <v>218</v>
      </c>
      <c r="AH184" s="10" t="s">
        <v>218</v>
      </c>
      <c r="AI184" s="10" t="s">
        <v>218</v>
      </c>
      <c r="AJ184" s="10" t="s">
        <v>218</v>
      </c>
      <c r="AK184" s="10" t="s">
        <v>218</v>
      </c>
      <c r="AL184" s="10" t="s">
        <v>218</v>
      </c>
      <c r="AM184" s="10" t="s">
        <v>218</v>
      </c>
      <c r="AN184" s="10" t="s">
        <v>218</v>
      </c>
      <c r="AO184" s="10" t="s">
        <v>218</v>
      </c>
      <c r="AP184" s="10" t="s">
        <v>218</v>
      </c>
      <c r="AQ184" s="27"/>
    </row>
    <row r="185" spans="1:43" ht="60" x14ac:dyDescent="0.25">
      <c r="A185" s="34"/>
      <c r="B185" s="34"/>
      <c r="C185" s="34"/>
      <c r="D185" s="34"/>
      <c r="E185" s="34"/>
      <c r="F185" s="74"/>
      <c r="G185" s="34"/>
      <c r="H185" s="36"/>
      <c r="I185" s="39"/>
      <c r="J185" s="39"/>
      <c r="K185" s="39"/>
      <c r="L185" s="39"/>
      <c r="M185" s="39"/>
      <c r="N185" s="36"/>
      <c r="O185" s="36"/>
      <c r="P185" s="36"/>
      <c r="Q185" s="36"/>
      <c r="R185" s="36"/>
      <c r="S185" s="36"/>
      <c r="T185" s="37" t="s">
        <v>740</v>
      </c>
      <c r="U185" s="37" t="s">
        <v>266</v>
      </c>
      <c r="V185" s="160">
        <v>1</v>
      </c>
      <c r="W185" s="10"/>
      <c r="X185" s="10"/>
      <c r="Y185" s="10">
        <v>0</v>
      </c>
      <c r="Z185" s="10">
        <v>0</v>
      </c>
      <c r="AA185" s="34">
        <v>335</v>
      </c>
      <c r="AB185" s="10">
        <v>167</v>
      </c>
      <c r="AC185" s="10">
        <v>330</v>
      </c>
      <c r="AD185" s="10"/>
      <c r="AE185" s="10"/>
      <c r="AF185" s="10" t="s">
        <v>218</v>
      </c>
      <c r="AG185" s="10" t="s">
        <v>218</v>
      </c>
      <c r="AH185" s="10" t="s">
        <v>218</v>
      </c>
      <c r="AI185" s="10" t="s">
        <v>218</v>
      </c>
      <c r="AJ185" s="10" t="s">
        <v>218</v>
      </c>
      <c r="AK185" s="10" t="s">
        <v>218</v>
      </c>
      <c r="AL185" s="10" t="s">
        <v>218</v>
      </c>
      <c r="AM185" s="10" t="s">
        <v>218</v>
      </c>
      <c r="AN185" s="10" t="s">
        <v>218</v>
      </c>
      <c r="AO185" s="10" t="s">
        <v>218</v>
      </c>
      <c r="AP185" s="10" t="s">
        <v>218</v>
      </c>
      <c r="AQ185" s="27"/>
    </row>
    <row r="186" spans="1:43" ht="24" x14ac:dyDescent="0.25">
      <c r="A186" s="34"/>
      <c r="B186" s="34"/>
      <c r="C186" s="34"/>
      <c r="D186" s="34"/>
      <c r="E186" s="34"/>
      <c r="F186" s="74"/>
      <c r="G186" s="34"/>
      <c r="H186" s="36"/>
      <c r="I186" s="39"/>
      <c r="J186" s="39"/>
      <c r="K186" s="39"/>
      <c r="L186" s="39"/>
      <c r="M186" s="39"/>
      <c r="N186" s="36"/>
      <c r="O186" s="36"/>
      <c r="P186" s="36"/>
      <c r="Q186" s="36"/>
      <c r="R186" s="36"/>
      <c r="S186" s="36"/>
      <c r="T186" s="37" t="s">
        <v>741</v>
      </c>
      <c r="U186" s="37" t="s">
        <v>266</v>
      </c>
      <c r="V186" s="160">
        <v>1</v>
      </c>
      <c r="W186" s="10"/>
      <c r="X186" s="10"/>
      <c r="Y186" s="10">
        <v>1</v>
      </c>
      <c r="Z186" s="10">
        <v>1</v>
      </c>
      <c r="AA186" s="34">
        <v>335</v>
      </c>
      <c r="AB186" s="10">
        <v>167</v>
      </c>
      <c r="AC186" s="10">
        <v>330</v>
      </c>
      <c r="AD186" s="10"/>
      <c r="AE186" s="10"/>
      <c r="AF186" s="10" t="s">
        <v>218</v>
      </c>
      <c r="AG186" s="10" t="s">
        <v>218</v>
      </c>
      <c r="AH186" s="10" t="s">
        <v>218</v>
      </c>
      <c r="AI186" s="10" t="s">
        <v>218</v>
      </c>
      <c r="AJ186" s="10" t="s">
        <v>218</v>
      </c>
      <c r="AK186" s="10" t="s">
        <v>218</v>
      </c>
      <c r="AL186" s="10" t="s">
        <v>218</v>
      </c>
      <c r="AM186" s="10" t="s">
        <v>218</v>
      </c>
      <c r="AN186" s="10" t="s">
        <v>218</v>
      </c>
      <c r="AO186" s="10" t="s">
        <v>218</v>
      </c>
      <c r="AP186" s="10" t="s">
        <v>218</v>
      </c>
      <c r="AQ186" s="27"/>
    </row>
    <row r="187" spans="1:43" ht="48" x14ac:dyDescent="0.25">
      <c r="A187" s="34"/>
      <c r="B187" s="34"/>
      <c r="C187" s="34"/>
      <c r="D187" s="34"/>
      <c r="E187" s="34"/>
      <c r="F187" s="74"/>
      <c r="G187" s="34"/>
      <c r="H187" s="36"/>
      <c r="I187" s="39"/>
      <c r="J187" s="39"/>
      <c r="K187" s="39"/>
      <c r="L187" s="39"/>
      <c r="M187" s="39"/>
      <c r="N187" s="36"/>
      <c r="O187" s="36"/>
      <c r="P187" s="36"/>
      <c r="Q187" s="36"/>
      <c r="R187" s="36"/>
      <c r="S187" s="36"/>
      <c r="T187" s="37" t="s">
        <v>742</v>
      </c>
      <c r="U187" s="37" t="s">
        <v>266</v>
      </c>
      <c r="V187" s="160">
        <v>1</v>
      </c>
      <c r="W187" s="10"/>
      <c r="X187" s="10"/>
      <c r="Y187" s="10">
        <v>1</v>
      </c>
      <c r="Z187" s="10">
        <v>1</v>
      </c>
      <c r="AA187" s="34">
        <v>335</v>
      </c>
      <c r="AB187" s="10">
        <v>167</v>
      </c>
      <c r="AC187" s="10">
        <v>330</v>
      </c>
      <c r="AD187" s="10"/>
      <c r="AE187" s="10"/>
      <c r="AF187" s="10" t="s">
        <v>218</v>
      </c>
      <c r="AG187" s="10" t="s">
        <v>218</v>
      </c>
      <c r="AH187" s="10" t="s">
        <v>218</v>
      </c>
      <c r="AI187" s="10" t="s">
        <v>218</v>
      </c>
      <c r="AJ187" s="10" t="s">
        <v>218</v>
      </c>
      <c r="AK187" s="10" t="s">
        <v>218</v>
      </c>
      <c r="AL187" s="10" t="s">
        <v>218</v>
      </c>
      <c r="AM187" s="10" t="s">
        <v>218</v>
      </c>
      <c r="AN187" s="10" t="s">
        <v>218</v>
      </c>
      <c r="AO187" s="10" t="s">
        <v>218</v>
      </c>
      <c r="AP187" s="10" t="s">
        <v>218</v>
      </c>
      <c r="AQ187" s="27"/>
    </row>
    <row r="188" spans="1:43" ht="45" x14ac:dyDescent="0.25">
      <c r="A188" s="34">
        <v>0</v>
      </c>
      <c r="B188" s="34">
        <v>0</v>
      </c>
      <c r="C188" s="34">
        <v>0</v>
      </c>
      <c r="D188" s="34">
        <v>0</v>
      </c>
      <c r="E188" s="34">
        <v>0</v>
      </c>
      <c r="F188" s="74">
        <v>0</v>
      </c>
      <c r="G188" s="34">
        <v>0</v>
      </c>
      <c r="H188" s="36">
        <v>0</v>
      </c>
      <c r="I188" s="39"/>
      <c r="J188" s="39"/>
      <c r="K188" s="39"/>
      <c r="L188" s="39"/>
      <c r="M188" s="39"/>
      <c r="N188" s="36">
        <f t="shared" si="3"/>
        <v>0</v>
      </c>
      <c r="O188" s="36">
        <f t="shared" si="3"/>
        <v>0</v>
      </c>
      <c r="P188" s="36">
        <f t="shared" si="3"/>
        <v>0</v>
      </c>
      <c r="Q188" s="36"/>
      <c r="R188" s="36"/>
      <c r="S188" s="36">
        <f t="shared" si="4"/>
        <v>0</v>
      </c>
      <c r="T188" s="37" t="s">
        <v>743</v>
      </c>
      <c r="U188" s="37" t="s">
        <v>316</v>
      </c>
      <c r="V188" s="160">
        <v>125</v>
      </c>
      <c r="W188" s="10"/>
      <c r="X188" s="10"/>
      <c r="Y188" s="10"/>
      <c r="Z188" s="10"/>
      <c r="AA188" s="34">
        <v>305</v>
      </c>
      <c r="AB188" s="10">
        <v>152</v>
      </c>
      <c r="AC188" s="10">
        <v>304</v>
      </c>
      <c r="AD188" s="10" t="s">
        <v>744</v>
      </c>
      <c r="AE188" s="10"/>
      <c r="AF188" s="10"/>
      <c r="AG188" s="10"/>
      <c r="AH188" s="10"/>
      <c r="AI188" s="10"/>
      <c r="AJ188" s="10"/>
      <c r="AK188" s="10"/>
      <c r="AL188" s="10"/>
      <c r="AM188" s="10"/>
      <c r="AN188" s="10"/>
      <c r="AO188" s="10"/>
      <c r="AP188" s="10"/>
      <c r="AQ188" s="27"/>
    </row>
    <row r="189" spans="1:43" ht="45" x14ac:dyDescent="0.25">
      <c r="A189" s="34">
        <v>0</v>
      </c>
      <c r="B189" s="34">
        <v>0</v>
      </c>
      <c r="C189" s="34">
        <v>0</v>
      </c>
      <c r="D189" s="34">
        <v>0</v>
      </c>
      <c r="E189" s="34">
        <v>0</v>
      </c>
      <c r="F189" s="74">
        <v>0</v>
      </c>
      <c r="G189" s="34">
        <v>0</v>
      </c>
      <c r="H189" s="36">
        <v>0</v>
      </c>
      <c r="I189" s="39"/>
      <c r="J189" s="39"/>
      <c r="K189" s="39"/>
      <c r="L189" s="39"/>
      <c r="M189" s="39"/>
      <c r="N189" s="36">
        <f t="shared" si="3"/>
        <v>0</v>
      </c>
      <c r="O189" s="36">
        <f t="shared" si="3"/>
        <v>0</v>
      </c>
      <c r="P189" s="36">
        <f t="shared" si="3"/>
        <v>0</v>
      </c>
      <c r="Q189" s="36"/>
      <c r="R189" s="36"/>
      <c r="S189" s="36">
        <f t="shared" si="4"/>
        <v>0</v>
      </c>
      <c r="T189" s="37" t="s">
        <v>745</v>
      </c>
      <c r="U189" s="37" t="s">
        <v>266</v>
      </c>
      <c r="V189" s="160">
        <v>54</v>
      </c>
      <c r="W189" s="10"/>
      <c r="X189" s="10"/>
      <c r="Y189" s="10"/>
      <c r="Z189" s="10"/>
      <c r="AA189" s="34">
        <v>365</v>
      </c>
      <c r="AB189" s="10">
        <v>180</v>
      </c>
      <c r="AC189" s="10">
        <v>360</v>
      </c>
      <c r="AD189" s="10" t="s">
        <v>744</v>
      </c>
      <c r="AE189" s="10"/>
      <c r="AF189" s="10"/>
      <c r="AG189" s="10"/>
      <c r="AH189" s="10"/>
      <c r="AI189" s="10"/>
      <c r="AJ189" s="10"/>
      <c r="AK189" s="10"/>
      <c r="AL189" s="10"/>
      <c r="AM189" s="10"/>
      <c r="AN189" s="10"/>
      <c r="AO189" s="10"/>
      <c r="AP189" s="10"/>
      <c r="AQ189" s="27"/>
    </row>
    <row r="190" spans="1:43" ht="45" x14ac:dyDescent="0.25">
      <c r="A190" s="34">
        <v>0</v>
      </c>
      <c r="B190" s="34">
        <v>0</v>
      </c>
      <c r="C190" s="34">
        <v>0</v>
      </c>
      <c r="D190" s="34">
        <v>0</v>
      </c>
      <c r="E190" s="34">
        <v>0</v>
      </c>
      <c r="F190" s="74">
        <v>0</v>
      </c>
      <c r="G190" s="34">
        <v>0</v>
      </c>
      <c r="H190" s="36">
        <v>0</v>
      </c>
      <c r="I190" s="39"/>
      <c r="J190" s="39"/>
      <c r="K190" s="39"/>
      <c r="L190" s="39"/>
      <c r="M190" s="39"/>
      <c r="N190" s="36">
        <f t="shared" si="3"/>
        <v>0</v>
      </c>
      <c r="O190" s="36">
        <f t="shared" si="3"/>
        <v>0</v>
      </c>
      <c r="P190" s="36">
        <f t="shared" si="3"/>
        <v>0</v>
      </c>
      <c r="Q190" s="36"/>
      <c r="R190" s="36"/>
      <c r="S190" s="36">
        <f t="shared" si="4"/>
        <v>0</v>
      </c>
      <c r="T190" s="37" t="s">
        <v>746</v>
      </c>
      <c r="U190" s="37" t="s">
        <v>266</v>
      </c>
      <c r="V190" s="160">
        <v>1</v>
      </c>
      <c r="W190" s="10"/>
      <c r="X190" s="10"/>
      <c r="Y190" s="10"/>
      <c r="Z190" s="10"/>
      <c r="AA190" s="34">
        <v>30</v>
      </c>
      <c r="AB190" s="10">
        <v>15</v>
      </c>
      <c r="AC190" s="10">
        <v>30</v>
      </c>
      <c r="AD190" s="10" t="s">
        <v>747</v>
      </c>
      <c r="AE190" s="10"/>
      <c r="AF190" s="10"/>
      <c r="AG190" s="10"/>
      <c r="AH190" s="10"/>
      <c r="AI190" s="10"/>
      <c r="AJ190" s="10"/>
      <c r="AK190" s="10"/>
      <c r="AL190" s="10"/>
      <c r="AM190" s="10"/>
      <c r="AN190" s="10"/>
      <c r="AO190" s="10"/>
      <c r="AP190" s="10"/>
      <c r="AQ190" s="27"/>
    </row>
    <row r="191" spans="1:43" ht="84" x14ac:dyDescent="0.25">
      <c r="A191" s="34">
        <v>0</v>
      </c>
      <c r="B191" s="34">
        <v>0</v>
      </c>
      <c r="C191" s="34">
        <v>0</v>
      </c>
      <c r="D191" s="34">
        <v>0</v>
      </c>
      <c r="E191" s="34">
        <v>0</v>
      </c>
      <c r="F191" s="74">
        <v>0</v>
      </c>
      <c r="G191" s="34">
        <v>0</v>
      </c>
      <c r="H191" s="36">
        <v>0</v>
      </c>
      <c r="I191" s="39"/>
      <c r="J191" s="39"/>
      <c r="K191" s="39"/>
      <c r="L191" s="39"/>
      <c r="M191" s="39"/>
      <c r="N191" s="36">
        <f t="shared" si="3"/>
        <v>0</v>
      </c>
      <c r="O191" s="36">
        <f t="shared" si="3"/>
        <v>0</v>
      </c>
      <c r="P191" s="36">
        <f t="shared" si="3"/>
        <v>0</v>
      </c>
      <c r="Q191" s="36"/>
      <c r="R191" s="36"/>
      <c r="S191" s="36">
        <f t="shared" si="4"/>
        <v>0</v>
      </c>
      <c r="T191" s="37" t="s">
        <v>748</v>
      </c>
      <c r="U191" s="37" t="s">
        <v>690</v>
      </c>
      <c r="V191" s="160">
        <v>3</v>
      </c>
      <c r="W191" s="10"/>
      <c r="X191" s="10"/>
      <c r="Y191" s="10"/>
      <c r="Z191" s="10"/>
      <c r="AA191" s="34">
        <v>305</v>
      </c>
      <c r="AB191" s="10">
        <v>152</v>
      </c>
      <c r="AC191" s="10">
        <v>304</v>
      </c>
      <c r="AD191" s="10" t="s">
        <v>749</v>
      </c>
      <c r="AE191" s="10"/>
      <c r="AF191" s="10"/>
      <c r="AG191" s="10"/>
      <c r="AH191" s="10"/>
      <c r="AI191" s="10"/>
      <c r="AJ191" s="10"/>
      <c r="AK191" s="10"/>
      <c r="AL191" s="10"/>
      <c r="AM191" s="10"/>
      <c r="AN191" s="10"/>
      <c r="AO191" s="10"/>
      <c r="AP191" s="10"/>
      <c r="AQ191" s="27"/>
    </row>
    <row r="192" spans="1:43" ht="48" x14ac:dyDescent="0.25">
      <c r="A192" s="34">
        <v>0</v>
      </c>
      <c r="B192" s="34">
        <v>0</v>
      </c>
      <c r="C192" s="34">
        <v>0</v>
      </c>
      <c r="D192" s="34">
        <v>0</v>
      </c>
      <c r="E192" s="34">
        <v>0</v>
      </c>
      <c r="F192" s="74">
        <v>0</v>
      </c>
      <c r="G192" s="34">
        <v>0</v>
      </c>
      <c r="H192" s="36">
        <v>0</v>
      </c>
      <c r="I192" s="39"/>
      <c r="J192" s="39"/>
      <c r="K192" s="39"/>
      <c r="L192" s="39"/>
      <c r="M192" s="39"/>
      <c r="N192" s="36">
        <f t="shared" si="3"/>
        <v>0</v>
      </c>
      <c r="O192" s="36">
        <f t="shared" si="3"/>
        <v>0</v>
      </c>
      <c r="P192" s="36">
        <f t="shared" si="3"/>
        <v>0</v>
      </c>
      <c r="Q192" s="36"/>
      <c r="R192" s="36"/>
      <c r="S192" s="36">
        <f t="shared" si="4"/>
        <v>0</v>
      </c>
      <c r="T192" s="37" t="s">
        <v>750</v>
      </c>
      <c r="U192" s="37" t="s">
        <v>751</v>
      </c>
      <c r="V192" s="160">
        <v>2</v>
      </c>
      <c r="W192" s="10"/>
      <c r="X192" s="10"/>
      <c r="Y192" s="10"/>
      <c r="Z192" s="10"/>
      <c r="AA192" s="34">
        <v>305</v>
      </c>
      <c r="AB192" s="10"/>
      <c r="AC192" s="10"/>
      <c r="AD192" s="10" t="s">
        <v>752</v>
      </c>
      <c r="AE192" s="10"/>
      <c r="AF192" s="10"/>
      <c r="AG192" s="10"/>
      <c r="AH192" s="10"/>
      <c r="AI192" s="10"/>
      <c r="AJ192" s="10"/>
      <c r="AK192" s="10"/>
      <c r="AL192" s="10"/>
      <c r="AM192" s="10"/>
      <c r="AN192" s="10"/>
      <c r="AO192" s="10"/>
      <c r="AP192" s="10"/>
      <c r="AQ192" s="27"/>
    </row>
    <row r="193" spans="1:43" ht="45" x14ac:dyDescent="0.25">
      <c r="A193" s="34">
        <v>0</v>
      </c>
      <c r="B193" s="34">
        <v>0</v>
      </c>
      <c r="C193" s="34">
        <v>0</v>
      </c>
      <c r="D193" s="34">
        <v>0</v>
      </c>
      <c r="E193" s="34">
        <v>0</v>
      </c>
      <c r="F193" s="74">
        <v>0</v>
      </c>
      <c r="G193" s="34">
        <v>0</v>
      </c>
      <c r="H193" s="36">
        <v>0</v>
      </c>
      <c r="I193" s="39"/>
      <c r="J193" s="39"/>
      <c r="K193" s="39"/>
      <c r="L193" s="39"/>
      <c r="M193" s="39"/>
      <c r="N193" s="36">
        <f t="shared" si="3"/>
        <v>0</v>
      </c>
      <c r="O193" s="36">
        <f t="shared" si="3"/>
        <v>0</v>
      </c>
      <c r="P193" s="36">
        <f t="shared" si="3"/>
        <v>0</v>
      </c>
      <c r="Q193" s="36"/>
      <c r="R193" s="36"/>
      <c r="S193" s="36">
        <f t="shared" si="4"/>
        <v>0</v>
      </c>
      <c r="T193" s="37" t="s">
        <v>753</v>
      </c>
      <c r="U193" s="37" t="s">
        <v>266</v>
      </c>
      <c r="V193" s="160">
        <v>20</v>
      </c>
      <c r="W193" s="10"/>
      <c r="X193" s="10"/>
      <c r="Y193" s="10"/>
      <c r="Z193" s="10"/>
      <c r="AA193" s="34">
        <v>305</v>
      </c>
      <c r="AB193" s="10"/>
      <c r="AC193" s="10">
        <v>365</v>
      </c>
      <c r="AD193" s="10" t="s">
        <v>749</v>
      </c>
      <c r="AE193" s="10"/>
      <c r="AF193" s="10"/>
      <c r="AG193" s="10"/>
      <c r="AH193" s="10"/>
      <c r="AI193" s="10"/>
      <c r="AJ193" s="10"/>
      <c r="AK193" s="10"/>
      <c r="AL193" s="10"/>
      <c r="AM193" s="10"/>
      <c r="AN193" s="10"/>
      <c r="AO193" s="10"/>
      <c r="AP193" s="10"/>
      <c r="AQ193" s="27"/>
    </row>
    <row r="194" spans="1:43" ht="84" x14ac:dyDescent="0.25">
      <c r="A194" s="34" t="s">
        <v>55</v>
      </c>
      <c r="B194" s="34" t="s">
        <v>354</v>
      </c>
      <c r="C194" s="34" t="s">
        <v>355</v>
      </c>
      <c r="D194" s="34">
        <v>241120600</v>
      </c>
      <c r="E194" s="34">
        <v>12267090</v>
      </c>
      <c r="F194" s="74" t="s">
        <v>462</v>
      </c>
      <c r="G194" s="34" t="s">
        <v>466</v>
      </c>
      <c r="H194" s="36">
        <v>344815000</v>
      </c>
      <c r="I194" s="39"/>
      <c r="J194" s="39">
        <v>724667000</v>
      </c>
      <c r="K194" s="39"/>
      <c r="L194" s="39"/>
      <c r="M194" s="39"/>
      <c r="N194" s="36">
        <f t="shared" si="3"/>
        <v>344815000</v>
      </c>
      <c r="O194" s="36">
        <f t="shared" si="3"/>
        <v>0</v>
      </c>
      <c r="P194" s="36">
        <f t="shared" si="3"/>
        <v>724667000</v>
      </c>
      <c r="Q194" s="162">
        <v>287329662</v>
      </c>
      <c r="R194" s="36"/>
      <c r="S194" s="36">
        <f t="shared" si="4"/>
        <v>287329662</v>
      </c>
      <c r="T194" s="37" t="s">
        <v>754</v>
      </c>
      <c r="U194" s="37" t="s">
        <v>755</v>
      </c>
      <c r="V194" s="160">
        <v>1460</v>
      </c>
      <c r="W194" s="10"/>
      <c r="X194" s="10"/>
      <c r="Y194" s="10"/>
      <c r="Z194" s="10"/>
      <c r="AA194" s="34">
        <v>365</v>
      </c>
      <c r="AB194" s="10">
        <v>180</v>
      </c>
      <c r="AC194" s="10">
        <v>360</v>
      </c>
      <c r="AD194" s="10"/>
      <c r="AE194" s="10" t="s">
        <v>218</v>
      </c>
      <c r="AF194" s="10" t="s">
        <v>218</v>
      </c>
      <c r="AG194" s="10" t="s">
        <v>218</v>
      </c>
      <c r="AH194" s="10" t="s">
        <v>218</v>
      </c>
      <c r="AI194" s="10" t="s">
        <v>218</v>
      </c>
      <c r="AJ194" s="10" t="s">
        <v>218</v>
      </c>
      <c r="AK194" s="10" t="s">
        <v>218</v>
      </c>
      <c r="AL194" s="10" t="s">
        <v>218</v>
      </c>
      <c r="AM194" s="10" t="s">
        <v>218</v>
      </c>
      <c r="AN194" s="10" t="s">
        <v>218</v>
      </c>
      <c r="AO194" s="10" t="s">
        <v>218</v>
      </c>
      <c r="AP194" s="10" t="s">
        <v>218</v>
      </c>
      <c r="AQ194" s="27"/>
    </row>
    <row r="195" spans="1:43" ht="300" x14ac:dyDescent="0.25">
      <c r="A195" s="34" t="s">
        <v>55</v>
      </c>
      <c r="B195" s="34" t="s">
        <v>354</v>
      </c>
      <c r="C195" s="34" t="s">
        <v>355</v>
      </c>
      <c r="D195" s="34">
        <v>241120600</v>
      </c>
      <c r="E195" s="34">
        <v>12268001</v>
      </c>
      <c r="F195" s="74" t="s">
        <v>467</v>
      </c>
      <c r="G195" s="34" t="s">
        <v>468</v>
      </c>
      <c r="H195" s="36">
        <v>400000000</v>
      </c>
      <c r="I195" s="39">
        <v>425000000</v>
      </c>
      <c r="J195" s="39">
        <v>151654000</v>
      </c>
      <c r="K195" s="39"/>
      <c r="L195" s="39"/>
      <c r="M195" s="39"/>
      <c r="N195" s="36">
        <f t="shared" si="3"/>
        <v>400000000</v>
      </c>
      <c r="O195" s="36">
        <f t="shared" si="3"/>
        <v>425000000</v>
      </c>
      <c r="P195" s="36">
        <f t="shared" si="3"/>
        <v>151654000</v>
      </c>
      <c r="Q195" s="162">
        <v>149217382</v>
      </c>
      <c r="R195" s="36"/>
      <c r="S195" s="36">
        <f t="shared" si="4"/>
        <v>149217382</v>
      </c>
      <c r="T195" s="37" t="s">
        <v>756</v>
      </c>
      <c r="U195" s="37" t="s">
        <v>215</v>
      </c>
      <c r="V195" s="37">
        <v>49</v>
      </c>
      <c r="W195" s="10">
        <v>90</v>
      </c>
      <c r="X195" s="10"/>
      <c r="Y195" s="10">
        <v>107</v>
      </c>
      <c r="Z195" s="10">
        <v>107</v>
      </c>
      <c r="AA195" s="34">
        <v>335</v>
      </c>
      <c r="AB195" s="10">
        <v>167</v>
      </c>
      <c r="AC195" s="10">
        <v>330</v>
      </c>
      <c r="AD195" s="10" t="s">
        <v>757</v>
      </c>
      <c r="AE195" s="10">
        <v>0</v>
      </c>
      <c r="AF195" s="10" t="s">
        <v>218</v>
      </c>
      <c r="AG195" s="10" t="s">
        <v>218</v>
      </c>
      <c r="AH195" s="10" t="s">
        <v>218</v>
      </c>
      <c r="AI195" s="10" t="s">
        <v>218</v>
      </c>
      <c r="AJ195" s="10" t="s">
        <v>218</v>
      </c>
      <c r="AK195" s="10" t="s">
        <v>218</v>
      </c>
      <c r="AL195" s="10" t="s">
        <v>218</v>
      </c>
      <c r="AM195" s="10" t="s">
        <v>218</v>
      </c>
      <c r="AN195" s="10" t="s">
        <v>218</v>
      </c>
      <c r="AO195" s="10" t="s">
        <v>218</v>
      </c>
      <c r="AP195" s="10" t="s">
        <v>218</v>
      </c>
      <c r="AQ195" s="27"/>
    </row>
    <row r="196" spans="1:43" ht="132" x14ac:dyDescent="0.25">
      <c r="A196" s="34">
        <v>0</v>
      </c>
      <c r="B196" s="34">
        <v>0</v>
      </c>
      <c r="C196" s="34">
        <v>0</v>
      </c>
      <c r="D196" s="34">
        <v>0</v>
      </c>
      <c r="E196" s="34">
        <v>0</v>
      </c>
      <c r="F196" s="74">
        <v>0</v>
      </c>
      <c r="G196" s="34">
        <v>0</v>
      </c>
      <c r="H196" s="36">
        <v>0</v>
      </c>
      <c r="I196" s="39"/>
      <c r="J196" s="39"/>
      <c r="K196" s="39"/>
      <c r="L196" s="39"/>
      <c r="M196" s="39"/>
      <c r="N196" s="36">
        <f t="shared" si="3"/>
        <v>0</v>
      </c>
      <c r="O196" s="36">
        <f t="shared" si="3"/>
        <v>0</v>
      </c>
      <c r="P196" s="36">
        <f t="shared" si="3"/>
        <v>0</v>
      </c>
      <c r="Q196" s="36"/>
      <c r="R196" s="36"/>
      <c r="S196" s="36">
        <f t="shared" si="4"/>
        <v>0</v>
      </c>
      <c r="T196" s="37" t="s">
        <v>758</v>
      </c>
      <c r="U196" s="37" t="s">
        <v>215</v>
      </c>
      <c r="V196" s="37">
        <v>9</v>
      </c>
      <c r="W196" s="10">
        <v>20</v>
      </c>
      <c r="X196" s="10"/>
      <c r="Y196" s="10">
        <v>0</v>
      </c>
      <c r="Z196" s="10">
        <v>77</v>
      </c>
      <c r="AA196" s="34">
        <v>275</v>
      </c>
      <c r="AB196" s="10">
        <v>137</v>
      </c>
      <c r="AC196" s="10">
        <v>270</v>
      </c>
      <c r="AD196" s="10"/>
      <c r="AE196" s="10">
        <v>0</v>
      </c>
      <c r="AF196" s="10">
        <v>0</v>
      </c>
      <c r="AG196" s="10">
        <v>0</v>
      </c>
      <c r="AH196" s="10" t="s">
        <v>218</v>
      </c>
      <c r="AI196" s="10" t="s">
        <v>218</v>
      </c>
      <c r="AJ196" s="10" t="s">
        <v>218</v>
      </c>
      <c r="AK196" s="10" t="s">
        <v>218</v>
      </c>
      <c r="AL196" s="10" t="s">
        <v>218</v>
      </c>
      <c r="AM196" s="10" t="s">
        <v>218</v>
      </c>
      <c r="AN196" s="10" t="s">
        <v>218</v>
      </c>
      <c r="AO196" s="10" t="s">
        <v>218</v>
      </c>
      <c r="AP196" s="10" t="s">
        <v>218</v>
      </c>
      <c r="AQ196" s="27"/>
    </row>
    <row r="197" spans="1:43" ht="84" x14ac:dyDescent="0.25">
      <c r="A197" s="34">
        <v>0</v>
      </c>
      <c r="B197" s="34">
        <v>0</v>
      </c>
      <c r="C197" s="34">
        <v>0</v>
      </c>
      <c r="D197" s="34">
        <v>0</v>
      </c>
      <c r="E197" s="34">
        <v>0</v>
      </c>
      <c r="F197" s="74">
        <v>0</v>
      </c>
      <c r="G197" s="34">
        <v>0</v>
      </c>
      <c r="H197" s="36">
        <v>0</v>
      </c>
      <c r="I197" s="39"/>
      <c r="J197" s="39"/>
      <c r="K197" s="39"/>
      <c r="L197" s="39"/>
      <c r="M197" s="39"/>
      <c r="N197" s="36">
        <f t="shared" si="3"/>
        <v>0</v>
      </c>
      <c r="O197" s="36">
        <f t="shared" si="3"/>
        <v>0</v>
      </c>
      <c r="P197" s="36">
        <f t="shared" si="3"/>
        <v>0</v>
      </c>
      <c r="Q197" s="36"/>
      <c r="R197" s="36"/>
      <c r="S197" s="36">
        <f t="shared" si="4"/>
        <v>0</v>
      </c>
      <c r="T197" s="37" t="s">
        <v>759</v>
      </c>
      <c r="U197" s="37" t="s">
        <v>760</v>
      </c>
      <c r="V197" s="37">
        <v>8</v>
      </c>
      <c r="W197" s="10">
        <v>1</v>
      </c>
      <c r="X197" s="10"/>
      <c r="Y197" s="10">
        <v>1</v>
      </c>
      <c r="Z197" s="10"/>
      <c r="AA197" s="34">
        <v>180</v>
      </c>
      <c r="AB197" s="10">
        <v>90</v>
      </c>
      <c r="AC197" s="10">
        <v>180</v>
      </c>
      <c r="AD197" s="10" t="s">
        <v>761</v>
      </c>
      <c r="AE197" s="10">
        <v>0</v>
      </c>
      <c r="AF197" s="10">
        <v>0</v>
      </c>
      <c r="AG197" s="10" t="s">
        <v>218</v>
      </c>
      <c r="AH197" s="10" t="s">
        <v>218</v>
      </c>
      <c r="AI197" s="10" t="s">
        <v>218</v>
      </c>
      <c r="AJ197" s="10" t="s">
        <v>218</v>
      </c>
      <c r="AK197" s="10" t="s">
        <v>218</v>
      </c>
      <c r="AL197" s="10" t="s">
        <v>218</v>
      </c>
      <c r="AM197" s="10">
        <v>0</v>
      </c>
      <c r="AN197" s="10">
        <v>0</v>
      </c>
      <c r="AO197" s="10">
        <v>0</v>
      </c>
      <c r="AP197" s="10">
        <v>0</v>
      </c>
      <c r="AQ197" s="27"/>
    </row>
    <row r="198" spans="1:43" ht="60" x14ac:dyDescent="0.25">
      <c r="A198" s="34">
        <v>0</v>
      </c>
      <c r="B198" s="34">
        <v>0</v>
      </c>
      <c r="C198" s="34">
        <v>0</v>
      </c>
      <c r="D198" s="34">
        <v>0</v>
      </c>
      <c r="E198" s="34">
        <v>0</v>
      </c>
      <c r="F198" s="74">
        <v>0</v>
      </c>
      <c r="G198" s="34">
        <v>0</v>
      </c>
      <c r="H198" s="36">
        <v>0</v>
      </c>
      <c r="I198" s="39"/>
      <c r="J198" s="39"/>
      <c r="K198" s="39"/>
      <c r="L198" s="39"/>
      <c r="M198" s="39"/>
      <c r="N198" s="36">
        <f t="shared" si="3"/>
        <v>0</v>
      </c>
      <c r="O198" s="36">
        <f t="shared" si="3"/>
        <v>0</v>
      </c>
      <c r="P198" s="36">
        <f t="shared" si="3"/>
        <v>0</v>
      </c>
      <c r="Q198" s="36"/>
      <c r="R198" s="36"/>
      <c r="S198" s="36">
        <f t="shared" si="4"/>
        <v>0</v>
      </c>
      <c r="T198" s="37" t="s">
        <v>762</v>
      </c>
      <c r="U198" s="37" t="s">
        <v>760</v>
      </c>
      <c r="V198" s="37">
        <v>9</v>
      </c>
      <c r="W198" s="10">
        <v>24</v>
      </c>
      <c r="X198" s="10"/>
      <c r="Y198" s="10">
        <v>12</v>
      </c>
      <c r="Z198" s="10">
        <v>12</v>
      </c>
      <c r="AA198" s="34">
        <v>60</v>
      </c>
      <c r="AB198" s="10">
        <v>30</v>
      </c>
      <c r="AC198" s="10">
        <v>60</v>
      </c>
      <c r="AD198" s="10"/>
      <c r="AE198" s="10">
        <v>0</v>
      </c>
      <c r="AF198" s="10">
        <v>0</v>
      </c>
      <c r="AG198" s="10">
        <v>0</v>
      </c>
      <c r="AH198" s="10">
        <v>0</v>
      </c>
      <c r="AI198" s="10">
        <v>0</v>
      </c>
      <c r="AJ198" s="10" t="s">
        <v>218</v>
      </c>
      <c r="AK198" s="10" t="s">
        <v>218</v>
      </c>
      <c r="AL198" s="10">
        <v>0</v>
      </c>
      <c r="AM198" s="10">
        <v>0</v>
      </c>
      <c r="AN198" s="10">
        <v>0</v>
      </c>
      <c r="AO198" s="10">
        <v>0</v>
      </c>
      <c r="AP198" s="10">
        <v>0</v>
      </c>
      <c r="AQ198" s="27"/>
    </row>
    <row r="199" spans="1:43" ht="84" x14ac:dyDescent="0.25">
      <c r="A199" s="34">
        <v>0</v>
      </c>
      <c r="B199" s="34">
        <v>0</v>
      </c>
      <c r="C199" s="34">
        <v>0</v>
      </c>
      <c r="D199" s="34">
        <v>0</v>
      </c>
      <c r="E199" s="34">
        <v>0</v>
      </c>
      <c r="F199" s="74">
        <v>0</v>
      </c>
      <c r="G199" s="34">
        <v>0</v>
      </c>
      <c r="H199" s="36">
        <v>0</v>
      </c>
      <c r="I199" s="39"/>
      <c r="J199" s="39"/>
      <c r="K199" s="39"/>
      <c r="L199" s="39"/>
      <c r="M199" s="39"/>
      <c r="N199" s="36">
        <f t="shared" si="3"/>
        <v>0</v>
      </c>
      <c r="O199" s="36">
        <f t="shared" si="3"/>
        <v>0</v>
      </c>
      <c r="P199" s="36">
        <f t="shared" si="3"/>
        <v>0</v>
      </c>
      <c r="Q199" s="36"/>
      <c r="R199" s="36"/>
      <c r="S199" s="36">
        <f t="shared" si="4"/>
        <v>0</v>
      </c>
      <c r="T199" s="37" t="s">
        <v>763</v>
      </c>
      <c r="U199" s="37" t="s">
        <v>764</v>
      </c>
      <c r="V199" s="37">
        <v>23</v>
      </c>
      <c r="W199" s="10"/>
      <c r="X199" s="10"/>
      <c r="Y199" s="10">
        <v>0</v>
      </c>
      <c r="Z199" s="10">
        <v>23</v>
      </c>
      <c r="AA199" s="34">
        <v>275</v>
      </c>
      <c r="AB199" s="10">
        <v>137</v>
      </c>
      <c r="AC199" s="10">
        <v>270</v>
      </c>
      <c r="AD199" s="10"/>
      <c r="AE199" s="10">
        <v>0</v>
      </c>
      <c r="AF199" s="10">
        <v>0</v>
      </c>
      <c r="AG199" s="10">
        <v>0</v>
      </c>
      <c r="AH199" s="10" t="s">
        <v>218</v>
      </c>
      <c r="AI199" s="10" t="s">
        <v>218</v>
      </c>
      <c r="AJ199" s="10" t="s">
        <v>218</v>
      </c>
      <c r="AK199" s="10" t="s">
        <v>218</v>
      </c>
      <c r="AL199" s="10" t="s">
        <v>218</v>
      </c>
      <c r="AM199" s="10" t="s">
        <v>218</v>
      </c>
      <c r="AN199" s="10" t="s">
        <v>218</v>
      </c>
      <c r="AO199" s="10" t="s">
        <v>218</v>
      </c>
      <c r="AP199" s="10" t="s">
        <v>218</v>
      </c>
      <c r="AQ199" s="27"/>
    </row>
    <row r="200" spans="1:43" ht="36" x14ac:dyDescent="0.25">
      <c r="A200" s="34"/>
      <c r="B200" s="34"/>
      <c r="C200" s="34"/>
      <c r="D200" s="34"/>
      <c r="E200" s="34"/>
      <c r="F200" s="74"/>
      <c r="G200" s="34"/>
      <c r="H200" s="36"/>
      <c r="I200" s="39"/>
      <c r="J200" s="39"/>
      <c r="K200" s="39"/>
      <c r="L200" s="39"/>
      <c r="M200" s="39"/>
      <c r="N200" s="36"/>
      <c r="O200" s="36"/>
      <c r="P200" s="36"/>
      <c r="Q200" s="36"/>
      <c r="R200" s="36"/>
      <c r="S200" s="36"/>
      <c r="T200" s="37" t="s">
        <v>765</v>
      </c>
      <c r="U200" s="37" t="s">
        <v>316</v>
      </c>
      <c r="V200" s="37">
        <v>3</v>
      </c>
      <c r="W200" s="10"/>
      <c r="X200" s="10"/>
      <c r="Y200" s="10">
        <v>0</v>
      </c>
      <c r="Z200" s="10">
        <v>3</v>
      </c>
      <c r="AA200" s="34">
        <v>275</v>
      </c>
      <c r="AB200" s="10">
        <v>137</v>
      </c>
      <c r="AC200" s="10">
        <v>270</v>
      </c>
      <c r="AD200" s="10"/>
      <c r="AE200" s="10"/>
      <c r="AF200" s="10"/>
      <c r="AG200" s="10"/>
      <c r="AH200" s="10"/>
      <c r="AI200" s="10"/>
      <c r="AJ200" s="10"/>
      <c r="AK200" s="10"/>
      <c r="AL200" s="10"/>
      <c r="AM200" s="10"/>
      <c r="AN200" s="10"/>
      <c r="AO200" s="10"/>
      <c r="AP200" s="10"/>
      <c r="AQ200" s="27"/>
    </row>
    <row r="201" spans="1:43" ht="84" x14ac:dyDescent="0.25">
      <c r="A201" s="34" t="s">
        <v>55</v>
      </c>
      <c r="B201" s="34" t="s">
        <v>354</v>
      </c>
      <c r="C201" s="34" t="s">
        <v>355</v>
      </c>
      <c r="D201" s="34">
        <v>241120600</v>
      </c>
      <c r="E201" s="34">
        <v>12268090</v>
      </c>
      <c r="F201" s="74" t="s">
        <v>467</v>
      </c>
      <c r="G201" s="34" t="s">
        <v>469</v>
      </c>
      <c r="H201" s="36">
        <v>137926000</v>
      </c>
      <c r="I201" s="39">
        <v>157926000</v>
      </c>
      <c r="J201" s="39">
        <v>157926000</v>
      </c>
      <c r="K201" s="39"/>
      <c r="L201" s="39"/>
      <c r="M201" s="39"/>
      <c r="N201" s="36">
        <f t="shared" si="3"/>
        <v>137926000</v>
      </c>
      <c r="O201" s="36">
        <f t="shared" si="3"/>
        <v>157926000</v>
      </c>
      <c r="P201" s="36">
        <f t="shared" si="3"/>
        <v>157926000</v>
      </c>
      <c r="Q201" s="162">
        <v>67768161</v>
      </c>
      <c r="R201" s="36"/>
      <c r="S201" s="36">
        <f t="shared" si="4"/>
        <v>67768161</v>
      </c>
      <c r="T201" s="37" t="s">
        <v>766</v>
      </c>
      <c r="U201" s="37" t="s">
        <v>316</v>
      </c>
      <c r="V201" s="37">
        <v>1</v>
      </c>
      <c r="W201" s="10"/>
      <c r="X201" s="10"/>
      <c r="Y201" s="10">
        <v>1</v>
      </c>
      <c r="Z201" s="10">
        <v>1</v>
      </c>
      <c r="AA201" s="34">
        <v>365</v>
      </c>
      <c r="AB201" s="10">
        <v>182</v>
      </c>
      <c r="AC201" s="10">
        <v>365</v>
      </c>
      <c r="AD201" s="10"/>
      <c r="AE201" s="10" t="s">
        <v>218</v>
      </c>
      <c r="AF201" s="10" t="s">
        <v>218</v>
      </c>
      <c r="AG201" s="10" t="s">
        <v>218</v>
      </c>
      <c r="AH201" s="10" t="s">
        <v>218</v>
      </c>
      <c r="AI201" s="10" t="s">
        <v>218</v>
      </c>
      <c r="AJ201" s="10" t="s">
        <v>218</v>
      </c>
      <c r="AK201" s="10" t="s">
        <v>218</v>
      </c>
      <c r="AL201" s="10" t="s">
        <v>218</v>
      </c>
      <c r="AM201" s="10" t="s">
        <v>218</v>
      </c>
      <c r="AN201" s="10" t="s">
        <v>218</v>
      </c>
      <c r="AO201" s="10" t="s">
        <v>218</v>
      </c>
      <c r="AP201" s="10" t="s">
        <v>218</v>
      </c>
      <c r="AQ201" s="27"/>
    </row>
    <row r="202" spans="1:43" ht="120" x14ac:dyDescent="0.25">
      <c r="A202" s="34" t="s">
        <v>55</v>
      </c>
      <c r="B202" s="34" t="s">
        <v>354</v>
      </c>
      <c r="C202" s="34" t="s">
        <v>355</v>
      </c>
      <c r="D202" s="34">
        <v>241120600</v>
      </c>
      <c r="E202" s="34">
        <v>12269001</v>
      </c>
      <c r="F202" s="74" t="s">
        <v>470</v>
      </c>
      <c r="G202" s="34" t="s">
        <v>471</v>
      </c>
      <c r="H202" s="36">
        <v>73025000</v>
      </c>
      <c r="I202" s="39">
        <v>998970542</v>
      </c>
      <c r="J202" s="39">
        <v>944903142</v>
      </c>
      <c r="K202" s="39"/>
      <c r="L202" s="39"/>
      <c r="M202" s="39"/>
      <c r="N202" s="36">
        <f t="shared" si="3"/>
        <v>73025000</v>
      </c>
      <c r="O202" s="36">
        <f t="shared" si="3"/>
        <v>998970542</v>
      </c>
      <c r="P202" s="36">
        <f t="shared" si="3"/>
        <v>944903142</v>
      </c>
      <c r="Q202" s="162">
        <v>333459040</v>
      </c>
      <c r="R202" s="36"/>
      <c r="S202" s="36">
        <f t="shared" si="4"/>
        <v>333459040</v>
      </c>
      <c r="T202" s="37" t="s">
        <v>767</v>
      </c>
      <c r="U202" s="37" t="s">
        <v>768</v>
      </c>
      <c r="V202" s="37">
        <v>962</v>
      </c>
      <c r="W202" s="10"/>
      <c r="X202" s="10"/>
      <c r="Y202" s="10"/>
      <c r="Z202" s="10"/>
      <c r="AA202" s="34">
        <v>365</v>
      </c>
      <c r="AB202" s="10"/>
      <c r="AC202" s="10">
        <v>365</v>
      </c>
      <c r="AD202" s="10" t="s">
        <v>769</v>
      </c>
      <c r="AE202" s="10" t="s">
        <v>218</v>
      </c>
      <c r="AF202" s="10" t="s">
        <v>218</v>
      </c>
      <c r="AG202" s="10" t="s">
        <v>218</v>
      </c>
      <c r="AH202" s="10" t="s">
        <v>218</v>
      </c>
      <c r="AI202" s="10" t="s">
        <v>218</v>
      </c>
      <c r="AJ202" s="10" t="s">
        <v>218</v>
      </c>
      <c r="AK202" s="10" t="s">
        <v>218</v>
      </c>
      <c r="AL202" s="10" t="s">
        <v>218</v>
      </c>
      <c r="AM202" s="10" t="s">
        <v>218</v>
      </c>
      <c r="AN202" s="10" t="s">
        <v>218</v>
      </c>
      <c r="AO202" s="10" t="s">
        <v>218</v>
      </c>
      <c r="AP202" s="10" t="s">
        <v>218</v>
      </c>
      <c r="AQ202" s="27"/>
    </row>
    <row r="203" spans="1:43" ht="84" x14ac:dyDescent="0.25">
      <c r="A203" s="34"/>
      <c r="B203" s="34"/>
      <c r="C203" s="34"/>
      <c r="D203" s="34"/>
      <c r="E203" s="34"/>
      <c r="F203" s="74"/>
      <c r="G203" s="34"/>
      <c r="H203" s="36"/>
      <c r="I203" s="39"/>
      <c r="J203" s="39"/>
      <c r="K203" s="39"/>
      <c r="L203" s="39"/>
      <c r="M203" s="39"/>
      <c r="N203" s="36"/>
      <c r="O203" s="36"/>
      <c r="P203" s="36"/>
      <c r="Q203" s="36"/>
      <c r="R203" s="36"/>
      <c r="S203" s="36"/>
      <c r="T203" s="37" t="s">
        <v>770</v>
      </c>
      <c r="U203" s="37" t="s">
        <v>225</v>
      </c>
      <c r="V203" s="37"/>
      <c r="W203" s="10">
        <v>717</v>
      </c>
      <c r="X203" s="10"/>
      <c r="Y203" s="10">
        <v>289</v>
      </c>
      <c r="Z203" s="10">
        <v>545</v>
      </c>
      <c r="AA203" s="34"/>
      <c r="AB203" s="10">
        <v>365</v>
      </c>
      <c r="AC203" s="10">
        <v>185</v>
      </c>
      <c r="AD203" s="10"/>
      <c r="AE203" s="10" t="s">
        <v>218</v>
      </c>
      <c r="AF203" s="10" t="s">
        <v>218</v>
      </c>
      <c r="AG203" s="10" t="s">
        <v>218</v>
      </c>
      <c r="AH203" s="10" t="s">
        <v>218</v>
      </c>
      <c r="AI203" s="10" t="s">
        <v>218</v>
      </c>
      <c r="AJ203" s="10" t="s">
        <v>218</v>
      </c>
      <c r="AK203" s="10" t="s">
        <v>218</v>
      </c>
      <c r="AL203" s="10" t="s">
        <v>218</v>
      </c>
      <c r="AM203" s="10" t="s">
        <v>218</v>
      </c>
      <c r="AN203" s="10" t="s">
        <v>218</v>
      </c>
      <c r="AO203" s="10" t="s">
        <v>218</v>
      </c>
      <c r="AP203" s="10" t="s">
        <v>218</v>
      </c>
      <c r="AQ203" s="27"/>
    </row>
    <row r="204" spans="1:43" ht="60" x14ac:dyDescent="0.25">
      <c r="A204" s="34"/>
      <c r="B204" s="34"/>
      <c r="C204" s="34"/>
      <c r="D204" s="34"/>
      <c r="E204" s="34"/>
      <c r="F204" s="74"/>
      <c r="G204" s="34"/>
      <c r="H204" s="36"/>
      <c r="I204" s="39"/>
      <c r="J204" s="39"/>
      <c r="K204" s="39"/>
      <c r="L204" s="39"/>
      <c r="M204" s="39"/>
      <c r="N204" s="36"/>
      <c r="O204" s="36"/>
      <c r="P204" s="36"/>
      <c r="Q204" s="36"/>
      <c r="R204" s="36"/>
      <c r="S204" s="36"/>
      <c r="T204" s="37" t="s">
        <v>771</v>
      </c>
      <c r="U204" s="37" t="s">
        <v>225</v>
      </c>
      <c r="V204" s="37">
        <v>15</v>
      </c>
      <c r="W204" s="10">
        <v>1</v>
      </c>
      <c r="X204" s="10"/>
      <c r="Y204" s="10">
        <v>1</v>
      </c>
      <c r="Z204" s="10">
        <v>1</v>
      </c>
      <c r="AA204" s="34"/>
      <c r="AB204" s="10">
        <v>365</v>
      </c>
      <c r="AC204" s="10">
        <v>185</v>
      </c>
      <c r="AD204" s="10"/>
      <c r="AE204" s="10" t="s">
        <v>218</v>
      </c>
      <c r="AF204" s="10" t="s">
        <v>218</v>
      </c>
      <c r="AG204" s="10" t="s">
        <v>218</v>
      </c>
      <c r="AH204" s="10" t="s">
        <v>218</v>
      </c>
      <c r="AI204" s="10" t="s">
        <v>218</v>
      </c>
      <c r="AJ204" s="10" t="s">
        <v>218</v>
      </c>
      <c r="AK204" s="10" t="s">
        <v>218</v>
      </c>
      <c r="AL204" s="10" t="s">
        <v>218</v>
      </c>
      <c r="AM204" s="10" t="s">
        <v>218</v>
      </c>
      <c r="AN204" s="10" t="s">
        <v>218</v>
      </c>
      <c r="AO204" s="10" t="s">
        <v>218</v>
      </c>
      <c r="AP204" s="10" t="s">
        <v>218</v>
      </c>
      <c r="AQ204" s="27"/>
    </row>
    <row r="205" spans="1:43" ht="36" x14ac:dyDescent="0.25">
      <c r="A205" s="34"/>
      <c r="B205" s="34"/>
      <c r="C205" s="34"/>
      <c r="D205" s="34"/>
      <c r="E205" s="34"/>
      <c r="F205" s="74"/>
      <c r="G205" s="34"/>
      <c r="H205" s="36"/>
      <c r="I205" s="39"/>
      <c r="J205" s="39"/>
      <c r="K205" s="39"/>
      <c r="L205" s="39"/>
      <c r="M205" s="39"/>
      <c r="N205" s="36"/>
      <c r="O205" s="36"/>
      <c r="P205" s="36"/>
      <c r="Q205" s="36"/>
      <c r="R205" s="36"/>
      <c r="S205" s="36"/>
      <c r="T205" s="37" t="s">
        <v>772</v>
      </c>
      <c r="U205" s="37" t="s">
        <v>225</v>
      </c>
      <c r="V205" s="37">
        <v>50</v>
      </c>
      <c r="W205" s="10"/>
      <c r="X205" s="10"/>
      <c r="Y205" s="10">
        <v>0</v>
      </c>
      <c r="Z205" s="10">
        <v>40</v>
      </c>
      <c r="AA205" s="34"/>
      <c r="AB205" s="10">
        <v>365</v>
      </c>
      <c r="AC205" s="10">
        <v>185</v>
      </c>
      <c r="AD205" s="10"/>
      <c r="AE205" s="10"/>
      <c r="AF205" s="10"/>
      <c r="AG205" s="10"/>
      <c r="AH205" s="10"/>
      <c r="AI205" s="10"/>
      <c r="AJ205" s="10"/>
      <c r="AK205" s="10"/>
      <c r="AL205" s="10"/>
      <c r="AM205" s="10"/>
      <c r="AN205" s="10"/>
      <c r="AO205" s="10"/>
      <c r="AP205" s="10"/>
      <c r="AQ205" s="27"/>
    </row>
    <row r="206" spans="1:43" ht="51" customHeight="1" x14ac:dyDescent="0.25">
      <c r="A206" s="34"/>
      <c r="B206" s="34"/>
      <c r="C206" s="34"/>
      <c r="D206" s="34"/>
      <c r="E206" s="34"/>
      <c r="F206" s="74"/>
      <c r="G206" s="34"/>
      <c r="H206" s="36"/>
      <c r="I206" s="39"/>
      <c r="J206" s="39"/>
      <c r="K206" s="39"/>
      <c r="L206" s="39"/>
      <c r="M206" s="39"/>
      <c r="N206" s="36"/>
      <c r="O206" s="36"/>
      <c r="P206" s="36"/>
      <c r="Q206" s="36"/>
      <c r="R206" s="36"/>
      <c r="S206" s="36"/>
      <c r="T206" s="37" t="s">
        <v>773</v>
      </c>
      <c r="U206" s="37" t="s">
        <v>225</v>
      </c>
      <c r="V206" s="37">
        <v>18</v>
      </c>
      <c r="W206" s="10"/>
      <c r="X206" s="10"/>
      <c r="Y206" s="10">
        <v>0</v>
      </c>
      <c r="Z206" s="10">
        <v>2</v>
      </c>
      <c r="AA206" s="34"/>
      <c r="AB206" s="10">
        <v>365</v>
      </c>
      <c r="AC206" s="10">
        <v>185</v>
      </c>
      <c r="AD206" s="10"/>
      <c r="AE206" s="10" t="s">
        <v>218</v>
      </c>
      <c r="AF206" s="10" t="s">
        <v>218</v>
      </c>
      <c r="AG206" s="10" t="s">
        <v>218</v>
      </c>
      <c r="AH206" s="10" t="s">
        <v>218</v>
      </c>
      <c r="AI206" s="10" t="s">
        <v>218</v>
      </c>
      <c r="AJ206" s="10" t="s">
        <v>218</v>
      </c>
      <c r="AK206" s="10" t="s">
        <v>218</v>
      </c>
      <c r="AL206" s="10" t="s">
        <v>218</v>
      </c>
      <c r="AM206" s="10" t="s">
        <v>218</v>
      </c>
      <c r="AN206" s="10" t="s">
        <v>218</v>
      </c>
      <c r="AO206" s="10" t="s">
        <v>218</v>
      </c>
      <c r="AP206" s="10" t="s">
        <v>218</v>
      </c>
      <c r="AQ206" s="27"/>
    </row>
    <row r="207" spans="1:43" ht="48" x14ac:dyDescent="0.25">
      <c r="A207" s="34"/>
      <c r="B207" s="34"/>
      <c r="C207" s="34"/>
      <c r="D207" s="34"/>
      <c r="E207" s="34"/>
      <c r="F207" s="74"/>
      <c r="G207" s="34"/>
      <c r="H207" s="36"/>
      <c r="I207" s="39"/>
      <c r="J207" s="39"/>
      <c r="K207" s="39"/>
      <c r="L207" s="39"/>
      <c r="M207" s="39"/>
      <c r="N207" s="36"/>
      <c r="O207" s="36"/>
      <c r="P207" s="36"/>
      <c r="Q207" s="36"/>
      <c r="R207" s="36"/>
      <c r="S207" s="36"/>
      <c r="T207" s="37" t="s">
        <v>774</v>
      </c>
      <c r="U207" s="37" t="s">
        <v>225</v>
      </c>
      <c r="V207" s="37">
        <v>1</v>
      </c>
      <c r="W207" s="10"/>
      <c r="X207" s="10"/>
      <c r="Y207" s="10"/>
      <c r="Z207" s="10"/>
      <c r="AA207" s="34"/>
      <c r="AB207" s="10">
        <v>365</v>
      </c>
      <c r="AC207" s="10">
        <v>185</v>
      </c>
      <c r="AD207" s="10"/>
      <c r="AE207" s="10"/>
      <c r="AF207" s="10"/>
      <c r="AG207" s="10"/>
      <c r="AH207" s="10"/>
      <c r="AI207" s="10"/>
      <c r="AJ207" s="10"/>
      <c r="AK207" s="10"/>
      <c r="AL207" s="10"/>
      <c r="AM207" s="10"/>
      <c r="AN207" s="10"/>
      <c r="AO207" s="10"/>
      <c r="AP207" s="10"/>
      <c r="AQ207" s="27"/>
    </row>
    <row r="208" spans="1:43" s="27" customFormat="1" ht="60" x14ac:dyDescent="0.25">
      <c r="A208" s="34"/>
      <c r="B208" s="34"/>
      <c r="C208" s="34"/>
      <c r="D208" s="34"/>
      <c r="E208" s="34"/>
      <c r="F208" s="74"/>
      <c r="G208" s="34"/>
      <c r="H208" s="36"/>
      <c r="I208" s="39"/>
      <c r="J208" s="39"/>
      <c r="K208" s="39"/>
      <c r="L208" s="39"/>
      <c r="M208" s="39"/>
      <c r="N208" s="36"/>
      <c r="O208" s="36"/>
      <c r="P208" s="36"/>
      <c r="Q208" s="36"/>
      <c r="R208" s="36"/>
      <c r="S208" s="36"/>
      <c r="T208" s="37" t="s">
        <v>775</v>
      </c>
      <c r="U208" s="37" t="s">
        <v>215</v>
      </c>
      <c r="V208" s="37">
        <v>13000</v>
      </c>
      <c r="W208" s="10"/>
      <c r="X208" s="10"/>
      <c r="Y208" s="10"/>
      <c r="Z208" s="10">
        <v>18000</v>
      </c>
      <c r="AA208" s="34"/>
      <c r="AB208" s="10">
        <v>365</v>
      </c>
      <c r="AC208" s="10">
        <v>185</v>
      </c>
      <c r="AD208" s="10"/>
      <c r="AE208" s="10" t="s">
        <v>218</v>
      </c>
      <c r="AF208" s="10" t="s">
        <v>218</v>
      </c>
      <c r="AG208" s="10" t="s">
        <v>218</v>
      </c>
      <c r="AH208" s="10" t="s">
        <v>218</v>
      </c>
      <c r="AI208" s="10" t="s">
        <v>218</v>
      </c>
      <c r="AJ208" s="10" t="s">
        <v>218</v>
      </c>
      <c r="AK208" s="10" t="s">
        <v>218</v>
      </c>
      <c r="AL208" s="10" t="s">
        <v>218</v>
      </c>
      <c r="AM208" s="10" t="s">
        <v>218</v>
      </c>
      <c r="AN208" s="10" t="s">
        <v>218</v>
      </c>
      <c r="AO208" s="10" t="s">
        <v>218</v>
      </c>
      <c r="AP208" s="10" t="s">
        <v>218</v>
      </c>
    </row>
    <row r="209" spans="1:43" ht="36" x14ac:dyDescent="0.25">
      <c r="A209" s="34"/>
      <c r="B209" s="34"/>
      <c r="C209" s="34"/>
      <c r="D209" s="34"/>
      <c r="E209" s="34"/>
      <c r="F209" s="74"/>
      <c r="G209" s="34"/>
      <c r="H209" s="36"/>
      <c r="I209" s="39"/>
      <c r="J209" s="39"/>
      <c r="K209" s="39"/>
      <c r="L209" s="39"/>
      <c r="M209" s="39"/>
      <c r="N209" s="36"/>
      <c r="O209" s="36"/>
      <c r="P209" s="36"/>
      <c r="Q209" s="36"/>
      <c r="R209" s="36"/>
      <c r="S209" s="36"/>
      <c r="T209" s="37" t="s">
        <v>776</v>
      </c>
      <c r="U209" s="37" t="s">
        <v>225</v>
      </c>
      <c r="V209" s="37">
        <v>2</v>
      </c>
      <c r="W209" s="10"/>
      <c r="X209" s="10"/>
      <c r="Y209" s="10"/>
      <c r="Z209" s="10"/>
      <c r="AA209" s="34"/>
      <c r="AB209" s="10">
        <v>365</v>
      </c>
      <c r="AC209" s="10">
        <v>185</v>
      </c>
      <c r="AD209" s="10"/>
      <c r="AE209" s="10" t="s">
        <v>218</v>
      </c>
      <c r="AF209" s="10" t="s">
        <v>218</v>
      </c>
      <c r="AG209" s="10" t="s">
        <v>218</v>
      </c>
      <c r="AH209" s="10" t="s">
        <v>218</v>
      </c>
      <c r="AI209" s="10" t="s">
        <v>218</v>
      </c>
      <c r="AJ209" s="10" t="s">
        <v>218</v>
      </c>
      <c r="AK209" s="10" t="s">
        <v>218</v>
      </c>
      <c r="AL209" s="10" t="s">
        <v>218</v>
      </c>
      <c r="AM209" s="10" t="s">
        <v>218</v>
      </c>
      <c r="AN209" s="10" t="s">
        <v>218</v>
      </c>
      <c r="AO209" s="10" t="s">
        <v>218</v>
      </c>
      <c r="AP209" s="10" t="s">
        <v>218</v>
      </c>
      <c r="AQ209" s="27"/>
    </row>
    <row r="210" spans="1:43" ht="36" x14ac:dyDescent="0.25">
      <c r="A210" s="34"/>
      <c r="B210" s="34"/>
      <c r="C210" s="34"/>
      <c r="D210" s="34"/>
      <c r="E210" s="34"/>
      <c r="F210" s="74"/>
      <c r="G210" s="34"/>
      <c r="H210" s="36"/>
      <c r="I210" s="39"/>
      <c r="J210" s="39"/>
      <c r="K210" s="39"/>
      <c r="L210" s="39"/>
      <c r="M210" s="39"/>
      <c r="N210" s="36"/>
      <c r="O210" s="36"/>
      <c r="P210" s="36"/>
      <c r="Q210" s="36"/>
      <c r="R210" s="36"/>
      <c r="S210" s="36"/>
      <c r="T210" s="37" t="s">
        <v>777</v>
      </c>
      <c r="U210" s="37" t="s">
        <v>215</v>
      </c>
      <c r="V210" s="37">
        <v>1</v>
      </c>
      <c r="W210" s="10"/>
      <c r="X210" s="10"/>
      <c r="Y210" s="10"/>
      <c r="Z210" s="10">
        <v>1</v>
      </c>
      <c r="AA210" s="34"/>
      <c r="AB210" s="10">
        <v>365</v>
      </c>
      <c r="AC210" s="10">
        <v>185</v>
      </c>
      <c r="AD210" s="10"/>
      <c r="AE210" s="10" t="s">
        <v>218</v>
      </c>
      <c r="AF210" s="10" t="s">
        <v>218</v>
      </c>
      <c r="AG210" s="10" t="s">
        <v>218</v>
      </c>
      <c r="AH210" s="10" t="s">
        <v>218</v>
      </c>
      <c r="AI210" s="10" t="s">
        <v>218</v>
      </c>
      <c r="AJ210" s="10" t="s">
        <v>218</v>
      </c>
      <c r="AK210" s="10" t="s">
        <v>218</v>
      </c>
      <c r="AL210" s="10" t="s">
        <v>218</v>
      </c>
      <c r="AM210" s="10" t="s">
        <v>218</v>
      </c>
      <c r="AN210" s="10" t="s">
        <v>218</v>
      </c>
      <c r="AO210" s="10" t="s">
        <v>218</v>
      </c>
      <c r="AP210" s="10" t="s">
        <v>218</v>
      </c>
      <c r="AQ210" s="27"/>
    </row>
    <row r="211" spans="1:43" ht="84" x14ac:dyDescent="0.25">
      <c r="A211" s="34"/>
      <c r="B211" s="34"/>
      <c r="C211" s="34"/>
      <c r="D211" s="34"/>
      <c r="E211" s="34"/>
      <c r="F211" s="74"/>
      <c r="G211" s="34"/>
      <c r="H211" s="36"/>
      <c r="I211" s="39"/>
      <c r="J211" s="39"/>
      <c r="K211" s="39"/>
      <c r="L211" s="39"/>
      <c r="M211" s="39"/>
      <c r="N211" s="36"/>
      <c r="O211" s="36"/>
      <c r="P211" s="36"/>
      <c r="Q211" s="36"/>
      <c r="R211" s="36"/>
      <c r="S211" s="36"/>
      <c r="T211" s="37" t="s">
        <v>778</v>
      </c>
      <c r="U211" s="37" t="s">
        <v>215</v>
      </c>
      <c r="V211" s="37">
        <v>4</v>
      </c>
      <c r="W211" s="10"/>
      <c r="X211" s="10"/>
      <c r="Y211" s="10">
        <v>1</v>
      </c>
      <c r="Z211" s="10">
        <v>3</v>
      </c>
      <c r="AA211" s="34"/>
      <c r="AB211" s="10">
        <v>365</v>
      </c>
      <c r="AC211" s="10">
        <v>185</v>
      </c>
      <c r="AD211" s="10"/>
      <c r="AE211" s="10"/>
      <c r="AF211" s="10"/>
      <c r="AG211" s="10"/>
      <c r="AH211" s="10"/>
      <c r="AI211" s="10"/>
      <c r="AJ211" s="10"/>
      <c r="AK211" s="10"/>
      <c r="AL211" s="10"/>
      <c r="AM211" s="10"/>
      <c r="AN211" s="10"/>
      <c r="AO211" s="10"/>
      <c r="AP211" s="10"/>
      <c r="AQ211" s="27"/>
    </row>
    <row r="212" spans="1:43" s="27" customFormat="1" ht="105" x14ac:dyDescent="0.25">
      <c r="A212" s="34" t="s">
        <v>55</v>
      </c>
      <c r="B212" s="34" t="s">
        <v>354</v>
      </c>
      <c r="C212" s="34" t="s">
        <v>355</v>
      </c>
      <c r="D212" s="34">
        <v>241120600</v>
      </c>
      <c r="E212" s="34">
        <v>12269090</v>
      </c>
      <c r="F212" s="74" t="s">
        <v>470</v>
      </c>
      <c r="G212" s="34" t="s">
        <v>472</v>
      </c>
      <c r="H212" s="36">
        <v>164184000</v>
      </c>
      <c r="I212" s="39">
        <v>190184000</v>
      </c>
      <c r="J212" s="39">
        <v>190184000</v>
      </c>
      <c r="K212" s="39"/>
      <c r="L212" s="39"/>
      <c r="M212" s="39"/>
      <c r="N212" s="36">
        <f t="shared" ref="N212:P303" si="5">H212+K212</f>
        <v>164184000</v>
      </c>
      <c r="O212" s="36">
        <f t="shared" si="5"/>
        <v>190184000</v>
      </c>
      <c r="P212" s="36">
        <f t="shared" si="5"/>
        <v>190184000</v>
      </c>
      <c r="Q212" s="162">
        <v>146461288</v>
      </c>
      <c r="R212" s="36"/>
      <c r="S212" s="36">
        <f t="shared" ref="S212:S301" si="6">Q212+R212</f>
        <v>146461288</v>
      </c>
      <c r="T212" s="37" t="s">
        <v>779</v>
      </c>
      <c r="U212" s="37" t="s">
        <v>780</v>
      </c>
      <c r="V212" s="160">
        <v>57</v>
      </c>
      <c r="W212" s="10">
        <v>40</v>
      </c>
      <c r="X212" s="10"/>
      <c r="Y212" s="10"/>
      <c r="Z212" s="10"/>
      <c r="AA212" s="34">
        <v>305</v>
      </c>
      <c r="AB212" s="10">
        <v>365</v>
      </c>
      <c r="AC212" s="10">
        <v>185</v>
      </c>
      <c r="AD212" s="10" t="s">
        <v>781</v>
      </c>
      <c r="AE212" s="10"/>
      <c r="AF212" s="10"/>
      <c r="AG212" s="10"/>
      <c r="AH212" s="10"/>
      <c r="AI212" s="10"/>
      <c r="AJ212" s="10"/>
      <c r="AK212" s="10"/>
      <c r="AL212" s="10"/>
      <c r="AM212" s="10"/>
      <c r="AN212" s="10"/>
      <c r="AO212" s="10"/>
      <c r="AP212" s="10"/>
    </row>
    <row r="213" spans="1:43" s="27" customFormat="1" ht="120" x14ac:dyDescent="0.25">
      <c r="A213" s="34">
        <v>0</v>
      </c>
      <c r="B213" s="34">
        <v>0</v>
      </c>
      <c r="C213" s="34">
        <v>0</v>
      </c>
      <c r="D213" s="34">
        <v>0</v>
      </c>
      <c r="E213" s="34">
        <v>0</v>
      </c>
      <c r="F213" s="74">
        <v>0</v>
      </c>
      <c r="G213" s="34">
        <v>0</v>
      </c>
      <c r="H213" s="36">
        <v>0</v>
      </c>
      <c r="I213" s="39"/>
      <c r="J213" s="39"/>
      <c r="K213" s="39"/>
      <c r="L213" s="39"/>
      <c r="M213" s="39"/>
      <c r="N213" s="36">
        <f t="shared" si="5"/>
        <v>0</v>
      </c>
      <c r="O213" s="36">
        <f t="shared" si="5"/>
        <v>0</v>
      </c>
      <c r="P213" s="36">
        <f t="shared" si="5"/>
        <v>0</v>
      </c>
      <c r="Q213" s="36"/>
      <c r="R213" s="36"/>
      <c r="S213" s="36">
        <f t="shared" si="6"/>
        <v>0</v>
      </c>
      <c r="T213" s="37" t="s">
        <v>782</v>
      </c>
      <c r="U213" s="37" t="s">
        <v>783</v>
      </c>
      <c r="V213" s="160">
        <v>41</v>
      </c>
      <c r="W213" s="10">
        <v>20</v>
      </c>
      <c r="X213" s="10"/>
      <c r="Y213" s="10"/>
      <c r="Z213" s="10">
        <v>28</v>
      </c>
      <c r="AA213" s="34">
        <v>335</v>
      </c>
      <c r="AB213" s="10">
        <v>365</v>
      </c>
      <c r="AC213" s="10">
        <v>185</v>
      </c>
      <c r="AD213" s="10" t="s">
        <v>784</v>
      </c>
      <c r="AE213" s="10"/>
      <c r="AF213" s="10"/>
      <c r="AG213" s="10"/>
      <c r="AH213" s="10"/>
      <c r="AI213" s="10"/>
      <c r="AJ213" s="10"/>
      <c r="AK213" s="10"/>
      <c r="AL213" s="10"/>
      <c r="AM213" s="10"/>
      <c r="AN213" s="10"/>
      <c r="AO213" s="10"/>
      <c r="AP213" s="10"/>
    </row>
    <row r="214" spans="1:43" ht="72" x14ac:dyDescent="0.25">
      <c r="A214" s="34">
        <v>0</v>
      </c>
      <c r="B214" s="34">
        <v>0</v>
      </c>
      <c r="C214" s="34">
        <v>0</v>
      </c>
      <c r="D214" s="34">
        <v>0</v>
      </c>
      <c r="E214" s="34">
        <v>0</v>
      </c>
      <c r="F214" s="74">
        <v>0</v>
      </c>
      <c r="G214" s="34">
        <v>0</v>
      </c>
      <c r="H214" s="36">
        <v>0</v>
      </c>
      <c r="I214" s="39"/>
      <c r="J214" s="39"/>
      <c r="K214" s="39"/>
      <c r="L214" s="39"/>
      <c r="M214" s="39"/>
      <c r="N214" s="36">
        <f t="shared" si="5"/>
        <v>0</v>
      </c>
      <c r="O214" s="36">
        <f t="shared" si="5"/>
        <v>0</v>
      </c>
      <c r="P214" s="36">
        <f t="shared" si="5"/>
        <v>0</v>
      </c>
      <c r="Q214" s="36"/>
      <c r="R214" s="36"/>
      <c r="S214" s="36">
        <f t="shared" si="6"/>
        <v>0</v>
      </c>
      <c r="T214" s="37" t="s">
        <v>785</v>
      </c>
      <c r="U214" s="37" t="s">
        <v>316</v>
      </c>
      <c r="V214" s="160">
        <v>4</v>
      </c>
      <c r="W214" s="10"/>
      <c r="X214" s="10"/>
      <c r="Y214" s="10"/>
      <c r="Z214" s="10"/>
      <c r="AA214" s="34">
        <v>120</v>
      </c>
      <c r="AB214" s="10">
        <v>365</v>
      </c>
      <c r="AC214" s="10">
        <v>185</v>
      </c>
      <c r="AD214" s="10" t="s">
        <v>786</v>
      </c>
      <c r="AE214" s="10"/>
      <c r="AF214" s="10"/>
      <c r="AG214" s="10"/>
      <c r="AH214" s="10"/>
      <c r="AI214" s="10"/>
      <c r="AJ214" s="10"/>
      <c r="AK214" s="10"/>
      <c r="AL214" s="10"/>
      <c r="AM214" s="10"/>
      <c r="AN214" s="10"/>
      <c r="AO214" s="10"/>
      <c r="AP214" s="10"/>
      <c r="AQ214" s="27"/>
    </row>
    <row r="215" spans="1:43" ht="60" x14ac:dyDescent="0.25">
      <c r="A215" s="34">
        <v>0</v>
      </c>
      <c r="B215" s="34">
        <v>0</v>
      </c>
      <c r="C215" s="34">
        <v>0</v>
      </c>
      <c r="D215" s="34">
        <v>0</v>
      </c>
      <c r="E215" s="34">
        <v>0</v>
      </c>
      <c r="F215" s="74">
        <v>0</v>
      </c>
      <c r="G215" s="34">
        <v>0</v>
      </c>
      <c r="H215" s="36">
        <v>0</v>
      </c>
      <c r="I215" s="39"/>
      <c r="J215" s="39"/>
      <c r="K215" s="39"/>
      <c r="L215" s="39"/>
      <c r="M215" s="39"/>
      <c r="N215" s="36">
        <f t="shared" si="5"/>
        <v>0</v>
      </c>
      <c r="O215" s="36">
        <f t="shared" si="5"/>
        <v>0</v>
      </c>
      <c r="P215" s="36">
        <f t="shared" si="5"/>
        <v>0</v>
      </c>
      <c r="Q215" s="36"/>
      <c r="R215" s="36"/>
      <c r="S215" s="36">
        <f t="shared" si="6"/>
        <v>0</v>
      </c>
      <c r="T215" s="37" t="s">
        <v>787</v>
      </c>
      <c r="U215" s="37" t="s">
        <v>788</v>
      </c>
      <c r="V215" s="160">
        <v>1</v>
      </c>
      <c r="W215" s="10"/>
      <c r="X215" s="10"/>
      <c r="Y215" s="10"/>
      <c r="Z215" s="10">
        <v>1</v>
      </c>
      <c r="AA215" s="34">
        <v>335</v>
      </c>
      <c r="AB215" s="10">
        <v>365</v>
      </c>
      <c r="AC215" s="10">
        <v>185</v>
      </c>
      <c r="AD215" s="10" t="s">
        <v>789</v>
      </c>
      <c r="AE215" s="10"/>
      <c r="AF215" s="10"/>
      <c r="AG215" s="10"/>
      <c r="AH215" s="10"/>
      <c r="AI215" s="10"/>
      <c r="AJ215" s="10"/>
      <c r="AK215" s="10"/>
      <c r="AL215" s="10"/>
      <c r="AM215" s="10"/>
      <c r="AN215" s="10"/>
      <c r="AO215" s="10"/>
      <c r="AP215" s="10"/>
      <c r="AQ215" s="27"/>
    </row>
    <row r="216" spans="1:43" ht="60" x14ac:dyDescent="0.25">
      <c r="A216" s="34">
        <v>0</v>
      </c>
      <c r="B216" s="34">
        <v>0</v>
      </c>
      <c r="C216" s="34">
        <v>0</v>
      </c>
      <c r="D216" s="34">
        <v>0</v>
      </c>
      <c r="E216" s="34">
        <v>0</v>
      </c>
      <c r="F216" s="74">
        <v>0</v>
      </c>
      <c r="G216" s="34">
        <v>0</v>
      </c>
      <c r="H216" s="36">
        <v>0</v>
      </c>
      <c r="I216" s="39"/>
      <c r="J216" s="39"/>
      <c r="K216" s="39"/>
      <c r="L216" s="39"/>
      <c r="M216" s="39"/>
      <c r="N216" s="36">
        <f t="shared" si="5"/>
        <v>0</v>
      </c>
      <c r="O216" s="36">
        <f t="shared" si="5"/>
        <v>0</v>
      </c>
      <c r="P216" s="36">
        <f t="shared" si="5"/>
        <v>0</v>
      </c>
      <c r="Q216" s="36"/>
      <c r="R216" s="36"/>
      <c r="S216" s="36">
        <f t="shared" si="6"/>
        <v>0</v>
      </c>
      <c r="T216" s="37" t="s">
        <v>790</v>
      </c>
      <c r="U216" s="37" t="s">
        <v>316</v>
      </c>
      <c r="V216" s="37">
        <v>1</v>
      </c>
      <c r="W216" s="10"/>
      <c r="X216" s="10"/>
      <c r="Y216" s="10"/>
      <c r="Z216" s="10">
        <v>1</v>
      </c>
      <c r="AA216" s="34">
        <v>365</v>
      </c>
      <c r="AB216" s="10">
        <v>365</v>
      </c>
      <c r="AC216" s="10">
        <v>185</v>
      </c>
      <c r="AD216" s="10" t="s">
        <v>791</v>
      </c>
      <c r="AE216" s="10"/>
      <c r="AF216" s="10"/>
      <c r="AG216" s="10"/>
      <c r="AH216" s="10"/>
      <c r="AI216" s="10"/>
      <c r="AJ216" s="10"/>
      <c r="AK216" s="10"/>
      <c r="AL216" s="10"/>
      <c r="AM216" s="10"/>
      <c r="AN216" s="10"/>
      <c r="AO216" s="10"/>
      <c r="AP216" s="10"/>
      <c r="AQ216" s="27"/>
    </row>
    <row r="217" spans="1:43" ht="84" x14ac:dyDescent="0.25">
      <c r="A217" s="34" t="s">
        <v>55</v>
      </c>
      <c r="B217" s="34" t="s">
        <v>354</v>
      </c>
      <c r="C217" s="34" t="s">
        <v>355</v>
      </c>
      <c r="D217" s="34">
        <v>241120600</v>
      </c>
      <c r="E217" s="34">
        <v>12270001</v>
      </c>
      <c r="F217" s="74" t="s">
        <v>473</v>
      </c>
      <c r="G217" s="34" t="s">
        <v>474</v>
      </c>
      <c r="H217" s="36">
        <v>70000000</v>
      </c>
      <c r="I217" s="39">
        <v>471461907</v>
      </c>
      <c r="J217" s="39">
        <v>471461907</v>
      </c>
      <c r="K217" s="39"/>
      <c r="L217" s="39"/>
      <c r="M217" s="39"/>
      <c r="N217" s="36">
        <f t="shared" si="5"/>
        <v>70000000</v>
      </c>
      <c r="O217" s="36">
        <f t="shared" si="5"/>
        <v>471461907</v>
      </c>
      <c r="P217" s="36">
        <f t="shared" si="5"/>
        <v>471461907</v>
      </c>
      <c r="Q217" s="162">
        <v>197316149</v>
      </c>
      <c r="R217" s="36"/>
      <c r="S217" s="36">
        <f t="shared" si="6"/>
        <v>197316149</v>
      </c>
      <c r="T217" s="10" t="s">
        <v>792</v>
      </c>
      <c r="U217" s="37" t="s">
        <v>793</v>
      </c>
      <c r="V217" s="160">
        <v>24</v>
      </c>
      <c r="W217" s="10">
        <v>23</v>
      </c>
      <c r="X217" s="10"/>
      <c r="Y217" s="10">
        <v>6</v>
      </c>
      <c r="Z217" s="10">
        <v>23</v>
      </c>
      <c r="AA217" s="34">
        <v>335</v>
      </c>
      <c r="AB217" s="10">
        <v>167</v>
      </c>
      <c r="AC217" s="10">
        <v>365</v>
      </c>
      <c r="AD217" s="10"/>
      <c r="AE217" s="10">
        <v>0</v>
      </c>
      <c r="AF217" s="10" t="s">
        <v>218</v>
      </c>
      <c r="AG217" s="10" t="s">
        <v>218</v>
      </c>
      <c r="AH217" s="10" t="s">
        <v>218</v>
      </c>
      <c r="AI217" s="10" t="s">
        <v>218</v>
      </c>
      <c r="AJ217" s="10" t="s">
        <v>218</v>
      </c>
      <c r="AK217" s="10" t="s">
        <v>218</v>
      </c>
      <c r="AL217" s="10" t="s">
        <v>218</v>
      </c>
      <c r="AM217" s="10" t="s">
        <v>218</v>
      </c>
      <c r="AN217" s="10" t="s">
        <v>218</v>
      </c>
      <c r="AO217" s="10" t="s">
        <v>218</v>
      </c>
      <c r="AP217" s="10" t="s">
        <v>218</v>
      </c>
      <c r="AQ217" s="27"/>
    </row>
    <row r="218" spans="1:43" ht="84" x14ac:dyDescent="0.25">
      <c r="A218" s="34" t="s">
        <v>55</v>
      </c>
      <c r="B218" s="34" t="s">
        <v>354</v>
      </c>
      <c r="C218" s="34" t="s">
        <v>355</v>
      </c>
      <c r="D218" s="34">
        <v>241120600</v>
      </c>
      <c r="E218" s="34">
        <v>12270002</v>
      </c>
      <c r="F218" s="74" t="s">
        <v>473</v>
      </c>
      <c r="G218" s="34" t="s">
        <v>474</v>
      </c>
      <c r="H218" s="36">
        <v>0</v>
      </c>
      <c r="I218" s="39">
        <v>51305342</v>
      </c>
      <c r="J218" s="39">
        <v>51305342</v>
      </c>
      <c r="K218" s="39"/>
      <c r="L218" s="39"/>
      <c r="M218" s="39"/>
      <c r="N218" s="36">
        <f t="shared" si="5"/>
        <v>0</v>
      </c>
      <c r="O218" s="36">
        <f t="shared" si="5"/>
        <v>51305342</v>
      </c>
      <c r="P218" s="36">
        <f t="shared" si="5"/>
        <v>51305342</v>
      </c>
      <c r="Q218" s="144">
        <v>0</v>
      </c>
      <c r="R218" s="36"/>
      <c r="S218" s="36">
        <f t="shared" si="6"/>
        <v>0</v>
      </c>
      <c r="T218" s="37" t="s">
        <v>794</v>
      </c>
      <c r="U218" s="37" t="s">
        <v>316</v>
      </c>
      <c r="V218" s="160">
        <v>125</v>
      </c>
      <c r="W218" s="10"/>
      <c r="X218" s="10"/>
      <c r="Y218" s="10">
        <v>54</v>
      </c>
      <c r="Z218" s="10">
        <v>105</v>
      </c>
      <c r="AA218" s="34">
        <v>365</v>
      </c>
      <c r="AB218" s="10">
        <v>182</v>
      </c>
      <c r="AC218" s="10">
        <v>365</v>
      </c>
      <c r="AD218" s="10"/>
      <c r="AE218" s="10" t="s">
        <v>218</v>
      </c>
      <c r="AF218" s="10" t="s">
        <v>218</v>
      </c>
      <c r="AG218" s="10" t="s">
        <v>218</v>
      </c>
      <c r="AH218" s="10" t="s">
        <v>218</v>
      </c>
      <c r="AI218" s="10" t="s">
        <v>218</v>
      </c>
      <c r="AJ218" s="10" t="s">
        <v>218</v>
      </c>
      <c r="AK218" s="10" t="s">
        <v>218</v>
      </c>
      <c r="AL218" s="10" t="s">
        <v>218</v>
      </c>
      <c r="AM218" s="10" t="s">
        <v>218</v>
      </c>
      <c r="AN218" s="10" t="s">
        <v>218</v>
      </c>
      <c r="AO218" s="10" t="s">
        <v>218</v>
      </c>
      <c r="AP218" s="10" t="s">
        <v>218</v>
      </c>
      <c r="AQ218" s="27"/>
    </row>
    <row r="219" spans="1:43" ht="36" x14ac:dyDescent="0.25">
      <c r="A219" s="34">
        <v>0</v>
      </c>
      <c r="B219" s="34">
        <v>0</v>
      </c>
      <c r="C219" s="34">
        <v>0</v>
      </c>
      <c r="D219" s="34">
        <v>0</v>
      </c>
      <c r="E219" s="34">
        <v>0</v>
      </c>
      <c r="F219" s="74">
        <v>0</v>
      </c>
      <c r="G219" s="34">
        <v>0</v>
      </c>
      <c r="H219" s="36">
        <v>0</v>
      </c>
      <c r="I219" s="39"/>
      <c r="J219" s="39"/>
      <c r="K219" s="39"/>
      <c r="L219" s="39"/>
      <c r="M219" s="39"/>
      <c r="N219" s="36">
        <f t="shared" si="5"/>
        <v>0</v>
      </c>
      <c r="O219" s="36">
        <f t="shared" si="5"/>
        <v>0</v>
      </c>
      <c r="P219" s="36">
        <f t="shared" si="5"/>
        <v>0</v>
      </c>
      <c r="Q219" s="36"/>
      <c r="R219" s="36"/>
      <c r="S219" s="36">
        <f t="shared" si="6"/>
        <v>0</v>
      </c>
      <c r="T219" s="37" t="s">
        <v>795</v>
      </c>
      <c r="U219" s="37" t="s">
        <v>316</v>
      </c>
      <c r="V219" s="160">
        <v>12</v>
      </c>
      <c r="W219" s="10">
        <v>48</v>
      </c>
      <c r="X219" s="10"/>
      <c r="Y219" s="10">
        <v>21</v>
      </c>
      <c r="Z219" s="10">
        <v>35</v>
      </c>
      <c r="AA219" s="34">
        <v>12</v>
      </c>
      <c r="AB219" s="10">
        <v>6</v>
      </c>
      <c r="AC219" s="10">
        <v>12</v>
      </c>
      <c r="AD219" s="10"/>
      <c r="AE219" s="10" t="s">
        <v>218</v>
      </c>
      <c r="AF219" s="10" t="s">
        <v>218</v>
      </c>
      <c r="AG219" s="10" t="s">
        <v>218</v>
      </c>
      <c r="AH219" s="10" t="s">
        <v>218</v>
      </c>
      <c r="AI219" s="10" t="s">
        <v>218</v>
      </c>
      <c r="AJ219" s="10" t="s">
        <v>218</v>
      </c>
      <c r="AK219" s="10" t="s">
        <v>218</v>
      </c>
      <c r="AL219" s="10" t="s">
        <v>218</v>
      </c>
      <c r="AM219" s="10" t="s">
        <v>218</v>
      </c>
      <c r="AN219" s="10" t="s">
        <v>218</v>
      </c>
      <c r="AO219" s="10" t="s">
        <v>218</v>
      </c>
      <c r="AP219" s="10" t="s">
        <v>218</v>
      </c>
      <c r="AQ219" s="27"/>
    </row>
    <row r="220" spans="1:43" ht="24" x14ac:dyDescent="0.25">
      <c r="A220" s="34">
        <v>0</v>
      </c>
      <c r="B220" s="34">
        <v>0</v>
      </c>
      <c r="C220" s="34">
        <v>0</v>
      </c>
      <c r="D220" s="34">
        <v>0</v>
      </c>
      <c r="E220" s="34">
        <v>0</v>
      </c>
      <c r="F220" s="74">
        <v>0</v>
      </c>
      <c r="G220" s="34">
        <v>0</v>
      </c>
      <c r="H220" s="36">
        <v>0</v>
      </c>
      <c r="I220" s="39"/>
      <c r="J220" s="39"/>
      <c r="K220" s="39"/>
      <c r="L220" s="39"/>
      <c r="M220" s="39"/>
      <c r="N220" s="36">
        <f t="shared" si="5"/>
        <v>0</v>
      </c>
      <c r="O220" s="36">
        <f t="shared" si="5"/>
        <v>0</v>
      </c>
      <c r="P220" s="36">
        <f t="shared" si="5"/>
        <v>0</v>
      </c>
      <c r="Q220" s="36"/>
      <c r="R220" s="36"/>
      <c r="S220" s="36">
        <f t="shared" si="6"/>
        <v>0</v>
      </c>
      <c r="T220" s="37" t="s">
        <v>796</v>
      </c>
      <c r="U220" s="37" t="s">
        <v>316</v>
      </c>
      <c r="V220" s="160">
        <v>6</v>
      </c>
      <c r="W220" s="10"/>
      <c r="X220" s="10"/>
      <c r="Y220" s="10">
        <v>0</v>
      </c>
      <c r="Z220" s="10">
        <v>3</v>
      </c>
      <c r="AA220" s="34">
        <v>180</v>
      </c>
      <c r="AB220" s="10">
        <v>90</v>
      </c>
      <c r="AC220" s="10">
        <v>180</v>
      </c>
      <c r="AD220" s="10"/>
      <c r="AE220" s="10">
        <v>0</v>
      </c>
      <c r="AF220" s="10" t="s">
        <v>218</v>
      </c>
      <c r="AG220" s="10">
        <v>0</v>
      </c>
      <c r="AH220" s="10" t="s">
        <v>218</v>
      </c>
      <c r="AI220" s="10">
        <v>0</v>
      </c>
      <c r="AJ220" s="10" t="s">
        <v>218</v>
      </c>
      <c r="AK220" s="10">
        <v>0</v>
      </c>
      <c r="AL220" s="10" t="s">
        <v>218</v>
      </c>
      <c r="AM220" s="10">
        <v>0</v>
      </c>
      <c r="AN220" s="10" t="s">
        <v>218</v>
      </c>
      <c r="AO220" s="10">
        <v>0</v>
      </c>
      <c r="AP220" s="10" t="s">
        <v>218</v>
      </c>
      <c r="AQ220" s="27"/>
    </row>
    <row r="221" spans="1:43" ht="45" x14ac:dyDescent="0.25">
      <c r="A221" s="34">
        <v>0</v>
      </c>
      <c r="B221" s="34">
        <v>0</v>
      </c>
      <c r="C221" s="34">
        <v>0</v>
      </c>
      <c r="D221" s="34">
        <v>0</v>
      </c>
      <c r="E221" s="34">
        <v>0</v>
      </c>
      <c r="F221" s="74">
        <v>0</v>
      </c>
      <c r="G221" s="34">
        <v>0</v>
      </c>
      <c r="H221" s="36">
        <v>0</v>
      </c>
      <c r="I221" s="39"/>
      <c r="J221" s="39"/>
      <c r="K221" s="39"/>
      <c r="L221" s="39"/>
      <c r="M221" s="39"/>
      <c r="N221" s="36">
        <f t="shared" si="5"/>
        <v>0</v>
      </c>
      <c r="O221" s="36">
        <f t="shared" si="5"/>
        <v>0</v>
      </c>
      <c r="P221" s="36">
        <f t="shared" si="5"/>
        <v>0</v>
      </c>
      <c r="Q221" s="36"/>
      <c r="R221" s="36"/>
      <c r="S221" s="36">
        <f t="shared" si="6"/>
        <v>0</v>
      </c>
      <c r="T221" s="37" t="s">
        <v>797</v>
      </c>
      <c r="U221" s="37" t="s">
        <v>316</v>
      </c>
      <c r="V221" s="160">
        <v>2</v>
      </c>
      <c r="W221" s="10"/>
      <c r="X221" s="10"/>
      <c r="Y221" s="10">
        <v>0</v>
      </c>
      <c r="Z221" s="10"/>
      <c r="AA221" s="34">
        <v>60</v>
      </c>
      <c r="AB221" s="10"/>
      <c r="AC221" s="10">
        <v>365</v>
      </c>
      <c r="AD221" s="10" t="s">
        <v>798</v>
      </c>
      <c r="AE221" s="10">
        <v>0</v>
      </c>
      <c r="AF221" s="10">
        <v>0</v>
      </c>
      <c r="AG221" s="10"/>
      <c r="AH221" s="10"/>
      <c r="AI221" s="10"/>
      <c r="AJ221" s="10"/>
      <c r="AK221" s="10"/>
      <c r="AL221" s="10"/>
      <c r="AM221" s="10"/>
      <c r="AN221" s="10">
        <v>0</v>
      </c>
      <c r="AO221" s="10">
        <v>0</v>
      </c>
      <c r="AP221" s="10">
        <v>0</v>
      </c>
      <c r="AQ221" s="27"/>
    </row>
    <row r="222" spans="1:43" ht="89.25" x14ac:dyDescent="0.25">
      <c r="A222" s="34">
        <v>0</v>
      </c>
      <c r="B222" s="34">
        <v>0</v>
      </c>
      <c r="C222" s="34">
        <v>0</v>
      </c>
      <c r="D222" s="34">
        <v>0</v>
      </c>
      <c r="E222" s="34">
        <v>0</v>
      </c>
      <c r="F222" s="74">
        <v>0</v>
      </c>
      <c r="G222" s="34">
        <v>0</v>
      </c>
      <c r="H222" s="36">
        <v>0</v>
      </c>
      <c r="I222" s="39"/>
      <c r="J222" s="39"/>
      <c r="K222" s="39"/>
      <c r="L222" s="39"/>
      <c r="M222" s="39"/>
      <c r="N222" s="36">
        <f t="shared" si="5"/>
        <v>0</v>
      </c>
      <c r="O222" s="36">
        <f t="shared" si="5"/>
        <v>0</v>
      </c>
      <c r="P222" s="36">
        <f t="shared" si="5"/>
        <v>0</v>
      </c>
      <c r="Q222" s="36"/>
      <c r="R222" s="36"/>
      <c r="S222" s="36">
        <f t="shared" si="6"/>
        <v>0</v>
      </c>
      <c r="T222" s="37" t="s">
        <v>799</v>
      </c>
      <c r="U222" s="37" t="s">
        <v>556</v>
      </c>
      <c r="V222" s="160">
        <v>125</v>
      </c>
      <c r="W222" s="10">
        <v>12</v>
      </c>
      <c r="X222" s="10"/>
      <c r="Y222" s="10"/>
      <c r="Z222" s="10"/>
      <c r="AA222" s="34">
        <v>365</v>
      </c>
      <c r="AB222" s="10">
        <v>182</v>
      </c>
      <c r="AC222" s="10">
        <v>365</v>
      </c>
      <c r="AD222" s="177" t="s">
        <v>800</v>
      </c>
      <c r="AE222" s="10" t="s">
        <v>218</v>
      </c>
      <c r="AF222" s="10" t="s">
        <v>218</v>
      </c>
      <c r="AG222" s="10" t="s">
        <v>218</v>
      </c>
      <c r="AH222" s="10" t="s">
        <v>218</v>
      </c>
      <c r="AI222" s="10" t="s">
        <v>218</v>
      </c>
      <c r="AJ222" s="10" t="s">
        <v>218</v>
      </c>
      <c r="AK222" s="10" t="s">
        <v>218</v>
      </c>
      <c r="AL222" s="10" t="s">
        <v>218</v>
      </c>
      <c r="AM222" s="10" t="s">
        <v>218</v>
      </c>
      <c r="AN222" s="10" t="s">
        <v>218</v>
      </c>
      <c r="AO222" s="10" t="s">
        <v>218</v>
      </c>
      <c r="AP222" s="10" t="s">
        <v>218</v>
      </c>
      <c r="AQ222" s="27"/>
    </row>
    <row r="223" spans="1:43" ht="84" x14ac:dyDescent="0.25">
      <c r="A223" s="34"/>
      <c r="B223" s="34"/>
      <c r="C223" s="34"/>
      <c r="D223" s="34"/>
      <c r="E223" s="34"/>
      <c r="F223" s="74"/>
      <c r="G223" s="34"/>
      <c r="H223" s="36"/>
      <c r="I223" s="39"/>
      <c r="J223" s="39"/>
      <c r="K223" s="39"/>
      <c r="L223" s="39"/>
      <c r="M223" s="39"/>
      <c r="N223" s="36"/>
      <c r="O223" s="36"/>
      <c r="P223" s="36"/>
      <c r="Q223" s="36"/>
      <c r="R223" s="36"/>
      <c r="S223" s="36"/>
      <c r="T223" s="37" t="s">
        <v>801</v>
      </c>
      <c r="U223" s="37" t="s">
        <v>225</v>
      </c>
      <c r="V223" s="160">
        <v>52</v>
      </c>
      <c r="W223" s="10"/>
      <c r="X223" s="10"/>
      <c r="Y223" s="10">
        <v>26</v>
      </c>
      <c r="Z223" s="10">
        <v>52</v>
      </c>
      <c r="AA223" s="34">
        <v>365</v>
      </c>
      <c r="AB223" s="10">
        <v>182</v>
      </c>
      <c r="AC223" s="10">
        <v>365</v>
      </c>
      <c r="AD223" s="10"/>
      <c r="AE223" s="10"/>
      <c r="AF223" s="10"/>
      <c r="AG223" s="10"/>
      <c r="AH223" s="10"/>
      <c r="AI223" s="10"/>
      <c r="AJ223" s="10"/>
      <c r="AK223" s="10"/>
      <c r="AL223" s="10"/>
      <c r="AM223" s="10"/>
      <c r="AN223" s="10"/>
      <c r="AO223" s="10"/>
      <c r="AP223" s="10"/>
      <c r="AQ223" s="27"/>
    </row>
    <row r="224" spans="1:43" ht="105" x14ac:dyDescent="0.25">
      <c r="A224" s="34">
        <v>0</v>
      </c>
      <c r="B224" s="34">
        <v>0</v>
      </c>
      <c r="C224" s="34">
        <v>0</v>
      </c>
      <c r="D224" s="34">
        <v>0</v>
      </c>
      <c r="E224" s="34">
        <v>0</v>
      </c>
      <c r="F224" s="74">
        <v>0</v>
      </c>
      <c r="G224" s="34">
        <v>0</v>
      </c>
      <c r="H224" s="36">
        <v>0</v>
      </c>
      <c r="I224" s="39"/>
      <c r="J224" s="39"/>
      <c r="K224" s="39"/>
      <c r="L224" s="39"/>
      <c r="M224" s="39"/>
      <c r="N224" s="36">
        <f t="shared" si="5"/>
        <v>0</v>
      </c>
      <c r="O224" s="36">
        <f t="shared" si="5"/>
        <v>0</v>
      </c>
      <c r="P224" s="36">
        <f t="shared" si="5"/>
        <v>0</v>
      </c>
      <c r="Q224" s="36"/>
      <c r="R224" s="36"/>
      <c r="S224" s="36">
        <f t="shared" si="6"/>
        <v>0</v>
      </c>
      <c r="T224" s="37" t="s">
        <v>802</v>
      </c>
      <c r="U224" s="37" t="s">
        <v>316</v>
      </c>
      <c r="V224" s="160">
        <v>4</v>
      </c>
      <c r="W224" s="10"/>
      <c r="X224" s="10"/>
      <c r="Y224" s="10"/>
      <c r="Z224" s="10">
        <v>2</v>
      </c>
      <c r="AA224" s="34">
        <v>120</v>
      </c>
      <c r="AB224" s="10"/>
      <c r="AC224" s="10">
        <v>365</v>
      </c>
      <c r="AD224" s="10" t="s">
        <v>803</v>
      </c>
      <c r="AE224" s="10">
        <v>0</v>
      </c>
      <c r="AF224" s="10">
        <v>0</v>
      </c>
      <c r="AG224" s="10"/>
      <c r="AH224" s="10"/>
      <c r="AI224" s="10"/>
      <c r="AJ224" s="10"/>
      <c r="AK224" s="10"/>
      <c r="AL224" s="10"/>
      <c r="AM224" s="10"/>
      <c r="AN224" s="10"/>
      <c r="AO224" s="10"/>
      <c r="AP224" s="10"/>
      <c r="AQ224" s="27"/>
    </row>
    <row r="225" spans="1:43" ht="90" x14ac:dyDescent="0.25">
      <c r="A225" s="34">
        <v>0</v>
      </c>
      <c r="B225" s="34">
        <v>0</v>
      </c>
      <c r="C225" s="34">
        <v>0</v>
      </c>
      <c r="D225" s="34">
        <v>0</v>
      </c>
      <c r="E225" s="34">
        <v>0</v>
      </c>
      <c r="F225" s="74">
        <v>0</v>
      </c>
      <c r="G225" s="34">
        <v>0</v>
      </c>
      <c r="H225" s="36">
        <v>0</v>
      </c>
      <c r="I225" s="39"/>
      <c r="J225" s="39"/>
      <c r="K225" s="39"/>
      <c r="L225" s="39"/>
      <c r="M225" s="39"/>
      <c r="N225" s="36">
        <f t="shared" si="5"/>
        <v>0</v>
      </c>
      <c r="O225" s="36">
        <f t="shared" si="5"/>
        <v>0</v>
      </c>
      <c r="P225" s="36">
        <f t="shared" si="5"/>
        <v>0</v>
      </c>
      <c r="Q225" s="36"/>
      <c r="R225" s="36"/>
      <c r="S225" s="36">
        <f t="shared" si="6"/>
        <v>0</v>
      </c>
      <c r="T225" s="37" t="s">
        <v>804</v>
      </c>
      <c r="U225" s="37" t="s">
        <v>805</v>
      </c>
      <c r="V225" s="160">
        <v>90</v>
      </c>
      <c r="W225" s="10"/>
      <c r="X225" s="10"/>
      <c r="Y225" s="10"/>
      <c r="Z225" s="10">
        <v>95.6</v>
      </c>
      <c r="AA225" s="34">
        <v>365</v>
      </c>
      <c r="AB225" s="10"/>
      <c r="AC225" s="10">
        <v>365</v>
      </c>
      <c r="AD225" s="10" t="s">
        <v>806</v>
      </c>
      <c r="AE225" s="10"/>
      <c r="AF225" s="10"/>
      <c r="AG225" s="10"/>
      <c r="AH225" s="10"/>
      <c r="AI225" s="10"/>
      <c r="AJ225" s="10"/>
      <c r="AK225" s="10"/>
      <c r="AL225" s="10"/>
      <c r="AM225" s="10"/>
      <c r="AN225" s="10"/>
      <c r="AO225" s="10"/>
      <c r="AP225" s="10"/>
      <c r="AQ225" s="27"/>
    </row>
    <row r="226" spans="1:43" ht="90" x14ac:dyDescent="0.25">
      <c r="A226" s="34">
        <v>0</v>
      </c>
      <c r="B226" s="34">
        <v>0</v>
      </c>
      <c r="C226" s="34">
        <v>0</v>
      </c>
      <c r="D226" s="34">
        <v>0</v>
      </c>
      <c r="E226" s="34">
        <v>0</v>
      </c>
      <c r="F226" s="74">
        <v>0</v>
      </c>
      <c r="G226" s="34">
        <v>0</v>
      </c>
      <c r="H226" s="36">
        <v>0</v>
      </c>
      <c r="I226" s="39"/>
      <c r="J226" s="39"/>
      <c r="K226" s="39"/>
      <c r="L226" s="39"/>
      <c r="M226" s="39"/>
      <c r="N226" s="36">
        <f t="shared" si="5"/>
        <v>0</v>
      </c>
      <c r="O226" s="36">
        <f t="shared" si="5"/>
        <v>0</v>
      </c>
      <c r="P226" s="36">
        <f t="shared" si="5"/>
        <v>0</v>
      </c>
      <c r="Q226" s="36"/>
      <c r="R226" s="36"/>
      <c r="S226" s="36">
        <f t="shared" si="6"/>
        <v>0</v>
      </c>
      <c r="T226" s="37" t="s">
        <v>807</v>
      </c>
      <c r="U226" s="37" t="s">
        <v>325</v>
      </c>
      <c r="V226" s="160">
        <v>100</v>
      </c>
      <c r="W226" s="10"/>
      <c r="X226" s="10"/>
      <c r="Y226" s="10"/>
      <c r="Z226" s="10">
        <v>96.6</v>
      </c>
      <c r="AA226" s="34">
        <v>365</v>
      </c>
      <c r="AB226" s="10"/>
      <c r="AC226" s="10">
        <v>365</v>
      </c>
      <c r="AD226" s="10" t="s">
        <v>806</v>
      </c>
      <c r="AE226" s="10"/>
      <c r="AF226" s="10"/>
      <c r="AG226" s="10"/>
      <c r="AH226" s="10"/>
      <c r="AI226" s="10"/>
      <c r="AJ226" s="10"/>
      <c r="AK226" s="10"/>
      <c r="AL226" s="10"/>
      <c r="AM226" s="10"/>
      <c r="AN226" s="10"/>
      <c r="AO226" s="10"/>
      <c r="AP226" s="10"/>
      <c r="AQ226" s="27"/>
    </row>
    <row r="227" spans="1:43" ht="45" x14ac:dyDescent="0.25">
      <c r="A227" s="34">
        <v>0</v>
      </c>
      <c r="B227" s="34">
        <v>0</v>
      </c>
      <c r="C227" s="34">
        <v>0</v>
      </c>
      <c r="D227" s="34">
        <v>0</v>
      </c>
      <c r="E227" s="34">
        <v>0</v>
      </c>
      <c r="F227" s="74">
        <v>0</v>
      </c>
      <c r="G227" s="34">
        <v>0</v>
      </c>
      <c r="H227" s="36">
        <v>0</v>
      </c>
      <c r="I227" s="39"/>
      <c r="J227" s="39"/>
      <c r="K227" s="39"/>
      <c r="L227" s="39"/>
      <c r="M227" s="39"/>
      <c r="N227" s="36">
        <f t="shared" si="5"/>
        <v>0</v>
      </c>
      <c r="O227" s="36">
        <f t="shared" si="5"/>
        <v>0</v>
      </c>
      <c r="P227" s="36">
        <f t="shared" si="5"/>
        <v>0</v>
      </c>
      <c r="Q227" s="36"/>
      <c r="R227" s="36"/>
      <c r="S227" s="36">
        <f t="shared" si="6"/>
        <v>0</v>
      </c>
      <c r="T227" s="37" t="s">
        <v>808</v>
      </c>
      <c r="U227" s="37" t="s">
        <v>325</v>
      </c>
      <c r="V227" s="160">
        <v>100</v>
      </c>
      <c r="W227" s="10"/>
      <c r="X227" s="10"/>
      <c r="Y227" s="10"/>
      <c r="Z227" s="10"/>
      <c r="AA227" s="34">
        <v>365</v>
      </c>
      <c r="AB227" s="10"/>
      <c r="AC227" s="10">
        <v>365</v>
      </c>
      <c r="AD227" s="10" t="s">
        <v>809</v>
      </c>
      <c r="AE227" s="10"/>
      <c r="AF227" s="10"/>
      <c r="AG227" s="10"/>
      <c r="AH227" s="10"/>
      <c r="AI227" s="10"/>
      <c r="AJ227" s="10"/>
      <c r="AK227" s="10"/>
      <c r="AL227" s="10"/>
      <c r="AM227" s="10"/>
      <c r="AN227" s="10"/>
      <c r="AO227" s="10"/>
      <c r="AP227" s="10"/>
      <c r="AQ227" s="27"/>
    </row>
    <row r="228" spans="1:43" ht="36" x14ac:dyDescent="0.25">
      <c r="A228" s="34">
        <v>0</v>
      </c>
      <c r="B228" s="34">
        <v>0</v>
      </c>
      <c r="C228" s="34">
        <v>0</v>
      </c>
      <c r="D228" s="34">
        <v>0</v>
      </c>
      <c r="E228" s="34">
        <v>0</v>
      </c>
      <c r="F228" s="74">
        <v>0</v>
      </c>
      <c r="G228" s="34">
        <v>0</v>
      </c>
      <c r="H228" s="36">
        <v>0</v>
      </c>
      <c r="I228" s="39"/>
      <c r="J228" s="39"/>
      <c r="K228" s="39"/>
      <c r="L228" s="39"/>
      <c r="M228" s="39"/>
      <c r="N228" s="36">
        <f t="shared" si="5"/>
        <v>0</v>
      </c>
      <c r="O228" s="36">
        <f t="shared" si="5"/>
        <v>0</v>
      </c>
      <c r="P228" s="36">
        <f t="shared" si="5"/>
        <v>0</v>
      </c>
      <c r="Q228" s="36"/>
      <c r="R228" s="36"/>
      <c r="S228" s="36">
        <f t="shared" si="6"/>
        <v>0</v>
      </c>
      <c r="T228" s="37" t="s">
        <v>810</v>
      </c>
      <c r="U228" s="37" t="s">
        <v>316</v>
      </c>
      <c r="V228" s="160">
        <v>12</v>
      </c>
      <c r="W228" s="10"/>
      <c r="X228" s="10"/>
      <c r="Y228" s="10">
        <v>6</v>
      </c>
      <c r="Z228" s="10">
        <v>6</v>
      </c>
      <c r="AA228" s="34">
        <v>365</v>
      </c>
      <c r="AB228" s="10">
        <v>182</v>
      </c>
      <c r="AC228" s="10">
        <v>365</v>
      </c>
      <c r="AD228" s="10"/>
      <c r="AE228" s="10" t="s">
        <v>218</v>
      </c>
      <c r="AF228" s="10" t="s">
        <v>218</v>
      </c>
      <c r="AG228" s="10" t="s">
        <v>218</v>
      </c>
      <c r="AH228" s="10" t="s">
        <v>218</v>
      </c>
      <c r="AI228" s="10" t="s">
        <v>218</v>
      </c>
      <c r="AJ228" s="10" t="s">
        <v>218</v>
      </c>
      <c r="AK228" s="10" t="s">
        <v>218</v>
      </c>
      <c r="AL228" s="10" t="s">
        <v>218</v>
      </c>
      <c r="AM228" s="10" t="s">
        <v>218</v>
      </c>
      <c r="AN228" s="10" t="s">
        <v>218</v>
      </c>
      <c r="AO228" s="10" t="s">
        <v>218</v>
      </c>
      <c r="AP228" s="10" t="s">
        <v>218</v>
      </c>
      <c r="AQ228" s="27"/>
    </row>
    <row r="229" spans="1:43" ht="60" x14ac:dyDescent="0.25">
      <c r="A229" s="34" t="s">
        <v>55</v>
      </c>
      <c r="B229" s="34" t="s">
        <v>354</v>
      </c>
      <c r="C229" s="34" t="s">
        <v>355</v>
      </c>
      <c r="D229" s="34">
        <v>241120600</v>
      </c>
      <c r="E229" s="34">
        <v>12270003</v>
      </c>
      <c r="F229" s="74" t="s">
        <v>473</v>
      </c>
      <c r="G229" s="34" t="s">
        <v>476</v>
      </c>
      <c r="H229" s="36"/>
      <c r="I229" s="39"/>
      <c r="J229" s="39">
        <v>447882736</v>
      </c>
      <c r="K229" s="39"/>
      <c r="L229" s="39"/>
      <c r="M229" s="39"/>
      <c r="N229" s="36"/>
      <c r="O229" s="36"/>
      <c r="P229" s="36"/>
      <c r="Q229" s="144">
        <v>0</v>
      </c>
      <c r="R229" s="36"/>
      <c r="S229" s="36"/>
      <c r="T229" s="37"/>
      <c r="U229" s="37"/>
      <c r="V229" s="160">
        <v>12</v>
      </c>
      <c r="W229" s="10"/>
      <c r="X229" s="10"/>
      <c r="Y229" s="10"/>
      <c r="Z229" s="10">
        <v>12</v>
      </c>
      <c r="AA229" s="34"/>
      <c r="AB229" s="10"/>
      <c r="AC229" s="10">
        <v>365</v>
      </c>
      <c r="AD229" s="10"/>
      <c r="AE229" s="10"/>
      <c r="AF229" s="10"/>
      <c r="AG229" s="10"/>
      <c r="AH229" s="10"/>
      <c r="AI229" s="10"/>
      <c r="AJ229" s="10"/>
      <c r="AK229" s="10"/>
      <c r="AL229" s="10"/>
      <c r="AM229" s="10"/>
      <c r="AN229" s="10"/>
      <c r="AO229" s="10"/>
      <c r="AP229" s="10"/>
      <c r="AQ229" s="27"/>
    </row>
    <row r="230" spans="1:43" ht="60" x14ac:dyDescent="0.25">
      <c r="A230" s="34" t="s">
        <v>55</v>
      </c>
      <c r="B230" s="34" t="s">
        <v>354</v>
      </c>
      <c r="C230" s="34" t="s">
        <v>355</v>
      </c>
      <c r="D230" s="34">
        <v>241120600</v>
      </c>
      <c r="E230" s="34">
        <v>12270090</v>
      </c>
      <c r="F230" s="74" t="s">
        <v>473</v>
      </c>
      <c r="G230" s="34" t="s">
        <v>476</v>
      </c>
      <c r="H230" s="36">
        <v>471251000</v>
      </c>
      <c r="I230" s="39">
        <v>734528000</v>
      </c>
      <c r="J230" s="39">
        <v>734528000</v>
      </c>
      <c r="K230" s="39"/>
      <c r="L230" s="39"/>
      <c r="M230" s="39"/>
      <c r="N230" s="36">
        <f t="shared" si="5"/>
        <v>471251000</v>
      </c>
      <c r="O230" s="36">
        <f t="shared" si="5"/>
        <v>734528000</v>
      </c>
      <c r="P230" s="36">
        <f t="shared" si="5"/>
        <v>734528000</v>
      </c>
      <c r="Q230" s="162">
        <v>624008785</v>
      </c>
      <c r="R230" s="36"/>
      <c r="S230" s="36">
        <f t="shared" si="6"/>
        <v>624008785</v>
      </c>
      <c r="T230" s="37" t="s">
        <v>811</v>
      </c>
      <c r="U230" s="10" t="s">
        <v>316</v>
      </c>
      <c r="V230" s="37">
        <v>12</v>
      </c>
      <c r="W230" s="10"/>
      <c r="X230" s="10"/>
      <c r="Y230" s="10">
        <v>12</v>
      </c>
      <c r="Z230" s="10"/>
      <c r="AA230" s="34">
        <v>365</v>
      </c>
      <c r="AB230" s="10">
        <v>182</v>
      </c>
      <c r="AC230" s="10">
        <v>365</v>
      </c>
      <c r="AD230" s="34" t="s">
        <v>812</v>
      </c>
      <c r="AE230" s="10" t="s">
        <v>218</v>
      </c>
      <c r="AF230" s="10" t="s">
        <v>218</v>
      </c>
      <c r="AG230" s="10" t="s">
        <v>218</v>
      </c>
      <c r="AH230" s="10" t="s">
        <v>218</v>
      </c>
      <c r="AI230" s="10" t="s">
        <v>218</v>
      </c>
      <c r="AJ230" s="10" t="s">
        <v>218</v>
      </c>
      <c r="AK230" s="10" t="s">
        <v>218</v>
      </c>
      <c r="AL230" s="10" t="s">
        <v>218</v>
      </c>
      <c r="AM230" s="10" t="s">
        <v>218</v>
      </c>
      <c r="AN230" s="10" t="s">
        <v>218</v>
      </c>
      <c r="AO230" s="10" t="s">
        <v>218</v>
      </c>
      <c r="AP230" s="10" t="s">
        <v>218</v>
      </c>
      <c r="AQ230" s="27"/>
    </row>
    <row r="231" spans="1:43" ht="72" x14ac:dyDescent="0.25">
      <c r="A231" s="34" t="s">
        <v>55</v>
      </c>
      <c r="B231" s="34" t="s">
        <v>354</v>
      </c>
      <c r="C231" s="34" t="s">
        <v>355</v>
      </c>
      <c r="D231" s="34">
        <v>241120600</v>
      </c>
      <c r="E231" s="34">
        <v>12272090</v>
      </c>
      <c r="F231" s="74" t="s">
        <v>478</v>
      </c>
      <c r="G231" s="34" t="s">
        <v>479</v>
      </c>
      <c r="H231" s="36">
        <v>1450390000</v>
      </c>
      <c r="I231" s="39">
        <v>1930110000</v>
      </c>
      <c r="J231" s="39">
        <v>1930110000</v>
      </c>
      <c r="K231" s="39"/>
      <c r="L231" s="39"/>
      <c r="M231" s="39"/>
      <c r="N231" s="36">
        <f t="shared" si="5"/>
        <v>1450390000</v>
      </c>
      <c r="O231" s="36">
        <f t="shared" si="5"/>
        <v>1930110000</v>
      </c>
      <c r="P231" s="36">
        <f t="shared" si="5"/>
        <v>1930110000</v>
      </c>
      <c r="Q231" s="162">
        <v>1150139600</v>
      </c>
      <c r="R231" s="36"/>
      <c r="S231" s="36">
        <f t="shared" si="6"/>
        <v>1150139600</v>
      </c>
      <c r="T231" s="37" t="s">
        <v>813</v>
      </c>
      <c r="U231" s="37" t="s">
        <v>225</v>
      </c>
      <c r="V231" s="37">
        <v>34</v>
      </c>
      <c r="W231" s="10">
        <v>1</v>
      </c>
      <c r="X231" s="10"/>
      <c r="Y231" s="10"/>
      <c r="Z231" s="10">
        <v>1</v>
      </c>
      <c r="AA231" s="34">
        <v>365</v>
      </c>
      <c r="AB231" s="10">
        <v>182</v>
      </c>
      <c r="AC231" s="10">
        <v>365</v>
      </c>
      <c r="AD231" s="34" t="s">
        <v>812</v>
      </c>
      <c r="AE231" s="10" t="s">
        <v>102</v>
      </c>
      <c r="AF231" s="10" t="s">
        <v>218</v>
      </c>
      <c r="AG231" s="10" t="s">
        <v>102</v>
      </c>
      <c r="AH231" s="10" t="s">
        <v>102</v>
      </c>
      <c r="AI231" s="10" t="s">
        <v>218</v>
      </c>
      <c r="AJ231" s="10" t="s">
        <v>102</v>
      </c>
      <c r="AK231" s="10" t="s">
        <v>102</v>
      </c>
      <c r="AL231" s="10" t="s">
        <v>102</v>
      </c>
      <c r="AM231" s="10" t="s">
        <v>102</v>
      </c>
      <c r="AN231" s="10" t="s">
        <v>218</v>
      </c>
      <c r="AO231" s="10" t="s">
        <v>102</v>
      </c>
      <c r="AP231" s="10" t="s">
        <v>102</v>
      </c>
      <c r="AQ231" s="27"/>
    </row>
    <row r="232" spans="1:43" ht="72" x14ac:dyDescent="0.25">
      <c r="A232" s="34" t="s">
        <v>55</v>
      </c>
      <c r="B232" s="34" t="s">
        <v>354</v>
      </c>
      <c r="C232" s="34" t="s">
        <v>355</v>
      </c>
      <c r="D232" s="34">
        <v>241120600</v>
      </c>
      <c r="E232" s="34">
        <v>12272001</v>
      </c>
      <c r="F232" s="74" t="s">
        <v>478</v>
      </c>
      <c r="G232" s="36" t="s">
        <v>479</v>
      </c>
      <c r="H232" s="36">
        <v>3163709000</v>
      </c>
      <c r="I232" s="39">
        <v>7591188948</v>
      </c>
      <c r="J232" s="39">
        <v>8796009692</v>
      </c>
      <c r="K232" s="39"/>
      <c r="L232" s="39"/>
      <c r="M232" s="39"/>
      <c r="N232" s="36">
        <f t="shared" si="5"/>
        <v>3163709000</v>
      </c>
      <c r="O232" s="36">
        <f t="shared" si="5"/>
        <v>7591188948</v>
      </c>
      <c r="P232" s="36">
        <f t="shared" si="5"/>
        <v>8796009692</v>
      </c>
      <c r="Q232" s="162">
        <v>5146565413</v>
      </c>
      <c r="R232" s="36"/>
      <c r="S232" s="36">
        <f t="shared" si="6"/>
        <v>5146565413</v>
      </c>
      <c r="T232" s="37" t="s">
        <v>814</v>
      </c>
      <c r="U232" s="37" t="s">
        <v>815</v>
      </c>
      <c r="V232" s="37">
        <v>3824</v>
      </c>
      <c r="W232" s="10"/>
      <c r="X232" s="10"/>
      <c r="Y232" s="10"/>
      <c r="Z232" s="10">
        <v>4472</v>
      </c>
      <c r="AA232" s="34"/>
      <c r="AB232" s="10">
        <v>220</v>
      </c>
      <c r="AC232" s="10">
        <v>365</v>
      </c>
      <c r="AD232" s="34" t="s">
        <v>816</v>
      </c>
      <c r="AE232" s="10" t="s">
        <v>102</v>
      </c>
      <c r="AF232" s="10" t="s">
        <v>218</v>
      </c>
      <c r="AG232" s="10" t="s">
        <v>102</v>
      </c>
      <c r="AH232" s="10" t="s">
        <v>102</v>
      </c>
      <c r="AI232" s="10" t="s">
        <v>218</v>
      </c>
      <c r="AJ232" s="10" t="s">
        <v>102</v>
      </c>
      <c r="AK232" s="10" t="s">
        <v>102</v>
      </c>
      <c r="AL232" s="10" t="s">
        <v>102</v>
      </c>
      <c r="AM232" s="10" t="s">
        <v>102</v>
      </c>
      <c r="AN232" s="10" t="s">
        <v>218</v>
      </c>
      <c r="AO232" s="10" t="s">
        <v>102</v>
      </c>
      <c r="AP232" s="10" t="s">
        <v>102</v>
      </c>
      <c r="AQ232" s="27"/>
    </row>
    <row r="233" spans="1:43" ht="72" x14ac:dyDescent="0.25">
      <c r="A233" s="34"/>
      <c r="B233" s="34"/>
      <c r="C233" s="34"/>
      <c r="D233" s="34"/>
      <c r="E233" s="34"/>
      <c r="F233" s="74"/>
      <c r="G233" s="34"/>
      <c r="H233" s="36"/>
      <c r="I233" s="39"/>
      <c r="J233" s="39"/>
      <c r="K233" s="39"/>
      <c r="L233" s="39"/>
      <c r="M233" s="39"/>
      <c r="N233" s="36"/>
      <c r="O233" s="36"/>
      <c r="P233" s="36"/>
      <c r="Q233" s="36"/>
      <c r="R233" s="36"/>
      <c r="S233" s="36"/>
      <c r="T233" s="37" t="s">
        <v>817</v>
      </c>
      <c r="U233" s="37" t="s">
        <v>818</v>
      </c>
      <c r="V233" s="37">
        <v>3000</v>
      </c>
      <c r="W233" s="10"/>
      <c r="X233" s="10"/>
      <c r="Y233" s="10"/>
      <c r="Z233" s="10">
        <v>12956</v>
      </c>
      <c r="AA233" s="34"/>
      <c r="AB233" s="10">
        <v>300</v>
      </c>
      <c r="AC233" s="10">
        <v>365</v>
      </c>
      <c r="AD233" s="34" t="s">
        <v>816</v>
      </c>
      <c r="AE233" s="10" t="s">
        <v>102</v>
      </c>
      <c r="AF233" s="10" t="s">
        <v>218</v>
      </c>
      <c r="AG233" s="10" t="s">
        <v>102</v>
      </c>
      <c r="AH233" s="10" t="s">
        <v>102</v>
      </c>
      <c r="AI233" s="10" t="s">
        <v>218</v>
      </c>
      <c r="AJ233" s="10" t="s">
        <v>102</v>
      </c>
      <c r="AK233" s="10" t="s">
        <v>102</v>
      </c>
      <c r="AL233" s="10" t="s">
        <v>102</v>
      </c>
      <c r="AM233" s="10" t="s">
        <v>102</v>
      </c>
      <c r="AN233" s="10" t="s">
        <v>218</v>
      </c>
      <c r="AO233" s="10" t="s">
        <v>102</v>
      </c>
      <c r="AP233" s="10" t="s">
        <v>102</v>
      </c>
      <c r="AQ233" s="27"/>
    </row>
    <row r="234" spans="1:43" ht="36" x14ac:dyDescent="0.25">
      <c r="A234" s="34"/>
      <c r="B234" s="34"/>
      <c r="C234" s="34"/>
      <c r="D234" s="34"/>
      <c r="E234" s="34"/>
      <c r="F234" s="74"/>
      <c r="G234" s="34"/>
      <c r="H234" s="36"/>
      <c r="I234" s="39"/>
      <c r="J234" s="39"/>
      <c r="K234" s="39"/>
      <c r="L234" s="39"/>
      <c r="M234" s="39"/>
      <c r="N234" s="36"/>
      <c r="O234" s="36"/>
      <c r="P234" s="36"/>
      <c r="Q234" s="36"/>
      <c r="R234" s="36"/>
      <c r="S234" s="36"/>
      <c r="T234" s="37" t="s">
        <v>819</v>
      </c>
      <c r="U234" s="37" t="s">
        <v>820</v>
      </c>
      <c r="V234" s="37">
        <v>250</v>
      </c>
      <c r="W234" s="10"/>
      <c r="X234" s="10"/>
      <c r="Y234" s="10"/>
      <c r="Z234" s="10">
        <v>931</v>
      </c>
      <c r="AA234" s="34"/>
      <c r="AB234" s="10">
        <v>172</v>
      </c>
      <c r="AC234" s="10">
        <v>350</v>
      </c>
      <c r="AD234" s="34" t="s">
        <v>816</v>
      </c>
      <c r="AE234" s="10" t="s">
        <v>102</v>
      </c>
      <c r="AF234" s="10" t="s">
        <v>218</v>
      </c>
      <c r="AG234" s="10" t="s">
        <v>102</v>
      </c>
      <c r="AH234" s="10" t="s">
        <v>102</v>
      </c>
      <c r="AI234" s="10" t="s">
        <v>218</v>
      </c>
      <c r="AJ234" s="10" t="s">
        <v>102</v>
      </c>
      <c r="AK234" s="10" t="s">
        <v>102</v>
      </c>
      <c r="AL234" s="10" t="s">
        <v>102</v>
      </c>
      <c r="AM234" s="10" t="s">
        <v>102</v>
      </c>
      <c r="AN234" s="10" t="s">
        <v>218</v>
      </c>
      <c r="AO234" s="10" t="s">
        <v>102</v>
      </c>
      <c r="AP234" s="10" t="s">
        <v>102</v>
      </c>
      <c r="AQ234" s="27"/>
    </row>
    <row r="235" spans="1:43" ht="48" x14ac:dyDescent="0.25">
      <c r="A235" s="34"/>
      <c r="B235" s="34"/>
      <c r="C235" s="34"/>
      <c r="D235" s="34"/>
      <c r="E235" s="34"/>
      <c r="F235" s="74"/>
      <c r="G235" s="34"/>
      <c r="H235" s="36"/>
      <c r="I235" s="39"/>
      <c r="J235" s="39"/>
      <c r="K235" s="39"/>
      <c r="L235" s="39"/>
      <c r="M235" s="39"/>
      <c r="N235" s="36"/>
      <c r="O235" s="36"/>
      <c r="P235" s="36"/>
      <c r="Q235" s="36"/>
      <c r="R235" s="36"/>
      <c r="S235" s="36"/>
      <c r="T235" s="37" t="s">
        <v>821</v>
      </c>
      <c r="U235" s="37" t="s">
        <v>822</v>
      </c>
      <c r="V235" s="37">
        <v>1600</v>
      </c>
      <c r="W235" s="10"/>
      <c r="X235" s="10"/>
      <c r="Y235" s="10"/>
      <c r="Z235" s="10">
        <v>1260</v>
      </c>
      <c r="AA235" s="34"/>
      <c r="AB235" s="10">
        <v>365</v>
      </c>
      <c r="AC235" s="10">
        <v>365</v>
      </c>
      <c r="AD235" s="34" t="s">
        <v>816</v>
      </c>
      <c r="AE235" s="10" t="s">
        <v>102</v>
      </c>
      <c r="AF235" s="10" t="s">
        <v>218</v>
      </c>
      <c r="AG235" s="10" t="s">
        <v>102</v>
      </c>
      <c r="AH235" s="10" t="s">
        <v>102</v>
      </c>
      <c r="AI235" s="10" t="s">
        <v>218</v>
      </c>
      <c r="AJ235" s="10" t="s">
        <v>102</v>
      </c>
      <c r="AK235" s="10" t="s">
        <v>102</v>
      </c>
      <c r="AL235" s="10" t="s">
        <v>102</v>
      </c>
      <c r="AM235" s="10" t="s">
        <v>102</v>
      </c>
      <c r="AN235" s="10" t="s">
        <v>218</v>
      </c>
      <c r="AO235" s="10" t="s">
        <v>102</v>
      </c>
      <c r="AP235" s="10" t="s">
        <v>102</v>
      </c>
      <c r="AQ235" s="27"/>
    </row>
    <row r="236" spans="1:43" ht="48" x14ac:dyDescent="0.25">
      <c r="A236" s="34"/>
      <c r="B236" s="34"/>
      <c r="C236" s="34"/>
      <c r="D236" s="34"/>
      <c r="E236" s="34"/>
      <c r="F236" s="74"/>
      <c r="G236" s="34"/>
      <c r="H236" s="36"/>
      <c r="I236" s="39"/>
      <c r="J236" s="39"/>
      <c r="K236" s="39"/>
      <c r="L236" s="39"/>
      <c r="M236" s="39"/>
      <c r="N236" s="36"/>
      <c r="O236" s="36"/>
      <c r="P236" s="36"/>
      <c r="Q236" s="36"/>
      <c r="R236" s="36"/>
      <c r="S236" s="36"/>
      <c r="T236" s="37" t="s">
        <v>823</v>
      </c>
      <c r="U236" s="37" t="s">
        <v>824</v>
      </c>
      <c r="V236" s="37">
        <v>1</v>
      </c>
      <c r="W236" s="10"/>
      <c r="X236" s="10"/>
      <c r="Y236" s="10"/>
      <c r="Z236" s="10">
        <v>2</v>
      </c>
      <c r="AA236" s="34"/>
      <c r="AB236" s="10">
        <v>0.3</v>
      </c>
      <c r="AC236" s="10">
        <v>1</v>
      </c>
      <c r="AD236" s="34" t="s">
        <v>825</v>
      </c>
      <c r="AE236" s="10" t="s">
        <v>102</v>
      </c>
      <c r="AF236" s="10" t="s">
        <v>218</v>
      </c>
      <c r="AG236" s="10" t="s">
        <v>102</v>
      </c>
      <c r="AH236" s="10" t="s">
        <v>102</v>
      </c>
      <c r="AI236" s="10" t="s">
        <v>218</v>
      </c>
      <c r="AJ236" s="10" t="s">
        <v>102</v>
      </c>
      <c r="AK236" s="10" t="s">
        <v>102</v>
      </c>
      <c r="AL236" s="10" t="s">
        <v>102</v>
      </c>
      <c r="AM236" s="10" t="s">
        <v>102</v>
      </c>
      <c r="AN236" s="10" t="s">
        <v>218</v>
      </c>
      <c r="AO236" s="10" t="s">
        <v>102</v>
      </c>
      <c r="AP236" s="10" t="s">
        <v>102</v>
      </c>
      <c r="AQ236" s="27"/>
    </row>
    <row r="237" spans="1:43" ht="24" x14ac:dyDescent="0.25">
      <c r="A237" s="34"/>
      <c r="B237" s="34"/>
      <c r="C237" s="34"/>
      <c r="D237" s="34"/>
      <c r="E237" s="34"/>
      <c r="F237" s="74"/>
      <c r="G237" s="34"/>
      <c r="H237" s="36"/>
      <c r="I237" s="39"/>
      <c r="J237" s="39"/>
      <c r="K237" s="39"/>
      <c r="L237" s="39"/>
      <c r="M237" s="39"/>
      <c r="N237" s="36"/>
      <c r="O237" s="36"/>
      <c r="P237" s="36"/>
      <c r="Q237" s="36"/>
      <c r="R237" s="36"/>
      <c r="S237" s="36"/>
      <c r="T237" s="37" t="s">
        <v>826</v>
      </c>
      <c r="U237" s="37" t="s">
        <v>827</v>
      </c>
      <c r="V237" s="37">
        <v>100</v>
      </c>
      <c r="W237" s="10"/>
      <c r="X237" s="10"/>
      <c r="Y237" s="10"/>
      <c r="Z237" s="10">
        <v>195</v>
      </c>
      <c r="AA237" s="34"/>
      <c r="AB237" s="10"/>
      <c r="AC237" s="10">
        <v>365</v>
      </c>
      <c r="AD237" s="34"/>
      <c r="AE237" s="10"/>
      <c r="AF237" s="10"/>
      <c r="AG237" s="10"/>
      <c r="AH237" s="10"/>
      <c r="AI237" s="10"/>
      <c r="AJ237" s="10"/>
      <c r="AK237" s="10"/>
      <c r="AL237" s="10"/>
      <c r="AM237" s="10"/>
      <c r="AN237" s="10"/>
      <c r="AO237" s="10"/>
      <c r="AP237" s="10"/>
      <c r="AQ237" s="27"/>
    </row>
    <row r="238" spans="1:43" ht="72" x14ac:dyDescent="0.25">
      <c r="A238" s="34" t="s">
        <v>55</v>
      </c>
      <c r="B238" s="34" t="s">
        <v>354</v>
      </c>
      <c r="C238" s="34" t="s">
        <v>355</v>
      </c>
      <c r="D238" s="34">
        <v>241120600</v>
      </c>
      <c r="E238" s="34">
        <v>12273001</v>
      </c>
      <c r="F238" s="74" t="s">
        <v>480</v>
      </c>
      <c r="G238" s="34" t="s">
        <v>481</v>
      </c>
      <c r="H238" s="36">
        <v>934462000</v>
      </c>
      <c r="I238" s="39">
        <v>1987510189</v>
      </c>
      <c r="J238" s="39">
        <v>1787510189</v>
      </c>
      <c r="K238" s="39"/>
      <c r="L238" s="39"/>
      <c r="M238" s="39"/>
      <c r="N238" s="36">
        <f t="shared" si="5"/>
        <v>934462000</v>
      </c>
      <c r="O238" s="36">
        <f t="shared" si="5"/>
        <v>1987510189</v>
      </c>
      <c r="P238" s="36">
        <f t="shared" si="5"/>
        <v>1787510189</v>
      </c>
      <c r="Q238" s="162">
        <v>1201331774</v>
      </c>
      <c r="R238" s="36"/>
      <c r="S238" s="36">
        <f t="shared" si="6"/>
        <v>1201331774</v>
      </c>
      <c r="T238" s="37" t="s">
        <v>828</v>
      </c>
      <c r="U238" s="37" t="s">
        <v>829</v>
      </c>
      <c r="V238" s="37">
        <v>124</v>
      </c>
      <c r="W238" s="10">
        <v>232000</v>
      </c>
      <c r="X238" s="10"/>
      <c r="Y238" s="10">
        <v>0</v>
      </c>
      <c r="Z238" s="10">
        <v>371520</v>
      </c>
      <c r="AA238" s="34">
        <v>335</v>
      </c>
      <c r="AB238" s="10">
        <v>167</v>
      </c>
      <c r="AC238" s="10">
        <v>330</v>
      </c>
      <c r="AD238" s="34" t="s">
        <v>830</v>
      </c>
      <c r="AE238" s="10">
        <v>0</v>
      </c>
      <c r="AF238" s="10" t="s">
        <v>218</v>
      </c>
      <c r="AG238" s="10" t="s">
        <v>218</v>
      </c>
      <c r="AH238" s="10" t="s">
        <v>218</v>
      </c>
      <c r="AI238" s="10" t="s">
        <v>218</v>
      </c>
      <c r="AJ238" s="10" t="s">
        <v>218</v>
      </c>
      <c r="AK238" s="10" t="s">
        <v>218</v>
      </c>
      <c r="AL238" s="10" t="s">
        <v>218</v>
      </c>
      <c r="AM238" s="10" t="s">
        <v>218</v>
      </c>
      <c r="AN238" s="10" t="s">
        <v>218</v>
      </c>
      <c r="AO238" s="10" t="s">
        <v>218</v>
      </c>
      <c r="AP238" s="10" t="s">
        <v>218</v>
      </c>
      <c r="AQ238" s="27"/>
    </row>
    <row r="239" spans="1:43" ht="48" x14ac:dyDescent="0.25">
      <c r="A239" s="34">
        <v>0</v>
      </c>
      <c r="B239" s="34">
        <v>0</v>
      </c>
      <c r="C239" s="34">
        <v>0</v>
      </c>
      <c r="D239" s="34">
        <v>0</v>
      </c>
      <c r="E239" s="34">
        <v>0</v>
      </c>
      <c r="F239" s="74">
        <v>0</v>
      </c>
      <c r="G239" s="34">
        <v>0</v>
      </c>
      <c r="H239" s="36">
        <v>0</v>
      </c>
      <c r="I239" s="39"/>
      <c r="J239" s="39"/>
      <c r="K239" s="39"/>
      <c r="L239" s="39"/>
      <c r="M239" s="39"/>
      <c r="N239" s="36">
        <f t="shared" si="5"/>
        <v>0</v>
      </c>
      <c r="O239" s="36">
        <f t="shared" si="5"/>
        <v>0</v>
      </c>
      <c r="P239" s="36">
        <f t="shared" si="5"/>
        <v>0</v>
      </c>
      <c r="Q239" s="36"/>
      <c r="R239" s="36"/>
      <c r="S239" s="36">
        <f t="shared" si="6"/>
        <v>0</v>
      </c>
      <c r="T239" s="37" t="s">
        <v>831</v>
      </c>
      <c r="U239" s="37" t="s">
        <v>832</v>
      </c>
      <c r="V239" s="160">
        <v>125</v>
      </c>
      <c r="W239" s="10">
        <v>400</v>
      </c>
      <c r="X239" s="10"/>
      <c r="Y239" s="10">
        <v>20</v>
      </c>
      <c r="Z239" s="10">
        <v>118</v>
      </c>
      <c r="AA239" s="34">
        <v>335</v>
      </c>
      <c r="AB239" s="10">
        <v>167</v>
      </c>
      <c r="AC239" s="10">
        <v>330</v>
      </c>
      <c r="AD239" s="34"/>
      <c r="AE239" s="10">
        <v>0</v>
      </c>
      <c r="AF239" s="10" t="s">
        <v>218</v>
      </c>
      <c r="AG239" s="10" t="s">
        <v>218</v>
      </c>
      <c r="AH239" s="10" t="s">
        <v>218</v>
      </c>
      <c r="AI239" s="10" t="s">
        <v>218</v>
      </c>
      <c r="AJ239" s="10" t="s">
        <v>218</v>
      </c>
      <c r="AK239" s="10" t="s">
        <v>218</v>
      </c>
      <c r="AL239" s="10" t="s">
        <v>218</v>
      </c>
      <c r="AM239" s="10" t="s">
        <v>218</v>
      </c>
      <c r="AN239" s="10" t="s">
        <v>218</v>
      </c>
      <c r="AO239" s="10" t="s">
        <v>218</v>
      </c>
      <c r="AP239" s="10" t="s">
        <v>218</v>
      </c>
      <c r="AQ239" s="27"/>
    </row>
    <row r="240" spans="1:43" ht="84" x14ac:dyDescent="0.25">
      <c r="A240" s="34">
        <v>0</v>
      </c>
      <c r="B240" s="34">
        <v>0</v>
      </c>
      <c r="C240" s="34">
        <v>0</v>
      </c>
      <c r="D240" s="34">
        <v>0</v>
      </c>
      <c r="E240" s="34">
        <v>0</v>
      </c>
      <c r="F240" s="74">
        <v>0</v>
      </c>
      <c r="G240" s="34">
        <v>0</v>
      </c>
      <c r="H240" s="36">
        <v>0</v>
      </c>
      <c r="I240" s="39"/>
      <c r="J240" s="39"/>
      <c r="K240" s="39"/>
      <c r="L240" s="39"/>
      <c r="M240" s="39"/>
      <c r="N240" s="36">
        <f t="shared" si="5"/>
        <v>0</v>
      </c>
      <c r="O240" s="36">
        <f t="shared" si="5"/>
        <v>0</v>
      </c>
      <c r="P240" s="36">
        <f t="shared" si="5"/>
        <v>0</v>
      </c>
      <c r="Q240" s="36"/>
      <c r="R240" s="36"/>
      <c r="S240" s="36">
        <f t="shared" si="6"/>
        <v>0</v>
      </c>
      <c r="T240" s="37" t="s">
        <v>833</v>
      </c>
      <c r="U240" s="10" t="s">
        <v>834</v>
      </c>
      <c r="V240" s="37">
        <v>300</v>
      </c>
      <c r="W240" s="10">
        <v>350</v>
      </c>
      <c r="X240" s="10"/>
      <c r="Y240" s="10">
        <v>637</v>
      </c>
      <c r="Z240" s="10">
        <v>118</v>
      </c>
      <c r="AA240" s="34">
        <v>118</v>
      </c>
      <c r="AB240" s="10">
        <v>167</v>
      </c>
      <c r="AC240" s="10">
        <v>330</v>
      </c>
      <c r="AD240" s="34"/>
      <c r="AE240" s="10">
        <v>0</v>
      </c>
      <c r="AF240" s="10" t="s">
        <v>218</v>
      </c>
      <c r="AG240" s="10" t="s">
        <v>218</v>
      </c>
      <c r="AH240" s="10" t="s">
        <v>218</v>
      </c>
      <c r="AI240" s="10" t="s">
        <v>218</v>
      </c>
      <c r="AJ240" s="10" t="s">
        <v>218</v>
      </c>
      <c r="AK240" s="10" t="s">
        <v>218</v>
      </c>
      <c r="AL240" s="10" t="s">
        <v>218</v>
      </c>
      <c r="AM240" s="10" t="s">
        <v>218</v>
      </c>
      <c r="AN240" s="10" t="s">
        <v>218</v>
      </c>
      <c r="AO240" s="10" t="s">
        <v>218</v>
      </c>
      <c r="AP240" s="10" t="s">
        <v>218</v>
      </c>
      <c r="AQ240" s="27"/>
    </row>
    <row r="241" spans="1:43" ht="96" x14ac:dyDescent="0.25">
      <c r="A241" s="34"/>
      <c r="B241" s="34"/>
      <c r="C241" s="34"/>
      <c r="D241" s="34"/>
      <c r="E241" s="34"/>
      <c r="F241" s="74"/>
      <c r="G241" s="34"/>
      <c r="H241" s="36"/>
      <c r="I241" s="39"/>
      <c r="J241" s="39"/>
      <c r="K241" s="39"/>
      <c r="L241" s="39"/>
      <c r="M241" s="39"/>
      <c r="N241" s="36"/>
      <c r="O241" s="36"/>
      <c r="P241" s="36"/>
      <c r="Q241" s="36"/>
      <c r="R241" s="36"/>
      <c r="S241" s="36"/>
      <c r="T241" s="37" t="s">
        <v>835</v>
      </c>
      <c r="U241" s="37" t="s">
        <v>316</v>
      </c>
      <c r="V241" s="37">
        <v>12</v>
      </c>
      <c r="W241" s="10"/>
      <c r="X241" s="10"/>
      <c r="Y241" s="10">
        <v>6</v>
      </c>
      <c r="Z241" s="10">
        <v>12</v>
      </c>
      <c r="AA241" s="34">
        <v>365</v>
      </c>
      <c r="AB241" s="10">
        <v>167</v>
      </c>
      <c r="AC241" s="10">
        <v>330</v>
      </c>
      <c r="AD241" s="34"/>
      <c r="AE241" s="10"/>
      <c r="AF241" s="10"/>
      <c r="AG241" s="10"/>
      <c r="AH241" s="10"/>
      <c r="AI241" s="10"/>
      <c r="AJ241" s="10"/>
      <c r="AK241" s="10"/>
      <c r="AL241" s="10"/>
      <c r="AM241" s="10"/>
      <c r="AN241" s="10"/>
      <c r="AO241" s="10"/>
      <c r="AP241" s="10"/>
      <c r="AQ241" s="27"/>
    </row>
    <row r="242" spans="1:43" ht="72" x14ac:dyDescent="0.25">
      <c r="A242" s="34"/>
      <c r="B242" s="34"/>
      <c r="C242" s="34"/>
      <c r="D242" s="34"/>
      <c r="E242" s="34"/>
      <c r="F242" s="74"/>
      <c r="G242" s="34"/>
      <c r="H242" s="36"/>
      <c r="I242" s="39"/>
      <c r="J242" s="39"/>
      <c r="K242" s="39"/>
      <c r="L242" s="39"/>
      <c r="M242" s="39"/>
      <c r="N242" s="36"/>
      <c r="O242" s="36"/>
      <c r="P242" s="36"/>
      <c r="Q242" s="36"/>
      <c r="R242" s="36"/>
      <c r="S242" s="36"/>
      <c r="T242" s="37" t="s">
        <v>836</v>
      </c>
      <c r="U242" s="37" t="s">
        <v>316</v>
      </c>
      <c r="V242" s="37">
        <v>148</v>
      </c>
      <c r="W242" s="10"/>
      <c r="X242" s="10"/>
      <c r="Y242" s="10">
        <v>6</v>
      </c>
      <c r="Z242" s="10">
        <v>16</v>
      </c>
      <c r="AA242" s="34">
        <v>365</v>
      </c>
      <c r="AB242" s="10">
        <v>182</v>
      </c>
      <c r="AC242" s="10">
        <v>365</v>
      </c>
      <c r="AD242" s="34"/>
      <c r="AE242" s="10"/>
      <c r="AF242" s="10"/>
      <c r="AG242" s="10"/>
      <c r="AH242" s="10"/>
      <c r="AI242" s="10"/>
      <c r="AJ242" s="10"/>
      <c r="AK242" s="10"/>
      <c r="AL242" s="10"/>
      <c r="AM242" s="10"/>
      <c r="AN242" s="10"/>
      <c r="AO242" s="10"/>
      <c r="AP242" s="10"/>
      <c r="AQ242" s="27"/>
    </row>
    <row r="243" spans="1:43" x14ac:dyDescent="0.25">
      <c r="A243" s="34"/>
      <c r="B243" s="34"/>
      <c r="C243" s="34"/>
      <c r="D243" s="34"/>
      <c r="E243" s="34"/>
      <c r="F243" s="74"/>
      <c r="G243" s="34"/>
      <c r="H243" s="36"/>
      <c r="I243" s="39"/>
      <c r="J243" s="39"/>
      <c r="K243" s="39"/>
      <c r="L243" s="39"/>
      <c r="M243" s="39"/>
      <c r="N243" s="36"/>
      <c r="O243" s="36"/>
      <c r="P243" s="36"/>
      <c r="Q243" s="36"/>
      <c r="R243" s="36"/>
      <c r="S243" s="36"/>
      <c r="T243" s="37" t="s">
        <v>837</v>
      </c>
      <c r="U243" s="37" t="s">
        <v>316</v>
      </c>
      <c r="V243" s="37">
        <v>125</v>
      </c>
      <c r="W243" s="10"/>
      <c r="X243" s="10"/>
      <c r="Y243" s="10">
        <v>0</v>
      </c>
      <c r="Z243" s="10"/>
      <c r="AA243" s="34">
        <v>365</v>
      </c>
      <c r="AB243" s="10">
        <v>182</v>
      </c>
      <c r="AC243" s="10">
        <v>365</v>
      </c>
      <c r="AD243" s="34"/>
      <c r="AE243" s="10"/>
      <c r="AF243" s="10"/>
      <c r="AG243" s="10"/>
      <c r="AH243" s="10"/>
      <c r="AI243" s="10"/>
      <c r="AJ243" s="10"/>
      <c r="AK243" s="10"/>
      <c r="AL243" s="10"/>
      <c r="AM243" s="10"/>
      <c r="AN243" s="10"/>
      <c r="AO243" s="10"/>
      <c r="AP243" s="10"/>
      <c r="AQ243" s="27"/>
    </row>
    <row r="244" spans="1:43" ht="60" x14ac:dyDescent="0.25">
      <c r="A244" s="34"/>
      <c r="B244" s="34"/>
      <c r="C244" s="34"/>
      <c r="D244" s="34"/>
      <c r="E244" s="34"/>
      <c r="F244" s="74"/>
      <c r="G244" s="34"/>
      <c r="H244" s="36"/>
      <c r="I244" s="39"/>
      <c r="J244" s="39"/>
      <c r="K244" s="39"/>
      <c r="L244" s="39"/>
      <c r="M244" s="39"/>
      <c r="N244" s="36"/>
      <c r="O244" s="36"/>
      <c r="P244" s="36"/>
      <c r="Q244" s="36"/>
      <c r="R244" s="36"/>
      <c r="S244" s="36"/>
      <c r="T244" s="37" t="s">
        <v>838</v>
      </c>
      <c r="U244" s="37" t="s">
        <v>316</v>
      </c>
      <c r="V244" s="37">
        <v>52</v>
      </c>
      <c r="W244" s="10"/>
      <c r="X244" s="10"/>
      <c r="Y244" s="10">
        <v>10</v>
      </c>
      <c r="Z244" s="10">
        <v>40</v>
      </c>
      <c r="AA244" s="34">
        <v>365</v>
      </c>
      <c r="AB244" s="10">
        <v>182</v>
      </c>
      <c r="AC244" s="10">
        <v>365</v>
      </c>
      <c r="AD244" s="34"/>
      <c r="AE244" s="10"/>
      <c r="AF244" s="10"/>
      <c r="AG244" s="10"/>
      <c r="AH244" s="10"/>
      <c r="AI244" s="10"/>
      <c r="AJ244" s="10"/>
      <c r="AK244" s="10"/>
      <c r="AL244" s="10"/>
      <c r="AM244" s="10"/>
      <c r="AN244" s="10"/>
      <c r="AO244" s="10"/>
      <c r="AP244" s="10"/>
      <c r="AQ244" s="27"/>
    </row>
    <row r="245" spans="1:43" ht="108" x14ac:dyDescent="0.25">
      <c r="A245" s="34"/>
      <c r="B245" s="34"/>
      <c r="C245" s="34"/>
      <c r="D245" s="34"/>
      <c r="E245" s="34"/>
      <c r="F245" s="74"/>
      <c r="G245" s="34"/>
      <c r="H245" s="36"/>
      <c r="I245" s="39"/>
      <c r="J245" s="39"/>
      <c r="K245" s="39"/>
      <c r="L245" s="39"/>
      <c r="M245" s="39"/>
      <c r="N245" s="36"/>
      <c r="O245" s="36"/>
      <c r="P245" s="36"/>
      <c r="Q245" s="36"/>
      <c r="R245" s="36"/>
      <c r="S245" s="36"/>
      <c r="T245" s="37" t="s">
        <v>839</v>
      </c>
      <c r="U245" s="10"/>
      <c r="V245" s="37">
        <v>0</v>
      </c>
      <c r="W245" s="10"/>
      <c r="X245" s="10"/>
      <c r="Y245" s="10">
        <v>0</v>
      </c>
      <c r="Z245" s="10"/>
      <c r="AA245" s="34">
        <v>365</v>
      </c>
      <c r="AB245" s="10">
        <v>182</v>
      </c>
      <c r="AC245" s="10">
        <v>365</v>
      </c>
      <c r="AD245" s="34"/>
      <c r="AE245" s="10"/>
      <c r="AF245" s="10"/>
      <c r="AG245" s="10"/>
      <c r="AH245" s="10"/>
      <c r="AI245" s="10"/>
      <c r="AJ245" s="10"/>
      <c r="AK245" s="10"/>
      <c r="AL245" s="10"/>
      <c r="AM245" s="10"/>
      <c r="AN245" s="10"/>
      <c r="AO245" s="10"/>
      <c r="AP245" s="10"/>
      <c r="AQ245" s="27"/>
    </row>
    <row r="246" spans="1:43" ht="60" x14ac:dyDescent="0.25">
      <c r="A246" s="34"/>
      <c r="B246" s="34"/>
      <c r="C246" s="34"/>
      <c r="D246" s="34"/>
      <c r="E246" s="34"/>
      <c r="F246" s="74"/>
      <c r="G246" s="34"/>
      <c r="H246" s="36"/>
      <c r="I246" s="39"/>
      <c r="J246" s="39"/>
      <c r="K246" s="39"/>
      <c r="L246" s="39"/>
      <c r="M246" s="39"/>
      <c r="N246" s="36"/>
      <c r="O246" s="36"/>
      <c r="P246" s="36"/>
      <c r="Q246" s="36"/>
      <c r="R246" s="36"/>
      <c r="S246" s="36"/>
      <c r="T246" s="37" t="s">
        <v>840</v>
      </c>
      <c r="U246" s="37" t="s">
        <v>316</v>
      </c>
      <c r="V246" s="37">
        <v>93</v>
      </c>
      <c r="W246" s="10"/>
      <c r="X246" s="10"/>
      <c r="Y246" s="10">
        <v>0</v>
      </c>
      <c r="Z246" s="10">
        <v>38</v>
      </c>
      <c r="AA246" s="34">
        <v>365</v>
      </c>
      <c r="AB246" s="10">
        <v>182</v>
      </c>
      <c r="AC246" s="10">
        <v>365</v>
      </c>
      <c r="AD246" s="10"/>
      <c r="AE246" s="10"/>
      <c r="AF246" s="10"/>
      <c r="AG246" s="10"/>
      <c r="AH246" s="10"/>
      <c r="AI246" s="10"/>
      <c r="AJ246" s="10"/>
      <c r="AK246" s="10"/>
      <c r="AL246" s="10"/>
      <c r="AM246" s="10"/>
      <c r="AN246" s="10"/>
      <c r="AO246" s="10"/>
      <c r="AP246" s="10"/>
      <c r="AQ246" s="27"/>
    </row>
    <row r="247" spans="1:43" ht="72" x14ac:dyDescent="0.25">
      <c r="A247" s="34" t="s">
        <v>55</v>
      </c>
      <c r="B247" s="34" t="s">
        <v>354</v>
      </c>
      <c r="C247" s="34" t="s">
        <v>355</v>
      </c>
      <c r="D247" s="34">
        <v>241120600</v>
      </c>
      <c r="E247" s="34">
        <v>12273090</v>
      </c>
      <c r="F247" s="74" t="s">
        <v>480</v>
      </c>
      <c r="G247" s="34" t="s">
        <v>490</v>
      </c>
      <c r="H247" s="36">
        <v>825848000</v>
      </c>
      <c r="I247" s="39">
        <v>825848000</v>
      </c>
      <c r="J247" s="39">
        <v>825848000</v>
      </c>
      <c r="K247" s="39"/>
      <c r="L247" s="39"/>
      <c r="M247" s="39"/>
      <c r="N247" s="36">
        <f t="shared" si="5"/>
        <v>825848000</v>
      </c>
      <c r="O247" s="36">
        <f t="shared" si="5"/>
        <v>825848000</v>
      </c>
      <c r="P247" s="36">
        <f t="shared" si="5"/>
        <v>825848000</v>
      </c>
      <c r="Q247" s="162">
        <v>415043922</v>
      </c>
      <c r="R247" s="36"/>
      <c r="S247" s="36">
        <f t="shared" si="6"/>
        <v>415043922</v>
      </c>
      <c r="T247" s="37" t="s">
        <v>841</v>
      </c>
      <c r="U247" s="37" t="s">
        <v>842</v>
      </c>
      <c r="V247" s="160">
        <v>12</v>
      </c>
      <c r="W247" s="10"/>
      <c r="X247" s="10"/>
      <c r="Y247" s="10">
        <v>6</v>
      </c>
      <c r="Z247" s="10">
        <v>6</v>
      </c>
      <c r="AA247" s="34">
        <v>365</v>
      </c>
      <c r="AB247" s="10">
        <v>182</v>
      </c>
      <c r="AC247" s="10">
        <v>365</v>
      </c>
      <c r="AD247" s="10"/>
      <c r="AE247" s="10" t="s">
        <v>218</v>
      </c>
      <c r="AF247" s="10" t="s">
        <v>218</v>
      </c>
      <c r="AG247" s="10" t="s">
        <v>218</v>
      </c>
      <c r="AH247" s="10" t="s">
        <v>218</v>
      </c>
      <c r="AI247" s="10" t="s">
        <v>218</v>
      </c>
      <c r="AJ247" s="10" t="s">
        <v>218</v>
      </c>
      <c r="AK247" s="10" t="s">
        <v>218</v>
      </c>
      <c r="AL247" s="10" t="s">
        <v>218</v>
      </c>
      <c r="AM247" s="10" t="s">
        <v>218</v>
      </c>
      <c r="AN247" s="10" t="s">
        <v>218</v>
      </c>
      <c r="AO247" s="10" t="s">
        <v>218</v>
      </c>
      <c r="AP247" s="10" t="s">
        <v>218</v>
      </c>
      <c r="AQ247" s="27"/>
    </row>
    <row r="248" spans="1:43" ht="48" x14ac:dyDescent="0.25">
      <c r="A248" s="34" t="s">
        <v>55</v>
      </c>
      <c r="B248" s="34" t="s">
        <v>354</v>
      </c>
      <c r="C248" s="34" t="s">
        <v>355</v>
      </c>
      <c r="D248" s="34">
        <v>241120600</v>
      </c>
      <c r="E248" s="34">
        <v>12298001</v>
      </c>
      <c r="F248" s="74" t="s">
        <v>491</v>
      </c>
      <c r="G248" s="34" t="s">
        <v>492</v>
      </c>
      <c r="H248" s="36">
        <v>798886000</v>
      </c>
      <c r="I248" s="39">
        <v>2435463000</v>
      </c>
      <c r="J248" s="39">
        <v>2435463000</v>
      </c>
      <c r="K248" s="39"/>
      <c r="L248" s="39"/>
      <c r="M248" s="39"/>
      <c r="N248" s="36">
        <f t="shared" si="5"/>
        <v>798886000</v>
      </c>
      <c r="O248" s="36">
        <f t="shared" si="5"/>
        <v>2435463000</v>
      </c>
      <c r="P248" s="36">
        <f t="shared" si="5"/>
        <v>2435463000</v>
      </c>
      <c r="Q248" s="162">
        <v>2106924876</v>
      </c>
      <c r="R248" s="36"/>
      <c r="S248" s="36">
        <f t="shared" si="6"/>
        <v>2106924876</v>
      </c>
      <c r="T248" s="37" t="s">
        <v>843</v>
      </c>
      <c r="U248" s="37" t="s">
        <v>316</v>
      </c>
      <c r="V248" s="160">
        <v>62</v>
      </c>
      <c r="W248" s="10">
        <v>370</v>
      </c>
      <c r="X248" s="10"/>
      <c r="Y248" s="10"/>
      <c r="Z248" s="10">
        <v>50</v>
      </c>
      <c r="AA248" s="34">
        <v>335</v>
      </c>
      <c r="AB248" s="10">
        <v>167</v>
      </c>
      <c r="AC248" s="10">
        <v>330</v>
      </c>
      <c r="AD248" s="10"/>
      <c r="AE248" s="10">
        <v>0</v>
      </c>
      <c r="AF248" s="10" t="s">
        <v>218</v>
      </c>
      <c r="AG248" s="10" t="s">
        <v>218</v>
      </c>
      <c r="AH248" s="10" t="s">
        <v>218</v>
      </c>
      <c r="AI248" s="10" t="s">
        <v>218</v>
      </c>
      <c r="AJ248" s="10" t="s">
        <v>218</v>
      </c>
      <c r="AK248" s="10" t="s">
        <v>218</v>
      </c>
      <c r="AL248" s="10" t="s">
        <v>218</v>
      </c>
      <c r="AM248" s="10" t="s">
        <v>218</v>
      </c>
      <c r="AN248" s="10" t="s">
        <v>218</v>
      </c>
      <c r="AO248" s="10" t="s">
        <v>218</v>
      </c>
      <c r="AP248" s="10" t="s">
        <v>218</v>
      </c>
      <c r="AQ248" s="27"/>
    </row>
    <row r="249" spans="1:43" ht="48" x14ac:dyDescent="0.25">
      <c r="A249" s="34">
        <v>0</v>
      </c>
      <c r="B249" s="34">
        <v>0</v>
      </c>
      <c r="C249" s="34">
        <v>0</v>
      </c>
      <c r="D249" s="34">
        <v>0</v>
      </c>
      <c r="E249" s="34">
        <v>0</v>
      </c>
      <c r="F249" s="74">
        <v>0</v>
      </c>
      <c r="G249" s="34">
        <v>0</v>
      </c>
      <c r="H249" s="36">
        <v>0</v>
      </c>
      <c r="I249" s="39"/>
      <c r="J249" s="39"/>
      <c r="K249" s="39"/>
      <c r="L249" s="39"/>
      <c r="M249" s="39"/>
      <c r="N249" s="36">
        <f t="shared" si="5"/>
        <v>0</v>
      </c>
      <c r="O249" s="36">
        <f t="shared" si="5"/>
        <v>0</v>
      </c>
      <c r="P249" s="36">
        <f t="shared" si="5"/>
        <v>0</v>
      </c>
      <c r="Q249" s="36"/>
      <c r="R249" s="36"/>
      <c r="S249" s="36">
        <f t="shared" si="6"/>
        <v>0</v>
      </c>
      <c r="T249" s="37" t="s">
        <v>844</v>
      </c>
      <c r="U249" s="37" t="s">
        <v>845</v>
      </c>
      <c r="V249" s="160">
        <v>31984</v>
      </c>
      <c r="W249" s="27"/>
      <c r="X249" s="10"/>
      <c r="Y249" s="10">
        <v>9534</v>
      </c>
      <c r="Z249" s="10">
        <v>18272</v>
      </c>
      <c r="AA249" s="34">
        <v>365</v>
      </c>
      <c r="AB249" s="10">
        <v>182</v>
      </c>
      <c r="AC249" s="10">
        <v>365</v>
      </c>
      <c r="AD249" s="10"/>
      <c r="AE249" s="10" t="s">
        <v>218</v>
      </c>
      <c r="AF249" s="10" t="s">
        <v>218</v>
      </c>
      <c r="AG249" s="10" t="s">
        <v>102</v>
      </c>
      <c r="AH249" s="10" t="s">
        <v>102</v>
      </c>
      <c r="AI249" s="10" t="s">
        <v>102</v>
      </c>
      <c r="AJ249" s="10" t="s">
        <v>102</v>
      </c>
      <c r="AK249" s="10" t="s">
        <v>102</v>
      </c>
      <c r="AL249" s="10" t="s">
        <v>102</v>
      </c>
      <c r="AM249" s="10" t="s">
        <v>102</v>
      </c>
      <c r="AN249" s="10" t="s">
        <v>102</v>
      </c>
      <c r="AO249" s="10" t="s">
        <v>102</v>
      </c>
      <c r="AP249" s="10" t="s">
        <v>102</v>
      </c>
      <c r="AQ249" s="27"/>
    </row>
    <row r="250" spans="1:43" ht="36" x14ac:dyDescent="0.25">
      <c r="A250" s="34">
        <v>0</v>
      </c>
      <c r="B250" s="34">
        <v>0</v>
      </c>
      <c r="C250" s="34">
        <v>0</v>
      </c>
      <c r="D250" s="34">
        <v>0</v>
      </c>
      <c r="E250" s="34">
        <v>0</v>
      </c>
      <c r="F250" s="74">
        <v>0</v>
      </c>
      <c r="G250" s="34">
        <v>0</v>
      </c>
      <c r="H250" s="36">
        <v>0</v>
      </c>
      <c r="I250" s="39"/>
      <c r="J250" s="39"/>
      <c r="K250" s="39"/>
      <c r="L250" s="39"/>
      <c r="M250" s="39"/>
      <c r="N250" s="36">
        <f t="shared" si="5"/>
        <v>0</v>
      </c>
      <c r="O250" s="36">
        <f t="shared" si="5"/>
        <v>0</v>
      </c>
      <c r="P250" s="36">
        <f t="shared" si="5"/>
        <v>0</v>
      </c>
      <c r="Q250" s="36"/>
      <c r="R250" s="36"/>
      <c r="S250" s="36">
        <f t="shared" si="6"/>
        <v>0</v>
      </c>
      <c r="T250" s="37" t="s">
        <v>846</v>
      </c>
      <c r="U250" s="37" t="s">
        <v>316</v>
      </c>
      <c r="V250" s="160">
        <v>71321</v>
      </c>
      <c r="W250" s="10"/>
      <c r="X250" s="10"/>
      <c r="Y250" s="10">
        <v>28899</v>
      </c>
      <c r="Z250" s="10">
        <v>20945</v>
      </c>
      <c r="AA250" s="34">
        <v>365</v>
      </c>
      <c r="AB250" s="10">
        <v>182</v>
      </c>
      <c r="AC250" s="10">
        <v>365</v>
      </c>
      <c r="AD250" s="10"/>
      <c r="AE250" s="10" t="s">
        <v>218</v>
      </c>
      <c r="AF250" s="10" t="s">
        <v>218</v>
      </c>
      <c r="AG250" s="10" t="s">
        <v>102</v>
      </c>
      <c r="AH250" s="10" t="s">
        <v>102</v>
      </c>
      <c r="AI250" s="10" t="s">
        <v>102</v>
      </c>
      <c r="AJ250" s="10" t="s">
        <v>102</v>
      </c>
      <c r="AK250" s="10" t="s">
        <v>102</v>
      </c>
      <c r="AL250" s="10" t="s">
        <v>102</v>
      </c>
      <c r="AM250" s="10" t="s">
        <v>102</v>
      </c>
      <c r="AN250" s="10" t="s">
        <v>102</v>
      </c>
      <c r="AO250" s="10" t="s">
        <v>102</v>
      </c>
      <c r="AP250" s="10" t="s">
        <v>102</v>
      </c>
      <c r="AQ250" s="27"/>
    </row>
    <row r="251" spans="1:43" ht="60" x14ac:dyDescent="0.25">
      <c r="A251" s="34">
        <v>0</v>
      </c>
      <c r="B251" s="34">
        <v>0</v>
      </c>
      <c r="C251" s="34">
        <v>0</v>
      </c>
      <c r="D251" s="34">
        <v>0</v>
      </c>
      <c r="E251" s="34">
        <v>0</v>
      </c>
      <c r="F251" s="74">
        <v>0</v>
      </c>
      <c r="G251" s="34">
        <v>0</v>
      </c>
      <c r="H251" s="36">
        <v>0</v>
      </c>
      <c r="I251" s="39"/>
      <c r="J251" s="39"/>
      <c r="K251" s="39"/>
      <c r="L251" s="39"/>
      <c r="M251" s="39"/>
      <c r="N251" s="36">
        <f t="shared" si="5"/>
        <v>0</v>
      </c>
      <c r="O251" s="36">
        <f t="shared" si="5"/>
        <v>0</v>
      </c>
      <c r="P251" s="36">
        <f t="shared" si="5"/>
        <v>0</v>
      </c>
      <c r="Q251" s="36"/>
      <c r="R251" s="36"/>
      <c r="S251" s="36">
        <f t="shared" si="6"/>
        <v>0</v>
      </c>
      <c r="T251" s="37" t="s">
        <v>847</v>
      </c>
      <c r="U251" s="37" t="s">
        <v>316</v>
      </c>
      <c r="V251" s="160">
        <v>32</v>
      </c>
      <c r="W251" s="10"/>
      <c r="X251" s="10"/>
      <c r="Y251" s="10">
        <v>6</v>
      </c>
      <c r="Z251" s="10">
        <v>23</v>
      </c>
      <c r="AA251" s="34">
        <v>365</v>
      </c>
      <c r="AB251" s="10">
        <v>182</v>
      </c>
      <c r="AC251" s="10">
        <v>365</v>
      </c>
      <c r="AD251" s="10"/>
      <c r="AE251" s="10" t="s">
        <v>102</v>
      </c>
      <c r="AF251" s="10" t="s">
        <v>102</v>
      </c>
      <c r="AG251" s="10" t="s">
        <v>102</v>
      </c>
      <c r="AH251" s="10" t="s">
        <v>102</v>
      </c>
      <c r="AI251" s="10" t="s">
        <v>102</v>
      </c>
      <c r="AJ251" s="10" t="s">
        <v>102</v>
      </c>
      <c r="AK251" s="10" t="s">
        <v>102</v>
      </c>
      <c r="AL251" s="10" t="s">
        <v>102</v>
      </c>
      <c r="AM251" s="10" t="s">
        <v>102</v>
      </c>
      <c r="AN251" s="10" t="s">
        <v>102</v>
      </c>
      <c r="AO251" s="10" t="s">
        <v>102</v>
      </c>
      <c r="AP251" s="10" t="s">
        <v>102</v>
      </c>
      <c r="AQ251" s="27"/>
    </row>
    <row r="252" spans="1:43" ht="48" x14ac:dyDescent="0.25">
      <c r="A252" s="34"/>
      <c r="B252" s="34"/>
      <c r="C252" s="34"/>
      <c r="D252" s="34"/>
      <c r="E252" s="34"/>
      <c r="F252" s="74"/>
      <c r="G252" s="34"/>
      <c r="H252" s="36"/>
      <c r="I252" s="39"/>
      <c r="J252" s="39"/>
      <c r="K252" s="39"/>
      <c r="L252" s="39"/>
      <c r="M252" s="39"/>
      <c r="N252" s="36"/>
      <c r="O252" s="36"/>
      <c r="P252" s="36"/>
      <c r="Q252" s="36"/>
      <c r="R252" s="36"/>
      <c r="S252" s="36"/>
      <c r="T252" s="37" t="s">
        <v>848</v>
      </c>
      <c r="U252" s="37" t="s">
        <v>316</v>
      </c>
      <c r="V252" s="160">
        <v>1</v>
      </c>
      <c r="W252" s="10"/>
      <c r="X252" s="10"/>
      <c r="Y252" s="10"/>
      <c r="Z252" s="10">
        <v>1</v>
      </c>
      <c r="AA252" s="34"/>
      <c r="AB252" s="10"/>
      <c r="AC252" s="10">
        <v>365</v>
      </c>
      <c r="AD252" s="10"/>
      <c r="AE252" s="10"/>
      <c r="AF252" s="10"/>
      <c r="AG252" s="10"/>
      <c r="AH252" s="10"/>
      <c r="AI252" s="10"/>
      <c r="AJ252" s="10"/>
      <c r="AK252" s="10"/>
      <c r="AL252" s="10"/>
      <c r="AM252" s="10"/>
      <c r="AN252" s="10"/>
      <c r="AO252" s="10"/>
      <c r="AP252" s="10"/>
      <c r="AQ252" s="27"/>
    </row>
    <row r="253" spans="1:43" ht="48" x14ac:dyDescent="0.25">
      <c r="A253" s="34" t="s">
        <v>55</v>
      </c>
      <c r="B253" s="34" t="s">
        <v>354</v>
      </c>
      <c r="C253" s="34" t="s">
        <v>355</v>
      </c>
      <c r="D253" s="34">
        <v>241120600</v>
      </c>
      <c r="E253" s="34">
        <v>12298090</v>
      </c>
      <c r="F253" s="74" t="s">
        <v>491</v>
      </c>
      <c r="G253" s="34" t="s">
        <v>492</v>
      </c>
      <c r="H253" s="36">
        <v>2145734000</v>
      </c>
      <c r="I253" s="39">
        <v>2274795000</v>
      </c>
      <c r="J253" s="39">
        <v>2274795000</v>
      </c>
      <c r="K253" s="39"/>
      <c r="L253" s="39"/>
      <c r="M253" s="39"/>
      <c r="N253" s="36">
        <f t="shared" si="5"/>
        <v>2145734000</v>
      </c>
      <c r="O253" s="36">
        <f t="shared" si="5"/>
        <v>2274795000</v>
      </c>
      <c r="P253" s="36">
        <f t="shared" si="5"/>
        <v>2274795000</v>
      </c>
      <c r="Q253" s="162">
        <v>1824250685</v>
      </c>
      <c r="R253" s="36"/>
      <c r="S253" s="36">
        <f t="shared" si="6"/>
        <v>1824250685</v>
      </c>
      <c r="T253" s="37" t="s">
        <v>849</v>
      </c>
      <c r="U253" s="37" t="s">
        <v>850</v>
      </c>
      <c r="V253" s="160">
        <v>38</v>
      </c>
      <c r="W253" s="10">
        <v>40</v>
      </c>
      <c r="X253" s="10"/>
      <c r="Y253" s="10">
        <v>37</v>
      </c>
      <c r="Z253" s="10"/>
      <c r="AA253" s="34">
        <v>365</v>
      </c>
      <c r="AB253" s="10">
        <v>182</v>
      </c>
      <c r="AC253" s="10">
        <v>365</v>
      </c>
      <c r="AD253" s="10"/>
      <c r="AE253" s="10" t="s">
        <v>102</v>
      </c>
      <c r="AF253" s="10" t="s">
        <v>102</v>
      </c>
      <c r="AG253" s="10" t="s">
        <v>102</v>
      </c>
      <c r="AH253" s="10" t="s">
        <v>102</v>
      </c>
      <c r="AI253" s="10" t="s">
        <v>102</v>
      </c>
      <c r="AJ253" s="10" t="s">
        <v>102</v>
      </c>
      <c r="AK253" s="10" t="s">
        <v>102</v>
      </c>
      <c r="AL253" s="10" t="s">
        <v>102</v>
      </c>
      <c r="AM253" s="10" t="s">
        <v>102</v>
      </c>
      <c r="AN253" s="10" t="s">
        <v>102</v>
      </c>
      <c r="AO253" s="10" t="s">
        <v>102</v>
      </c>
      <c r="AP253" s="10" t="s">
        <v>102</v>
      </c>
      <c r="AQ253" s="27"/>
    </row>
    <row r="254" spans="1:43" ht="132" x14ac:dyDescent="0.25">
      <c r="A254" s="34" t="s">
        <v>55</v>
      </c>
      <c r="B254" s="34" t="s">
        <v>354</v>
      </c>
      <c r="C254" s="34" t="s">
        <v>355</v>
      </c>
      <c r="D254" s="34">
        <v>241120600</v>
      </c>
      <c r="E254" s="34">
        <v>12299001</v>
      </c>
      <c r="F254" s="74" t="s">
        <v>493</v>
      </c>
      <c r="G254" s="34" t="s">
        <v>494</v>
      </c>
      <c r="H254" s="36">
        <v>150000000</v>
      </c>
      <c r="I254" s="39">
        <v>2577739504</v>
      </c>
      <c r="J254" s="39">
        <v>2577739504</v>
      </c>
      <c r="K254" s="39"/>
      <c r="L254" s="39"/>
      <c r="M254" s="39"/>
      <c r="N254" s="36">
        <f t="shared" si="5"/>
        <v>150000000</v>
      </c>
      <c r="O254" s="36" t="e">
        <f>#REF!+L254</f>
        <v>#REF!</v>
      </c>
      <c r="P254" s="36">
        <f t="shared" si="5"/>
        <v>2577739504</v>
      </c>
      <c r="Q254" s="162">
        <v>2326154200</v>
      </c>
      <c r="R254" s="36"/>
      <c r="S254" s="36">
        <f t="shared" si="6"/>
        <v>2326154200</v>
      </c>
      <c r="T254" s="37" t="s">
        <v>851</v>
      </c>
      <c r="U254" s="37" t="s">
        <v>266</v>
      </c>
      <c r="V254" s="160">
        <v>150</v>
      </c>
      <c r="W254" s="10"/>
      <c r="X254" s="10"/>
      <c r="Y254" s="10">
        <v>147</v>
      </c>
      <c r="Z254" s="10">
        <v>142</v>
      </c>
      <c r="AA254" s="34">
        <v>365</v>
      </c>
      <c r="AB254" s="10">
        <v>182</v>
      </c>
      <c r="AC254" s="10">
        <v>365</v>
      </c>
      <c r="AD254" s="10"/>
      <c r="AE254" s="10" t="s">
        <v>218</v>
      </c>
      <c r="AF254" s="10" t="s">
        <v>218</v>
      </c>
      <c r="AG254" s="10" t="s">
        <v>218</v>
      </c>
      <c r="AH254" s="10" t="s">
        <v>218</v>
      </c>
      <c r="AI254" s="10" t="s">
        <v>218</v>
      </c>
      <c r="AJ254" s="10" t="s">
        <v>218</v>
      </c>
      <c r="AK254" s="10" t="s">
        <v>218</v>
      </c>
      <c r="AL254" s="10" t="s">
        <v>218</v>
      </c>
      <c r="AM254" s="10" t="s">
        <v>218</v>
      </c>
      <c r="AN254" s="10" t="s">
        <v>218</v>
      </c>
      <c r="AO254" s="10" t="s">
        <v>218</v>
      </c>
      <c r="AP254" s="10" t="s">
        <v>218</v>
      </c>
      <c r="AQ254" s="27"/>
    </row>
    <row r="255" spans="1:43" ht="120" x14ac:dyDescent="0.25">
      <c r="A255" s="34" t="s">
        <v>55</v>
      </c>
      <c r="B255" s="34" t="s">
        <v>354</v>
      </c>
      <c r="C255" s="34" t="s">
        <v>355</v>
      </c>
      <c r="D255" s="34">
        <v>241120600</v>
      </c>
      <c r="E255" s="34">
        <v>12299002</v>
      </c>
      <c r="F255" s="74" t="s">
        <v>493</v>
      </c>
      <c r="G255" s="34" t="s">
        <v>497</v>
      </c>
      <c r="H255" s="36">
        <v>260000000</v>
      </c>
      <c r="I255" s="39">
        <v>340429973</v>
      </c>
      <c r="J255" s="39">
        <v>340429973</v>
      </c>
      <c r="K255" s="39"/>
      <c r="L255" s="39"/>
      <c r="M255" s="39"/>
      <c r="N255" s="36">
        <f t="shared" si="5"/>
        <v>260000000</v>
      </c>
      <c r="O255" s="36">
        <f t="shared" si="5"/>
        <v>340429973</v>
      </c>
      <c r="P255" s="36">
        <f t="shared" si="5"/>
        <v>340429973</v>
      </c>
      <c r="Q255" s="162">
        <v>333467200</v>
      </c>
      <c r="R255" s="36"/>
      <c r="S255" s="36">
        <f t="shared" si="6"/>
        <v>333467200</v>
      </c>
      <c r="T255" s="37" t="s">
        <v>852</v>
      </c>
      <c r="U255" s="37" t="s">
        <v>266</v>
      </c>
      <c r="V255" s="160">
        <v>82</v>
      </c>
      <c r="W255" s="10"/>
      <c r="X255" s="10"/>
      <c r="Y255" s="10">
        <v>48</v>
      </c>
      <c r="Z255" s="10">
        <v>40</v>
      </c>
      <c r="AA255" s="34">
        <v>240</v>
      </c>
      <c r="AB255" s="10">
        <v>120</v>
      </c>
      <c r="AC255" s="10">
        <v>240</v>
      </c>
      <c r="AD255" s="10"/>
      <c r="AE255" s="10">
        <v>0</v>
      </c>
      <c r="AF255" s="10">
        <v>0</v>
      </c>
      <c r="AG255" s="10">
        <v>0</v>
      </c>
      <c r="AH255" s="10">
        <v>0</v>
      </c>
      <c r="AI255" s="10" t="s">
        <v>218</v>
      </c>
      <c r="AJ255" s="10" t="s">
        <v>218</v>
      </c>
      <c r="AK255" s="10" t="s">
        <v>218</v>
      </c>
      <c r="AL255" s="10" t="s">
        <v>218</v>
      </c>
      <c r="AM255" s="10" t="s">
        <v>218</v>
      </c>
      <c r="AN255" s="10" t="s">
        <v>218</v>
      </c>
      <c r="AO255" s="10" t="s">
        <v>218</v>
      </c>
      <c r="AP255" s="10" t="s">
        <v>218</v>
      </c>
      <c r="AQ255" s="27"/>
    </row>
    <row r="256" spans="1:43" ht="120" x14ac:dyDescent="0.25">
      <c r="A256" s="34" t="s">
        <v>55</v>
      </c>
      <c r="B256" s="34" t="s">
        <v>354</v>
      </c>
      <c r="C256" s="34" t="s">
        <v>355</v>
      </c>
      <c r="D256" s="34">
        <v>241120600</v>
      </c>
      <c r="E256" s="34">
        <v>12299003</v>
      </c>
      <c r="F256" s="74" t="s">
        <v>493</v>
      </c>
      <c r="G256" s="34" t="s">
        <v>500</v>
      </c>
      <c r="H256" s="36">
        <v>31000000</v>
      </c>
      <c r="I256" s="39">
        <v>48380410</v>
      </c>
      <c r="J256" s="39">
        <v>48380410</v>
      </c>
      <c r="K256" s="39"/>
      <c r="L256" s="39"/>
      <c r="M256" s="39"/>
      <c r="N256" s="36">
        <f t="shared" si="5"/>
        <v>31000000</v>
      </c>
      <c r="O256" s="36">
        <f t="shared" si="5"/>
        <v>48380410</v>
      </c>
      <c r="P256" s="36">
        <f t="shared" si="5"/>
        <v>48380410</v>
      </c>
      <c r="Q256" s="162">
        <v>48380410</v>
      </c>
      <c r="R256" s="36"/>
      <c r="S256" s="36">
        <f t="shared" si="6"/>
        <v>48380410</v>
      </c>
      <c r="T256" s="37" t="s">
        <v>853</v>
      </c>
      <c r="U256" s="37" t="s">
        <v>266</v>
      </c>
      <c r="V256" s="160">
        <v>12</v>
      </c>
      <c r="W256" s="10"/>
      <c r="X256" s="10"/>
      <c r="Y256" s="10">
        <v>6</v>
      </c>
      <c r="Z256" s="10">
        <v>6</v>
      </c>
      <c r="AA256" s="34">
        <v>240</v>
      </c>
      <c r="AB256" s="10">
        <v>120</v>
      </c>
      <c r="AC256" s="10">
        <v>240</v>
      </c>
      <c r="AD256" s="10"/>
      <c r="AE256" s="10">
        <v>0</v>
      </c>
      <c r="AF256" s="10">
        <v>0</v>
      </c>
      <c r="AG256" s="10">
        <v>0</v>
      </c>
      <c r="AH256" s="10">
        <v>0</v>
      </c>
      <c r="AI256" s="10" t="s">
        <v>218</v>
      </c>
      <c r="AJ256" s="10" t="s">
        <v>218</v>
      </c>
      <c r="AK256" s="10" t="s">
        <v>218</v>
      </c>
      <c r="AL256" s="10" t="s">
        <v>218</v>
      </c>
      <c r="AM256" s="10" t="s">
        <v>218</v>
      </c>
      <c r="AN256" s="10" t="s">
        <v>218</v>
      </c>
      <c r="AO256" s="10" t="s">
        <v>218</v>
      </c>
      <c r="AP256" s="10" t="s">
        <v>218</v>
      </c>
      <c r="AQ256" s="27"/>
    </row>
    <row r="257" spans="1:43" ht="144" x14ac:dyDescent="0.25">
      <c r="A257" s="34" t="s">
        <v>55</v>
      </c>
      <c r="B257" s="34" t="s">
        <v>354</v>
      </c>
      <c r="C257" s="34" t="s">
        <v>355</v>
      </c>
      <c r="D257" s="34">
        <v>241120600</v>
      </c>
      <c r="E257" s="34">
        <v>12299090</v>
      </c>
      <c r="F257" s="74" t="s">
        <v>493</v>
      </c>
      <c r="G257" s="34" t="s">
        <v>501</v>
      </c>
      <c r="H257" s="36">
        <v>508766000</v>
      </c>
      <c r="I257" s="39">
        <v>701313000</v>
      </c>
      <c r="J257" s="39">
        <v>701313000</v>
      </c>
      <c r="K257" s="39"/>
      <c r="L257" s="39"/>
      <c r="M257" s="39"/>
      <c r="N257" s="36">
        <f t="shared" si="5"/>
        <v>508766000</v>
      </c>
      <c r="O257" s="36">
        <f t="shared" si="5"/>
        <v>701313000</v>
      </c>
      <c r="P257" s="36">
        <f t="shared" si="5"/>
        <v>701313000</v>
      </c>
      <c r="Q257" s="162">
        <v>564789152</v>
      </c>
      <c r="R257" s="36"/>
      <c r="S257" s="36">
        <f t="shared" si="6"/>
        <v>564789152</v>
      </c>
      <c r="T257" s="37" t="s">
        <v>854</v>
      </c>
      <c r="U257" s="37" t="s">
        <v>266</v>
      </c>
      <c r="V257" s="160">
        <v>12</v>
      </c>
      <c r="W257" s="10"/>
      <c r="X257" s="10"/>
      <c r="Y257" s="10">
        <v>12</v>
      </c>
      <c r="Z257" s="10">
        <v>6</v>
      </c>
      <c r="AA257" s="34">
        <v>365</v>
      </c>
      <c r="AB257" s="10">
        <v>182</v>
      </c>
      <c r="AC257" s="10">
        <v>365</v>
      </c>
      <c r="AD257" s="10"/>
      <c r="AE257" s="10" t="s">
        <v>102</v>
      </c>
      <c r="AF257" s="10" t="s">
        <v>218</v>
      </c>
      <c r="AG257" s="10" t="s">
        <v>218</v>
      </c>
      <c r="AH257" s="10" t="s">
        <v>218</v>
      </c>
      <c r="AI257" s="10" t="s">
        <v>218</v>
      </c>
      <c r="AJ257" s="10" t="s">
        <v>218</v>
      </c>
      <c r="AK257" s="10" t="s">
        <v>218</v>
      </c>
      <c r="AL257" s="10" t="s">
        <v>218</v>
      </c>
      <c r="AM257" s="10" t="s">
        <v>218</v>
      </c>
      <c r="AN257" s="10" t="s">
        <v>218</v>
      </c>
      <c r="AO257" s="10" t="s">
        <v>218</v>
      </c>
      <c r="AP257" s="10" t="s">
        <v>218</v>
      </c>
      <c r="AQ257" s="27"/>
    </row>
    <row r="258" spans="1:43" ht="84" x14ac:dyDescent="0.25">
      <c r="A258" s="34" t="s">
        <v>55</v>
      </c>
      <c r="B258" s="34" t="s">
        <v>354</v>
      </c>
      <c r="C258" s="34" t="s">
        <v>355</v>
      </c>
      <c r="D258" s="34">
        <v>241120600</v>
      </c>
      <c r="E258" s="34">
        <v>12724001</v>
      </c>
      <c r="F258" s="74" t="s">
        <v>502</v>
      </c>
      <c r="G258" s="34" t="s">
        <v>503</v>
      </c>
      <c r="H258" s="36">
        <v>2225637000</v>
      </c>
      <c r="I258" s="39">
        <v>6759578587</v>
      </c>
      <c r="J258" s="39">
        <v>6759578587</v>
      </c>
      <c r="K258" s="39"/>
      <c r="L258" s="39"/>
      <c r="M258" s="39"/>
      <c r="N258" s="36">
        <f t="shared" si="5"/>
        <v>2225637000</v>
      </c>
      <c r="O258" s="36">
        <f t="shared" si="5"/>
        <v>6759578587</v>
      </c>
      <c r="P258" s="36">
        <f t="shared" si="5"/>
        <v>6759578587</v>
      </c>
      <c r="Q258" s="162">
        <v>6511218549</v>
      </c>
      <c r="R258" s="36"/>
      <c r="S258" s="36">
        <f t="shared" si="6"/>
        <v>6511218549</v>
      </c>
      <c r="T258" s="37" t="s">
        <v>855</v>
      </c>
      <c r="U258" s="37" t="s">
        <v>316</v>
      </c>
      <c r="V258" s="37">
        <v>125</v>
      </c>
      <c r="W258" s="10"/>
      <c r="X258" s="10"/>
      <c r="Y258" s="10">
        <v>100</v>
      </c>
      <c r="Z258" s="10">
        <v>94</v>
      </c>
      <c r="AA258" s="34">
        <v>365</v>
      </c>
      <c r="AB258" s="10">
        <v>182</v>
      </c>
      <c r="AC258" s="10">
        <v>365</v>
      </c>
      <c r="AD258" s="10"/>
      <c r="AE258" s="10" t="s">
        <v>218</v>
      </c>
      <c r="AF258" s="10" t="s">
        <v>218</v>
      </c>
      <c r="AG258" s="10" t="s">
        <v>218</v>
      </c>
      <c r="AH258" s="10" t="s">
        <v>218</v>
      </c>
      <c r="AI258" s="10" t="s">
        <v>218</v>
      </c>
      <c r="AJ258" s="10" t="s">
        <v>218</v>
      </c>
      <c r="AK258" s="10" t="s">
        <v>218</v>
      </c>
      <c r="AL258" s="10" t="s">
        <v>218</v>
      </c>
      <c r="AM258" s="10" t="s">
        <v>218</v>
      </c>
      <c r="AN258" s="10" t="s">
        <v>218</v>
      </c>
      <c r="AO258" s="10" t="s">
        <v>218</v>
      </c>
      <c r="AP258" s="10" t="s">
        <v>218</v>
      </c>
      <c r="AQ258" s="27"/>
    </row>
    <row r="259" spans="1:43" ht="84" x14ac:dyDescent="0.25">
      <c r="A259" s="34">
        <v>0</v>
      </c>
      <c r="B259" s="34">
        <v>0</v>
      </c>
      <c r="C259" s="34">
        <v>0</v>
      </c>
      <c r="D259" s="34">
        <v>0</v>
      </c>
      <c r="E259" s="34">
        <v>0</v>
      </c>
      <c r="F259" s="74">
        <v>0</v>
      </c>
      <c r="G259" s="34">
        <v>0</v>
      </c>
      <c r="H259" s="36">
        <v>0</v>
      </c>
      <c r="I259" s="39"/>
      <c r="J259" s="39"/>
      <c r="K259" s="39"/>
      <c r="L259" s="39"/>
      <c r="M259" s="39"/>
      <c r="N259" s="36">
        <f t="shared" si="5"/>
        <v>0</v>
      </c>
      <c r="O259" s="36">
        <f t="shared" si="5"/>
        <v>0</v>
      </c>
      <c r="P259" s="36">
        <f t="shared" si="5"/>
        <v>0</v>
      </c>
      <c r="Q259" s="36"/>
      <c r="R259" s="36"/>
      <c r="S259" s="36">
        <f t="shared" si="6"/>
        <v>0</v>
      </c>
      <c r="T259" s="37" t="s">
        <v>856</v>
      </c>
      <c r="U259" s="37" t="s">
        <v>316</v>
      </c>
      <c r="V259" s="160">
        <v>48</v>
      </c>
      <c r="W259" s="10">
        <v>90</v>
      </c>
      <c r="X259" s="10"/>
      <c r="Y259" s="10">
        <v>0</v>
      </c>
      <c r="Z259" s="10"/>
      <c r="AA259" s="36">
        <v>365</v>
      </c>
      <c r="AB259" s="10">
        <v>182</v>
      </c>
      <c r="AC259" s="10">
        <v>365</v>
      </c>
      <c r="AD259" s="10"/>
      <c r="AE259" s="10">
        <v>0</v>
      </c>
      <c r="AF259" s="10">
        <v>0</v>
      </c>
      <c r="AG259" s="10" t="s">
        <v>218</v>
      </c>
      <c r="AH259" s="10" t="s">
        <v>218</v>
      </c>
      <c r="AI259" s="10" t="s">
        <v>218</v>
      </c>
      <c r="AJ259" s="10" t="s">
        <v>218</v>
      </c>
      <c r="AK259" s="10" t="s">
        <v>218</v>
      </c>
      <c r="AL259" s="10" t="s">
        <v>218</v>
      </c>
      <c r="AM259" s="10" t="s">
        <v>218</v>
      </c>
      <c r="AN259" s="10" t="s">
        <v>218</v>
      </c>
      <c r="AO259" s="10" t="s">
        <v>218</v>
      </c>
      <c r="AP259" s="10" t="s">
        <v>218</v>
      </c>
      <c r="AQ259" s="27"/>
    </row>
    <row r="260" spans="1:43" ht="60" x14ac:dyDescent="0.25">
      <c r="A260" s="34"/>
      <c r="B260" s="34"/>
      <c r="C260" s="34"/>
      <c r="D260" s="34"/>
      <c r="E260" s="34"/>
      <c r="F260" s="74"/>
      <c r="G260" s="34"/>
      <c r="H260" s="36"/>
      <c r="I260" s="39"/>
      <c r="J260" s="39"/>
      <c r="K260" s="39"/>
      <c r="L260" s="39"/>
      <c r="M260" s="39"/>
      <c r="N260" s="36"/>
      <c r="O260" s="36"/>
      <c r="P260" s="36"/>
      <c r="Q260" s="36"/>
      <c r="R260" s="36"/>
      <c r="S260" s="36"/>
      <c r="T260" s="37" t="s">
        <v>857</v>
      </c>
      <c r="U260" s="37"/>
      <c r="V260" s="160"/>
      <c r="W260" s="10"/>
      <c r="X260" s="10"/>
      <c r="Y260" s="10"/>
      <c r="Z260" s="10">
        <v>101</v>
      </c>
      <c r="AA260" s="36"/>
      <c r="AB260" s="10" t="s">
        <v>858</v>
      </c>
      <c r="AC260" s="10">
        <v>365</v>
      </c>
      <c r="AD260" s="10" t="s">
        <v>859</v>
      </c>
      <c r="AE260" s="10"/>
      <c r="AF260" s="10"/>
      <c r="AG260" s="10"/>
      <c r="AH260" s="10"/>
      <c r="AI260" s="10"/>
      <c r="AJ260" s="10"/>
      <c r="AK260" s="10"/>
      <c r="AL260" s="10"/>
      <c r="AM260" s="10"/>
      <c r="AN260" s="10"/>
      <c r="AO260" s="10"/>
      <c r="AP260" s="10"/>
      <c r="AQ260" s="27"/>
    </row>
    <row r="261" spans="1:43" ht="36" x14ac:dyDescent="0.25">
      <c r="A261" s="34"/>
      <c r="B261" s="34"/>
      <c r="C261" s="34"/>
      <c r="D261" s="34"/>
      <c r="E261" s="34"/>
      <c r="F261" s="74"/>
      <c r="G261" s="34"/>
      <c r="H261" s="36"/>
      <c r="I261" s="39"/>
      <c r="J261" s="39"/>
      <c r="K261" s="39"/>
      <c r="L261" s="39"/>
      <c r="M261" s="39"/>
      <c r="N261" s="36"/>
      <c r="O261" s="36"/>
      <c r="P261" s="36"/>
      <c r="Q261" s="36"/>
      <c r="R261" s="36"/>
      <c r="S261" s="36"/>
      <c r="T261" s="37" t="s">
        <v>860</v>
      </c>
      <c r="U261" s="37" t="s">
        <v>316</v>
      </c>
      <c r="V261" s="160">
        <v>1</v>
      </c>
      <c r="W261" s="10"/>
      <c r="X261" s="10"/>
      <c r="Y261" s="10">
        <v>1</v>
      </c>
      <c r="Z261" s="10">
        <v>1</v>
      </c>
      <c r="AA261" s="36">
        <v>365</v>
      </c>
      <c r="AB261" s="10">
        <v>182</v>
      </c>
      <c r="AC261" s="10">
        <v>365</v>
      </c>
      <c r="AD261" s="10"/>
      <c r="AE261" s="10"/>
      <c r="AF261" s="10"/>
      <c r="AG261" s="10"/>
      <c r="AH261" s="10"/>
      <c r="AI261" s="10"/>
      <c r="AJ261" s="10"/>
      <c r="AK261" s="10"/>
      <c r="AL261" s="10"/>
      <c r="AM261" s="10"/>
      <c r="AN261" s="10"/>
      <c r="AO261" s="10"/>
      <c r="AP261" s="10"/>
      <c r="AQ261" s="27"/>
    </row>
    <row r="262" spans="1:43" ht="60" x14ac:dyDescent="0.25">
      <c r="A262" s="34">
        <v>0</v>
      </c>
      <c r="B262" s="34">
        <v>0</v>
      </c>
      <c r="C262" s="34">
        <v>0</v>
      </c>
      <c r="D262" s="34">
        <v>0</v>
      </c>
      <c r="E262" s="34">
        <v>0</v>
      </c>
      <c r="F262" s="74">
        <v>0</v>
      </c>
      <c r="G262" s="34">
        <v>0</v>
      </c>
      <c r="H262" s="36">
        <v>0</v>
      </c>
      <c r="I262" s="39"/>
      <c r="J262" s="39"/>
      <c r="K262" s="39"/>
      <c r="L262" s="39"/>
      <c r="M262" s="39"/>
      <c r="N262" s="36">
        <f t="shared" si="5"/>
        <v>0</v>
      </c>
      <c r="O262" s="36">
        <f t="shared" si="5"/>
        <v>0</v>
      </c>
      <c r="P262" s="36">
        <f t="shared" si="5"/>
        <v>0</v>
      </c>
      <c r="Q262" s="36"/>
      <c r="R262" s="36"/>
      <c r="S262" s="36">
        <f t="shared" si="6"/>
        <v>0</v>
      </c>
      <c r="T262" s="37" t="s">
        <v>861</v>
      </c>
      <c r="U262" s="37" t="s">
        <v>316</v>
      </c>
      <c r="V262" s="160">
        <v>1</v>
      </c>
      <c r="W262" s="10"/>
      <c r="X262" s="10"/>
      <c r="Y262" s="10"/>
      <c r="Z262" s="10">
        <v>6</v>
      </c>
      <c r="AA262" s="36">
        <v>365</v>
      </c>
      <c r="AB262" s="10">
        <v>182</v>
      </c>
      <c r="AC262" s="10">
        <v>365</v>
      </c>
      <c r="AD262" s="10"/>
      <c r="AE262" s="10">
        <v>0</v>
      </c>
      <c r="AF262" s="10">
        <v>0</v>
      </c>
      <c r="AG262" s="10" t="s">
        <v>218</v>
      </c>
      <c r="AH262" s="10" t="s">
        <v>218</v>
      </c>
      <c r="AI262" s="10" t="s">
        <v>218</v>
      </c>
      <c r="AJ262" s="10" t="s">
        <v>218</v>
      </c>
      <c r="AK262" s="10" t="s">
        <v>218</v>
      </c>
      <c r="AL262" s="10" t="s">
        <v>218</v>
      </c>
      <c r="AM262" s="10" t="s">
        <v>218</v>
      </c>
      <c r="AN262" s="10" t="s">
        <v>218</v>
      </c>
      <c r="AO262" s="10" t="s">
        <v>218</v>
      </c>
      <c r="AP262" s="10" t="s">
        <v>218</v>
      </c>
      <c r="AQ262" s="27"/>
    </row>
    <row r="263" spans="1:43" ht="24" x14ac:dyDescent="0.25">
      <c r="A263" s="34">
        <v>0</v>
      </c>
      <c r="B263" s="34">
        <v>0</v>
      </c>
      <c r="C263" s="34">
        <v>0</v>
      </c>
      <c r="D263" s="34">
        <v>0</v>
      </c>
      <c r="E263" s="34">
        <v>0</v>
      </c>
      <c r="F263" s="74">
        <v>0</v>
      </c>
      <c r="G263" s="34">
        <v>0</v>
      </c>
      <c r="H263" s="36">
        <v>0</v>
      </c>
      <c r="I263" s="39"/>
      <c r="J263" s="39"/>
      <c r="K263" s="39"/>
      <c r="L263" s="39"/>
      <c r="M263" s="39"/>
      <c r="N263" s="36">
        <f t="shared" si="5"/>
        <v>0</v>
      </c>
      <c r="O263" s="36">
        <f t="shared" si="5"/>
        <v>0</v>
      </c>
      <c r="P263" s="36">
        <f t="shared" si="5"/>
        <v>0</v>
      </c>
      <c r="Q263" s="36"/>
      <c r="R263" s="36"/>
      <c r="S263" s="36">
        <f t="shared" si="6"/>
        <v>0</v>
      </c>
      <c r="T263" s="37" t="s">
        <v>862</v>
      </c>
      <c r="U263" s="37" t="s">
        <v>316</v>
      </c>
      <c r="V263" s="160">
        <v>2</v>
      </c>
      <c r="W263" s="10">
        <v>9</v>
      </c>
      <c r="X263" s="10"/>
      <c r="Y263" s="10">
        <v>8</v>
      </c>
      <c r="Z263" s="10">
        <v>10</v>
      </c>
      <c r="AA263" s="36">
        <v>365</v>
      </c>
      <c r="AB263" s="10">
        <v>182</v>
      </c>
      <c r="AC263" s="10">
        <v>365</v>
      </c>
      <c r="AD263" s="10"/>
      <c r="AE263" s="10">
        <v>0</v>
      </c>
      <c r="AF263" s="10">
        <v>0</v>
      </c>
      <c r="AG263" s="10">
        <v>0</v>
      </c>
      <c r="AH263" s="10">
        <v>0</v>
      </c>
      <c r="AI263" s="10" t="s">
        <v>218</v>
      </c>
      <c r="AJ263" s="10">
        <v>0</v>
      </c>
      <c r="AK263" s="10">
        <v>0</v>
      </c>
      <c r="AL263" s="10">
        <v>0</v>
      </c>
      <c r="AM263" s="10" t="s">
        <v>218</v>
      </c>
      <c r="AN263" s="10">
        <v>0</v>
      </c>
      <c r="AO263" s="10">
        <v>0</v>
      </c>
      <c r="AP263" s="10">
        <v>0</v>
      </c>
      <c r="AQ263" s="27"/>
    </row>
    <row r="264" spans="1:43" ht="60" x14ac:dyDescent="0.25">
      <c r="A264" s="34">
        <v>0</v>
      </c>
      <c r="B264" s="34">
        <v>0</v>
      </c>
      <c r="C264" s="34">
        <v>0</v>
      </c>
      <c r="D264" s="34">
        <v>0</v>
      </c>
      <c r="E264" s="34">
        <v>0</v>
      </c>
      <c r="F264" s="74">
        <v>0</v>
      </c>
      <c r="G264" s="34">
        <v>0</v>
      </c>
      <c r="H264" s="36">
        <v>0</v>
      </c>
      <c r="I264" s="39"/>
      <c r="J264" s="39"/>
      <c r="K264" s="39"/>
      <c r="L264" s="39"/>
      <c r="M264" s="39"/>
      <c r="N264" s="36">
        <f t="shared" si="5"/>
        <v>0</v>
      </c>
      <c r="O264" s="36">
        <f t="shared" si="5"/>
        <v>0</v>
      </c>
      <c r="P264" s="36">
        <f t="shared" si="5"/>
        <v>0</v>
      </c>
      <c r="Q264" s="36"/>
      <c r="R264" s="36"/>
      <c r="S264" s="36">
        <f t="shared" si="6"/>
        <v>0</v>
      </c>
      <c r="T264" s="37" t="s">
        <v>863</v>
      </c>
      <c r="U264" s="37" t="s">
        <v>316</v>
      </c>
      <c r="V264" s="37">
        <v>1</v>
      </c>
      <c r="W264" s="10"/>
      <c r="X264" s="10"/>
      <c r="Y264" s="10">
        <v>1</v>
      </c>
      <c r="Z264" s="10">
        <v>1</v>
      </c>
      <c r="AA264" s="34">
        <v>365</v>
      </c>
      <c r="AB264" s="10">
        <v>182</v>
      </c>
      <c r="AC264" s="10">
        <v>365</v>
      </c>
      <c r="AD264" s="10"/>
      <c r="AE264" s="10">
        <v>0</v>
      </c>
      <c r="AF264" s="10">
        <v>0</v>
      </c>
      <c r="AG264" s="10" t="s">
        <v>218</v>
      </c>
      <c r="AH264" s="10" t="s">
        <v>218</v>
      </c>
      <c r="AI264" s="10" t="s">
        <v>218</v>
      </c>
      <c r="AJ264" s="10" t="s">
        <v>218</v>
      </c>
      <c r="AK264" s="10" t="s">
        <v>218</v>
      </c>
      <c r="AL264" s="10" t="s">
        <v>218</v>
      </c>
      <c r="AM264" s="10" t="s">
        <v>218</v>
      </c>
      <c r="AN264" s="10" t="s">
        <v>218</v>
      </c>
      <c r="AO264" s="10" t="s">
        <v>218</v>
      </c>
      <c r="AP264" s="10" t="s">
        <v>218</v>
      </c>
      <c r="AQ264" s="27"/>
    </row>
    <row r="265" spans="1:43" ht="60" x14ac:dyDescent="0.25">
      <c r="A265" s="34"/>
      <c r="B265" s="34"/>
      <c r="C265" s="34"/>
      <c r="D265" s="34"/>
      <c r="E265" s="34"/>
      <c r="F265" s="74"/>
      <c r="G265" s="34"/>
      <c r="H265" s="36"/>
      <c r="I265" s="39"/>
      <c r="J265" s="39"/>
      <c r="K265" s="39"/>
      <c r="L265" s="39"/>
      <c r="M265" s="39"/>
      <c r="N265" s="36"/>
      <c r="O265" s="36"/>
      <c r="P265" s="36"/>
      <c r="Q265" s="36"/>
      <c r="R265" s="36"/>
      <c r="S265" s="36"/>
      <c r="T265" s="37" t="s">
        <v>864</v>
      </c>
      <c r="U265" s="37" t="s">
        <v>316</v>
      </c>
      <c r="V265" s="37">
        <v>544</v>
      </c>
      <c r="W265" s="10"/>
      <c r="X265" s="10"/>
      <c r="Y265" s="10">
        <v>286</v>
      </c>
      <c r="Z265" s="10"/>
      <c r="AA265" s="34">
        <v>365</v>
      </c>
      <c r="AB265" s="10">
        <v>182</v>
      </c>
      <c r="AC265" s="10">
        <v>365</v>
      </c>
      <c r="AD265" s="10"/>
      <c r="AE265" s="10"/>
      <c r="AF265" s="10"/>
      <c r="AG265" s="10"/>
      <c r="AH265" s="10"/>
      <c r="AI265" s="10"/>
      <c r="AJ265" s="10"/>
      <c r="AK265" s="10"/>
      <c r="AL265" s="10"/>
      <c r="AM265" s="10"/>
      <c r="AN265" s="10"/>
      <c r="AO265" s="10"/>
      <c r="AP265" s="10"/>
      <c r="AQ265" s="27"/>
    </row>
    <row r="266" spans="1:43" ht="60" x14ac:dyDescent="0.25">
      <c r="A266" s="34"/>
      <c r="B266" s="34"/>
      <c r="C266" s="34"/>
      <c r="D266" s="34"/>
      <c r="E266" s="34"/>
      <c r="F266" s="74"/>
      <c r="G266" s="34"/>
      <c r="H266" s="36"/>
      <c r="I266" s="39"/>
      <c r="J266" s="39"/>
      <c r="K266" s="39"/>
      <c r="L266" s="39"/>
      <c r="M266" s="39"/>
      <c r="N266" s="36"/>
      <c r="O266" s="36"/>
      <c r="P266" s="36"/>
      <c r="Q266" s="36"/>
      <c r="R266" s="36"/>
      <c r="S266" s="36"/>
      <c r="T266" s="37" t="s">
        <v>865</v>
      </c>
      <c r="U266" s="37" t="s">
        <v>316</v>
      </c>
      <c r="V266" s="37">
        <v>527</v>
      </c>
      <c r="W266" s="10"/>
      <c r="X266" s="10"/>
      <c r="Y266" s="10">
        <v>0</v>
      </c>
      <c r="Z266" s="10">
        <v>538</v>
      </c>
      <c r="AA266" s="34">
        <v>365</v>
      </c>
      <c r="AB266" s="10">
        <v>182</v>
      </c>
      <c r="AC266" s="10">
        <v>365</v>
      </c>
      <c r="AD266" s="10"/>
      <c r="AE266" s="10"/>
      <c r="AF266" s="10"/>
      <c r="AG266" s="10"/>
      <c r="AH266" s="10"/>
      <c r="AI266" s="10"/>
      <c r="AJ266" s="10"/>
      <c r="AK266" s="10"/>
      <c r="AL266" s="10"/>
      <c r="AM266" s="10"/>
      <c r="AN266" s="10"/>
      <c r="AO266" s="10"/>
      <c r="AP266" s="10"/>
      <c r="AQ266" s="27"/>
    </row>
    <row r="267" spans="1:43" ht="72" x14ac:dyDescent="0.25">
      <c r="A267" s="34" t="s">
        <v>55</v>
      </c>
      <c r="B267" s="34" t="s">
        <v>354</v>
      </c>
      <c r="C267" s="34" t="s">
        <v>355</v>
      </c>
      <c r="D267" s="34">
        <v>241120600</v>
      </c>
      <c r="E267" s="34">
        <v>12724090</v>
      </c>
      <c r="F267" s="74" t="s">
        <v>502</v>
      </c>
      <c r="G267" s="34" t="s">
        <v>504</v>
      </c>
      <c r="H267" s="36">
        <v>209363000</v>
      </c>
      <c r="I267" s="39">
        <v>531252000</v>
      </c>
      <c r="J267" s="39">
        <v>531252000</v>
      </c>
      <c r="K267" s="39"/>
      <c r="L267" s="39"/>
      <c r="M267" s="39"/>
      <c r="N267" s="36">
        <f t="shared" si="5"/>
        <v>209363000</v>
      </c>
      <c r="O267" s="36">
        <f t="shared" si="5"/>
        <v>531252000</v>
      </c>
      <c r="P267" s="36">
        <f t="shared" si="5"/>
        <v>531252000</v>
      </c>
      <c r="Q267" s="162">
        <v>349689731</v>
      </c>
      <c r="R267" s="36"/>
      <c r="S267" s="36">
        <f t="shared" si="6"/>
        <v>349689731</v>
      </c>
      <c r="T267" s="37" t="s">
        <v>866</v>
      </c>
      <c r="U267" s="37" t="s">
        <v>316</v>
      </c>
      <c r="V267" s="160">
        <v>5</v>
      </c>
      <c r="W267" s="10"/>
      <c r="X267" s="10"/>
      <c r="Y267" s="10">
        <v>5</v>
      </c>
      <c r="Z267" s="10">
        <v>6</v>
      </c>
      <c r="AA267" s="34">
        <v>365</v>
      </c>
      <c r="AB267" s="10">
        <v>182</v>
      </c>
      <c r="AC267" s="10">
        <v>365</v>
      </c>
      <c r="AD267" s="10"/>
      <c r="AE267" s="10" t="s">
        <v>218</v>
      </c>
      <c r="AF267" s="10" t="s">
        <v>218</v>
      </c>
      <c r="AG267" s="10" t="s">
        <v>218</v>
      </c>
      <c r="AH267" s="10" t="s">
        <v>218</v>
      </c>
      <c r="AI267" s="10" t="s">
        <v>218</v>
      </c>
      <c r="AJ267" s="10" t="s">
        <v>218</v>
      </c>
      <c r="AK267" s="10" t="s">
        <v>218</v>
      </c>
      <c r="AL267" s="10" t="s">
        <v>218</v>
      </c>
      <c r="AM267" s="10" t="s">
        <v>218</v>
      </c>
      <c r="AN267" s="10" t="s">
        <v>218</v>
      </c>
      <c r="AO267" s="10" t="s">
        <v>218</v>
      </c>
      <c r="AP267" s="10" t="s">
        <v>218</v>
      </c>
      <c r="AQ267" s="27"/>
    </row>
    <row r="268" spans="1:43" s="172" customFormat="1" ht="84" x14ac:dyDescent="0.25">
      <c r="A268" s="34" t="s">
        <v>55</v>
      </c>
      <c r="B268" s="34" t="s">
        <v>354</v>
      </c>
      <c r="C268" s="34" t="s">
        <v>355</v>
      </c>
      <c r="D268" s="34">
        <v>241120600</v>
      </c>
      <c r="E268" s="34">
        <v>12851090</v>
      </c>
      <c r="F268" s="74" t="s">
        <v>505</v>
      </c>
      <c r="G268" s="34" t="s">
        <v>506</v>
      </c>
      <c r="H268" s="36">
        <v>8009295000</v>
      </c>
      <c r="I268" s="39">
        <v>9409295000</v>
      </c>
      <c r="J268" s="39">
        <v>9347809337</v>
      </c>
      <c r="K268" s="39"/>
      <c r="L268" s="39"/>
      <c r="M268" s="39"/>
      <c r="N268" s="36">
        <f t="shared" si="5"/>
        <v>8009295000</v>
      </c>
      <c r="O268" s="36">
        <f t="shared" si="5"/>
        <v>9409295000</v>
      </c>
      <c r="P268" s="36">
        <f t="shared" si="5"/>
        <v>9347809337</v>
      </c>
      <c r="Q268" s="162">
        <v>6423264159</v>
      </c>
      <c r="R268" s="36"/>
      <c r="S268" s="36">
        <f t="shared" si="6"/>
        <v>6423264159</v>
      </c>
      <c r="T268" s="37" t="s">
        <v>867</v>
      </c>
      <c r="U268" s="37" t="s">
        <v>556</v>
      </c>
      <c r="V268" s="37">
        <v>176</v>
      </c>
      <c r="W268" s="10"/>
      <c r="X268" s="10"/>
      <c r="Y268" s="10">
        <v>176</v>
      </c>
      <c r="Z268" s="10">
        <v>176</v>
      </c>
      <c r="AA268" s="34">
        <v>180</v>
      </c>
      <c r="AB268" s="10">
        <v>180</v>
      </c>
      <c r="AC268" s="10">
        <v>365</v>
      </c>
      <c r="AD268" s="10" t="s">
        <v>868</v>
      </c>
      <c r="AE268" s="10" t="s">
        <v>218</v>
      </c>
      <c r="AF268" s="10" t="s">
        <v>218</v>
      </c>
      <c r="AG268" s="10" t="s">
        <v>218</v>
      </c>
      <c r="AH268" s="10" t="s">
        <v>218</v>
      </c>
      <c r="AI268" s="10" t="s">
        <v>218</v>
      </c>
      <c r="AJ268" s="10" t="s">
        <v>218</v>
      </c>
      <c r="AK268" s="10" t="s">
        <v>218</v>
      </c>
      <c r="AL268" s="10" t="s">
        <v>218</v>
      </c>
      <c r="AM268" s="10" t="s">
        <v>218</v>
      </c>
      <c r="AN268" s="10" t="s">
        <v>218</v>
      </c>
      <c r="AO268" s="10" t="s">
        <v>218</v>
      </c>
      <c r="AP268" s="10" t="s">
        <v>218</v>
      </c>
      <c r="AQ268" s="27"/>
    </row>
    <row r="269" spans="1:43" s="27" customFormat="1" ht="60" x14ac:dyDescent="0.25">
      <c r="A269" s="34">
        <v>0</v>
      </c>
      <c r="B269" s="34">
        <v>0</v>
      </c>
      <c r="C269" s="34">
        <v>0</v>
      </c>
      <c r="D269" s="34">
        <v>0</v>
      </c>
      <c r="E269" s="34">
        <v>0</v>
      </c>
      <c r="F269" s="74">
        <v>0</v>
      </c>
      <c r="G269" s="34">
        <v>0</v>
      </c>
      <c r="H269" s="36">
        <v>0</v>
      </c>
      <c r="I269" s="39"/>
      <c r="J269" s="39"/>
      <c r="K269" s="39"/>
      <c r="L269" s="39"/>
      <c r="M269" s="39"/>
      <c r="N269" s="36">
        <f t="shared" si="5"/>
        <v>0</v>
      </c>
      <c r="O269" s="36">
        <f t="shared" si="5"/>
        <v>0</v>
      </c>
      <c r="P269" s="36">
        <f t="shared" si="5"/>
        <v>0</v>
      </c>
      <c r="Q269" s="36"/>
      <c r="R269" s="36"/>
      <c r="S269" s="36">
        <f t="shared" si="6"/>
        <v>0</v>
      </c>
      <c r="T269" s="37" t="s">
        <v>869</v>
      </c>
      <c r="U269" s="37" t="s">
        <v>556</v>
      </c>
      <c r="V269" s="37">
        <v>34000</v>
      </c>
      <c r="W269" s="10">
        <v>0</v>
      </c>
      <c r="X269" s="10"/>
      <c r="Y269" s="10"/>
      <c r="Z269" s="10">
        <v>34087</v>
      </c>
      <c r="AA269" s="34"/>
      <c r="AB269" s="10"/>
      <c r="AC269" s="10">
        <v>365</v>
      </c>
      <c r="AD269" s="10" t="s">
        <v>870</v>
      </c>
      <c r="AE269" s="10"/>
      <c r="AF269" s="10"/>
      <c r="AG269" s="10"/>
      <c r="AH269" s="10"/>
      <c r="AI269" s="10"/>
      <c r="AJ269" s="10"/>
      <c r="AK269" s="10"/>
      <c r="AL269" s="10"/>
      <c r="AM269" s="10"/>
      <c r="AN269" s="10"/>
      <c r="AO269" s="10"/>
      <c r="AP269" s="10"/>
    </row>
    <row r="270" spans="1:43" s="27" customFormat="1" ht="156" x14ac:dyDescent="0.25">
      <c r="A270" s="34">
        <v>0</v>
      </c>
      <c r="B270" s="34">
        <v>0</v>
      </c>
      <c r="C270" s="34">
        <v>0</v>
      </c>
      <c r="D270" s="34">
        <v>0</v>
      </c>
      <c r="E270" s="34">
        <v>0</v>
      </c>
      <c r="F270" s="74">
        <v>0</v>
      </c>
      <c r="G270" s="34">
        <v>0</v>
      </c>
      <c r="H270" s="36">
        <v>0</v>
      </c>
      <c r="I270" s="39"/>
      <c r="J270" s="39"/>
      <c r="K270" s="39"/>
      <c r="L270" s="39"/>
      <c r="M270" s="39"/>
      <c r="N270" s="36">
        <f t="shared" si="5"/>
        <v>0</v>
      </c>
      <c r="O270" s="36">
        <f t="shared" si="5"/>
        <v>0</v>
      </c>
      <c r="P270" s="36">
        <f t="shared" si="5"/>
        <v>0</v>
      </c>
      <c r="Q270" s="36"/>
      <c r="R270" s="36"/>
      <c r="S270" s="36">
        <f t="shared" si="6"/>
        <v>0</v>
      </c>
      <c r="T270" s="37" t="s">
        <v>871</v>
      </c>
      <c r="U270" s="37" t="s">
        <v>872</v>
      </c>
      <c r="V270" s="37">
        <v>30</v>
      </c>
      <c r="W270" s="10"/>
      <c r="X270" s="10"/>
      <c r="Y270" s="10"/>
      <c r="Z270" s="10">
        <v>21</v>
      </c>
      <c r="AA270" s="34"/>
      <c r="AB270" s="10"/>
      <c r="AC270" s="10">
        <v>365</v>
      </c>
      <c r="AD270" s="10" t="s">
        <v>873</v>
      </c>
      <c r="AE270" s="10">
        <v>0</v>
      </c>
      <c r="AF270" s="10">
        <v>0</v>
      </c>
      <c r="AG270" s="10" t="s">
        <v>218</v>
      </c>
      <c r="AH270" s="10" t="s">
        <v>218</v>
      </c>
      <c r="AI270" s="10" t="s">
        <v>218</v>
      </c>
      <c r="AJ270" s="10" t="s">
        <v>218</v>
      </c>
      <c r="AK270" s="10" t="s">
        <v>218</v>
      </c>
      <c r="AL270" s="10" t="s">
        <v>218</v>
      </c>
      <c r="AM270" s="10" t="s">
        <v>218</v>
      </c>
      <c r="AN270" s="10" t="s">
        <v>218</v>
      </c>
      <c r="AO270" s="10" t="s">
        <v>218</v>
      </c>
      <c r="AP270" s="10" t="s">
        <v>218</v>
      </c>
    </row>
    <row r="271" spans="1:43" s="27" customFormat="1" ht="45" x14ac:dyDescent="0.25">
      <c r="A271" s="34"/>
      <c r="B271" s="34"/>
      <c r="C271" s="34"/>
      <c r="D271" s="34"/>
      <c r="E271" s="34"/>
      <c r="F271" s="74"/>
      <c r="G271" s="34"/>
      <c r="H271" s="36"/>
      <c r="I271" s="39"/>
      <c r="J271" s="39"/>
      <c r="K271" s="39"/>
      <c r="L271" s="39"/>
      <c r="M271" s="39"/>
      <c r="N271" s="36"/>
      <c r="O271" s="36"/>
      <c r="P271" s="36"/>
      <c r="Q271" s="36"/>
      <c r="R271" s="36"/>
      <c r="S271" s="36"/>
      <c r="T271" s="37" t="s">
        <v>874</v>
      </c>
      <c r="U271" s="37" t="s">
        <v>556</v>
      </c>
      <c r="V271" s="37">
        <v>114</v>
      </c>
      <c r="W271" s="10">
        <v>114</v>
      </c>
      <c r="X271" s="10"/>
      <c r="Y271" s="10">
        <v>114</v>
      </c>
      <c r="Z271" s="10">
        <v>114</v>
      </c>
      <c r="AA271" s="34">
        <v>180</v>
      </c>
      <c r="AB271" s="10">
        <v>180</v>
      </c>
      <c r="AC271" s="10">
        <v>365</v>
      </c>
      <c r="AD271" s="10" t="s">
        <v>875</v>
      </c>
      <c r="AE271" s="10"/>
      <c r="AF271" s="10"/>
      <c r="AG271" s="10"/>
      <c r="AH271" s="10"/>
      <c r="AI271" s="10"/>
      <c r="AJ271" s="10"/>
      <c r="AK271" s="10"/>
      <c r="AL271" s="10"/>
      <c r="AM271" s="10"/>
      <c r="AN271" s="10"/>
      <c r="AO271" s="10"/>
      <c r="AP271" s="10"/>
    </row>
    <row r="272" spans="1:43" s="27" customFormat="1" ht="60" x14ac:dyDescent="0.25">
      <c r="A272" s="34">
        <v>0</v>
      </c>
      <c r="B272" s="34">
        <v>0</v>
      </c>
      <c r="C272" s="34">
        <v>0</v>
      </c>
      <c r="D272" s="34">
        <v>0</v>
      </c>
      <c r="E272" s="34">
        <v>0</v>
      </c>
      <c r="F272" s="74">
        <v>0</v>
      </c>
      <c r="G272" s="34">
        <v>0</v>
      </c>
      <c r="H272" s="36">
        <v>0</v>
      </c>
      <c r="I272" s="39"/>
      <c r="J272" s="39"/>
      <c r="K272" s="39"/>
      <c r="L272" s="39"/>
      <c r="M272" s="39"/>
      <c r="N272" s="36">
        <f t="shared" si="5"/>
        <v>0</v>
      </c>
      <c r="O272" s="36">
        <f t="shared" si="5"/>
        <v>0</v>
      </c>
      <c r="P272" s="36">
        <f t="shared" si="5"/>
        <v>0</v>
      </c>
      <c r="Q272" s="36"/>
      <c r="R272" s="36"/>
      <c r="S272" s="36">
        <f t="shared" si="6"/>
        <v>0</v>
      </c>
      <c r="T272" s="37" t="s">
        <v>876</v>
      </c>
      <c r="U272" s="37" t="s">
        <v>556</v>
      </c>
      <c r="V272" s="37">
        <v>10</v>
      </c>
      <c r="W272" s="10">
        <v>0</v>
      </c>
      <c r="X272" s="10"/>
      <c r="Y272" s="10"/>
      <c r="Z272" s="10">
        <v>20</v>
      </c>
      <c r="AA272" s="34"/>
      <c r="AB272" s="10"/>
      <c r="AC272" s="10">
        <v>365</v>
      </c>
      <c r="AD272" s="10"/>
      <c r="AE272" s="10">
        <v>0</v>
      </c>
      <c r="AF272" s="10" t="s">
        <v>218</v>
      </c>
      <c r="AG272" s="10" t="s">
        <v>218</v>
      </c>
      <c r="AH272" s="10" t="s">
        <v>218</v>
      </c>
      <c r="AI272" s="10" t="s">
        <v>218</v>
      </c>
      <c r="AJ272" s="10" t="s">
        <v>218</v>
      </c>
      <c r="AK272" s="10" t="s">
        <v>218</v>
      </c>
      <c r="AL272" s="10" t="s">
        <v>218</v>
      </c>
      <c r="AM272" s="10" t="s">
        <v>218</v>
      </c>
      <c r="AN272" s="10" t="s">
        <v>218</v>
      </c>
      <c r="AO272" s="10" t="s">
        <v>218</v>
      </c>
      <c r="AP272" s="10" t="s">
        <v>218</v>
      </c>
    </row>
    <row r="273" spans="1:43" s="27" customFormat="1" ht="156" x14ac:dyDescent="0.25">
      <c r="A273" s="34" t="s">
        <v>55</v>
      </c>
      <c r="B273" s="34" t="s">
        <v>354</v>
      </c>
      <c r="C273" s="34" t="s">
        <v>355</v>
      </c>
      <c r="D273" s="34">
        <v>241120600</v>
      </c>
      <c r="E273" s="34">
        <v>12851001</v>
      </c>
      <c r="F273" s="74" t="s">
        <v>505</v>
      </c>
      <c r="G273" s="34" t="s">
        <v>506</v>
      </c>
      <c r="H273" s="36"/>
      <c r="I273" s="39">
        <v>1536943472</v>
      </c>
      <c r="J273" s="39">
        <v>1536943472</v>
      </c>
      <c r="K273" s="39"/>
      <c r="L273" s="39"/>
      <c r="M273" s="39"/>
      <c r="N273" s="36">
        <f t="shared" si="5"/>
        <v>0</v>
      </c>
      <c r="O273" s="36">
        <f t="shared" si="5"/>
        <v>1536943472</v>
      </c>
      <c r="P273" s="36">
        <f t="shared" si="5"/>
        <v>1536943472</v>
      </c>
      <c r="Q273" s="162">
        <v>895296745</v>
      </c>
      <c r="R273" s="36"/>
      <c r="S273" s="36">
        <f t="shared" si="6"/>
        <v>895296745</v>
      </c>
      <c r="T273" s="37" t="s">
        <v>871</v>
      </c>
      <c r="U273" s="37" t="s">
        <v>872</v>
      </c>
      <c r="V273" s="37">
        <v>30</v>
      </c>
      <c r="W273" s="10">
        <v>30</v>
      </c>
      <c r="X273" s="10"/>
      <c r="Y273" s="10">
        <v>3</v>
      </c>
      <c r="Z273" s="10">
        <v>21</v>
      </c>
      <c r="AA273" s="34">
        <v>180</v>
      </c>
      <c r="AB273" s="10">
        <v>180</v>
      </c>
      <c r="AC273" s="10">
        <v>365</v>
      </c>
      <c r="AD273" s="10"/>
      <c r="AE273" s="10"/>
      <c r="AF273" s="10" t="s">
        <v>218</v>
      </c>
      <c r="AG273" s="10" t="s">
        <v>218</v>
      </c>
      <c r="AH273" s="10" t="s">
        <v>218</v>
      </c>
      <c r="AI273" s="10" t="s">
        <v>218</v>
      </c>
      <c r="AJ273" s="10" t="s">
        <v>218</v>
      </c>
      <c r="AK273" s="10" t="s">
        <v>218</v>
      </c>
      <c r="AL273" s="10" t="s">
        <v>218</v>
      </c>
      <c r="AM273" s="10" t="s">
        <v>218</v>
      </c>
      <c r="AN273" s="10" t="s">
        <v>218</v>
      </c>
      <c r="AO273" s="10" t="s">
        <v>218</v>
      </c>
      <c r="AP273" s="10" t="s">
        <v>218</v>
      </c>
    </row>
    <row r="274" spans="1:43" s="27" customFormat="1" ht="60" x14ac:dyDescent="0.25">
      <c r="A274" s="34"/>
      <c r="B274" s="34"/>
      <c r="C274" s="34"/>
      <c r="D274" s="34"/>
      <c r="E274" s="34"/>
      <c r="F274" s="74"/>
      <c r="G274" s="34"/>
      <c r="H274" s="36"/>
      <c r="I274" s="39"/>
      <c r="J274" s="39"/>
      <c r="K274" s="39"/>
      <c r="L274" s="39"/>
      <c r="M274" s="39"/>
      <c r="N274" s="36"/>
      <c r="O274" s="36"/>
      <c r="P274" s="36"/>
      <c r="Q274" s="36"/>
      <c r="R274" s="36"/>
      <c r="S274" s="36"/>
      <c r="T274" s="37" t="s">
        <v>876</v>
      </c>
      <c r="U274" s="37" t="s">
        <v>556</v>
      </c>
      <c r="V274" s="37">
        <v>10</v>
      </c>
      <c r="W274" s="10">
        <v>10</v>
      </c>
      <c r="X274" s="10"/>
      <c r="Y274" s="10">
        <v>10</v>
      </c>
      <c r="Z274" s="10">
        <v>20</v>
      </c>
      <c r="AA274" s="34">
        <v>180</v>
      </c>
      <c r="AB274" s="10">
        <v>180</v>
      </c>
      <c r="AC274" s="10">
        <v>365</v>
      </c>
      <c r="AD274" s="10"/>
      <c r="AE274" s="10"/>
      <c r="AF274" s="10" t="s">
        <v>218</v>
      </c>
      <c r="AG274" s="10" t="s">
        <v>218</v>
      </c>
      <c r="AH274" s="10" t="s">
        <v>218</v>
      </c>
      <c r="AI274" s="10" t="s">
        <v>218</v>
      </c>
      <c r="AJ274" s="10" t="s">
        <v>218</v>
      </c>
      <c r="AK274" s="10" t="s">
        <v>218</v>
      </c>
      <c r="AL274" s="10" t="s">
        <v>218</v>
      </c>
      <c r="AM274" s="10" t="s">
        <v>218</v>
      </c>
      <c r="AN274" s="10" t="s">
        <v>218</v>
      </c>
      <c r="AO274" s="10" t="s">
        <v>218</v>
      </c>
      <c r="AP274" s="10" t="s">
        <v>218</v>
      </c>
    </row>
    <row r="275" spans="1:43" s="27" customFormat="1" ht="144" x14ac:dyDescent="0.25">
      <c r="A275" s="34" t="s">
        <v>55</v>
      </c>
      <c r="B275" s="34" t="s">
        <v>354</v>
      </c>
      <c r="C275" s="34" t="s">
        <v>355</v>
      </c>
      <c r="D275" s="34">
        <v>241120600</v>
      </c>
      <c r="E275" s="34">
        <v>12863001</v>
      </c>
      <c r="F275" s="74" t="s">
        <v>507</v>
      </c>
      <c r="G275" s="34" t="s">
        <v>508</v>
      </c>
      <c r="H275" s="36">
        <v>100000000</v>
      </c>
      <c r="I275" s="39">
        <v>308950000</v>
      </c>
      <c r="J275" s="39">
        <v>308950000</v>
      </c>
      <c r="K275" s="39"/>
      <c r="L275" s="39"/>
      <c r="M275" s="39"/>
      <c r="N275" s="36">
        <f t="shared" si="5"/>
        <v>100000000</v>
      </c>
      <c r="O275" s="36">
        <f t="shared" si="5"/>
        <v>308950000</v>
      </c>
      <c r="P275" s="36">
        <f t="shared" si="5"/>
        <v>308950000</v>
      </c>
      <c r="Q275" s="144">
        <v>149498106</v>
      </c>
      <c r="R275" s="36"/>
      <c r="S275" s="36">
        <f t="shared" si="6"/>
        <v>149498106</v>
      </c>
      <c r="T275" s="37" t="s">
        <v>877</v>
      </c>
      <c r="U275" s="37" t="s">
        <v>556</v>
      </c>
      <c r="V275" s="160">
        <v>12</v>
      </c>
      <c r="W275" s="10">
        <v>17</v>
      </c>
      <c r="X275" s="10"/>
      <c r="Y275" s="10">
        <v>11</v>
      </c>
      <c r="Z275" s="10">
        <v>17</v>
      </c>
      <c r="AA275" s="34">
        <v>365</v>
      </c>
      <c r="AB275" s="10">
        <v>182</v>
      </c>
      <c r="AC275" s="10">
        <v>365</v>
      </c>
      <c r="AD275" s="10" t="s">
        <v>878</v>
      </c>
      <c r="AE275" s="10" t="s">
        <v>218</v>
      </c>
      <c r="AF275" s="10" t="s">
        <v>218</v>
      </c>
      <c r="AG275" s="10" t="s">
        <v>218</v>
      </c>
      <c r="AH275" s="10" t="s">
        <v>218</v>
      </c>
      <c r="AI275" s="10" t="s">
        <v>218</v>
      </c>
      <c r="AJ275" s="10" t="s">
        <v>218</v>
      </c>
      <c r="AK275" s="10" t="s">
        <v>218</v>
      </c>
      <c r="AL275" s="10" t="s">
        <v>218</v>
      </c>
      <c r="AM275" s="10" t="s">
        <v>218</v>
      </c>
      <c r="AN275" s="10" t="s">
        <v>218</v>
      </c>
      <c r="AO275" s="10" t="s">
        <v>218</v>
      </c>
      <c r="AP275" s="10" t="s">
        <v>218</v>
      </c>
    </row>
    <row r="276" spans="1:43" ht="132" x14ac:dyDescent="0.25">
      <c r="A276" s="34" t="s">
        <v>55</v>
      </c>
      <c r="B276" s="34" t="s">
        <v>354</v>
      </c>
      <c r="C276" s="34" t="s">
        <v>355</v>
      </c>
      <c r="D276" s="34">
        <v>241120600</v>
      </c>
      <c r="E276" s="34">
        <v>12863090</v>
      </c>
      <c r="F276" s="74" t="s">
        <v>507</v>
      </c>
      <c r="G276" s="34" t="s">
        <v>509</v>
      </c>
      <c r="H276" s="36">
        <v>68963000</v>
      </c>
      <c r="I276" s="39">
        <v>78463000</v>
      </c>
      <c r="J276" s="39">
        <v>88463000</v>
      </c>
      <c r="K276" s="39"/>
      <c r="L276" s="39"/>
      <c r="M276" s="39"/>
      <c r="N276" s="36">
        <f t="shared" si="5"/>
        <v>68963000</v>
      </c>
      <c r="O276" s="36">
        <f t="shared" si="5"/>
        <v>78463000</v>
      </c>
      <c r="P276" s="36">
        <f t="shared" si="5"/>
        <v>88463000</v>
      </c>
      <c r="Q276" s="162">
        <v>68628100</v>
      </c>
      <c r="R276" s="36"/>
      <c r="S276" s="36">
        <f t="shared" si="6"/>
        <v>68628100</v>
      </c>
      <c r="T276" s="37" t="s">
        <v>754</v>
      </c>
      <c r="U276" s="37" t="s">
        <v>556</v>
      </c>
      <c r="V276" s="160">
        <v>1</v>
      </c>
      <c r="W276" s="10"/>
      <c r="X276" s="10"/>
      <c r="Y276" s="10">
        <v>1</v>
      </c>
      <c r="Z276" s="10">
        <v>1</v>
      </c>
      <c r="AA276" s="34">
        <v>365</v>
      </c>
      <c r="AB276" s="10">
        <v>182</v>
      </c>
      <c r="AC276" s="10">
        <v>365</v>
      </c>
      <c r="AD276" s="10"/>
      <c r="AE276" s="10" t="s">
        <v>218</v>
      </c>
      <c r="AF276" s="10" t="s">
        <v>218</v>
      </c>
      <c r="AG276" s="10" t="s">
        <v>218</v>
      </c>
      <c r="AH276" s="10" t="s">
        <v>218</v>
      </c>
      <c r="AI276" s="10" t="s">
        <v>218</v>
      </c>
      <c r="AJ276" s="10" t="s">
        <v>218</v>
      </c>
      <c r="AK276" s="10" t="s">
        <v>218</v>
      </c>
      <c r="AL276" s="10" t="s">
        <v>218</v>
      </c>
      <c r="AM276" s="10" t="s">
        <v>218</v>
      </c>
      <c r="AN276" s="10" t="s">
        <v>218</v>
      </c>
      <c r="AO276" s="10" t="s">
        <v>218</v>
      </c>
      <c r="AP276" s="10" t="s">
        <v>218</v>
      </c>
      <c r="AQ276" s="27"/>
    </row>
    <row r="277" spans="1:43" s="172" customFormat="1" ht="72" x14ac:dyDescent="0.25">
      <c r="A277" s="34" t="s">
        <v>55</v>
      </c>
      <c r="B277" s="34" t="s">
        <v>354</v>
      </c>
      <c r="C277" s="34" t="s">
        <v>355</v>
      </c>
      <c r="D277" s="34">
        <v>241120600</v>
      </c>
      <c r="E277" s="34">
        <v>12878001</v>
      </c>
      <c r="F277" s="74" t="s">
        <v>510</v>
      </c>
      <c r="G277" s="34" t="s">
        <v>511</v>
      </c>
      <c r="H277" s="36">
        <v>700000000</v>
      </c>
      <c r="I277" s="39">
        <v>1660000000</v>
      </c>
      <c r="J277" s="39">
        <v>1652643300</v>
      </c>
      <c r="K277" s="39"/>
      <c r="L277" s="39"/>
      <c r="M277" s="39"/>
      <c r="N277" s="36">
        <f t="shared" si="5"/>
        <v>700000000</v>
      </c>
      <c r="O277" s="36">
        <f t="shared" si="5"/>
        <v>1660000000</v>
      </c>
      <c r="P277" s="36">
        <f t="shared" si="5"/>
        <v>1652643300</v>
      </c>
      <c r="Q277" s="162">
        <v>1613320466</v>
      </c>
      <c r="R277" s="36"/>
      <c r="S277" s="36">
        <f t="shared" si="6"/>
        <v>1613320466</v>
      </c>
      <c r="T277" s="37" t="s">
        <v>879</v>
      </c>
      <c r="U277" s="37" t="s">
        <v>225</v>
      </c>
      <c r="V277" s="160">
        <v>1</v>
      </c>
      <c r="W277" s="10"/>
      <c r="X277" s="10"/>
      <c r="Y277" s="10"/>
      <c r="Z277" s="10">
        <v>1</v>
      </c>
      <c r="AA277" s="34">
        <v>180</v>
      </c>
      <c r="AB277" s="10">
        <v>80</v>
      </c>
      <c r="AC277" s="10">
        <v>160</v>
      </c>
      <c r="AD277" s="10" t="s">
        <v>880</v>
      </c>
      <c r="AE277" s="10">
        <v>0</v>
      </c>
      <c r="AF277" s="10">
        <v>0</v>
      </c>
      <c r="AG277" s="10">
        <v>0</v>
      </c>
      <c r="AH277" s="10">
        <v>0</v>
      </c>
      <c r="AI277" s="10">
        <v>0</v>
      </c>
      <c r="AJ277" s="10">
        <v>0</v>
      </c>
      <c r="AK277" s="10">
        <v>0</v>
      </c>
      <c r="AL277" s="10" t="s">
        <v>218</v>
      </c>
      <c r="AM277" s="10">
        <v>0</v>
      </c>
      <c r="AN277" s="10">
        <v>0</v>
      </c>
      <c r="AO277" s="10">
        <v>0</v>
      </c>
      <c r="AP277" s="10">
        <v>0</v>
      </c>
      <c r="AQ277" s="27"/>
    </row>
    <row r="278" spans="1:43" ht="72" x14ac:dyDescent="0.25">
      <c r="A278" s="34">
        <v>0</v>
      </c>
      <c r="B278" s="34">
        <v>0</v>
      </c>
      <c r="C278" s="34">
        <v>0</v>
      </c>
      <c r="D278" s="34">
        <v>0</v>
      </c>
      <c r="E278" s="34">
        <v>0</v>
      </c>
      <c r="F278" s="74">
        <v>0</v>
      </c>
      <c r="G278" s="34">
        <v>0</v>
      </c>
      <c r="H278" s="36">
        <v>0</v>
      </c>
      <c r="I278" s="39"/>
      <c r="J278" s="39"/>
      <c r="K278" s="39"/>
      <c r="L278" s="39"/>
      <c r="M278" s="39"/>
      <c r="N278" s="36">
        <f t="shared" si="5"/>
        <v>0</v>
      </c>
      <c r="O278" s="36">
        <f t="shared" si="5"/>
        <v>0</v>
      </c>
      <c r="P278" s="36">
        <f t="shared" si="5"/>
        <v>0</v>
      </c>
      <c r="Q278" s="36"/>
      <c r="R278" s="36"/>
      <c r="S278" s="36">
        <f t="shared" si="6"/>
        <v>0</v>
      </c>
      <c r="T278" s="37" t="s">
        <v>881</v>
      </c>
      <c r="U278" s="37" t="s">
        <v>882</v>
      </c>
      <c r="V278" s="160">
        <v>174</v>
      </c>
      <c r="W278" s="10"/>
      <c r="X278" s="10"/>
      <c r="Y278" s="10">
        <v>174</v>
      </c>
      <c r="Z278" s="10">
        <v>235</v>
      </c>
      <c r="AA278" s="36">
        <v>180</v>
      </c>
      <c r="AB278" s="10">
        <v>80</v>
      </c>
      <c r="AC278" s="10">
        <v>160</v>
      </c>
      <c r="AD278" s="10"/>
      <c r="AE278" s="10">
        <v>0</v>
      </c>
      <c r="AF278" s="10">
        <v>0</v>
      </c>
      <c r="AG278" s="10">
        <v>0</v>
      </c>
      <c r="AH278" s="10">
        <v>0</v>
      </c>
      <c r="AI278" s="10">
        <v>0</v>
      </c>
      <c r="AJ278" s="10">
        <v>0</v>
      </c>
      <c r="AK278" s="10" t="s">
        <v>218</v>
      </c>
      <c r="AL278" s="10" t="s">
        <v>218</v>
      </c>
      <c r="AM278" s="10" t="s">
        <v>218</v>
      </c>
      <c r="AN278" s="10" t="s">
        <v>218</v>
      </c>
      <c r="AO278" s="10" t="s">
        <v>218</v>
      </c>
      <c r="AP278" s="10" t="s">
        <v>218</v>
      </c>
      <c r="AQ278" s="27"/>
    </row>
    <row r="279" spans="1:43" ht="132" x14ac:dyDescent="0.25">
      <c r="A279" s="34">
        <v>0</v>
      </c>
      <c r="B279" s="34">
        <v>0</v>
      </c>
      <c r="C279" s="34">
        <v>0</v>
      </c>
      <c r="D279" s="34">
        <v>0</v>
      </c>
      <c r="E279" s="34">
        <v>0</v>
      </c>
      <c r="F279" s="74">
        <v>0</v>
      </c>
      <c r="G279" s="34">
        <v>0</v>
      </c>
      <c r="H279" s="36">
        <v>0</v>
      </c>
      <c r="I279" s="39"/>
      <c r="J279" s="39"/>
      <c r="K279" s="39"/>
      <c r="L279" s="39"/>
      <c r="M279" s="39"/>
      <c r="N279" s="36">
        <f t="shared" si="5"/>
        <v>0</v>
      </c>
      <c r="O279" s="36">
        <f t="shared" si="5"/>
        <v>0</v>
      </c>
      <c r="P279" s="36">
        <f t="shared" si="5"/>
        <v>0</v>
      </c>
      <c r="Q279" s="36"/>
      <c r="R279" s="36"/>
      <c r="S279" s="36">
        <f t="shared" si="6"/>
        <v>0</v>
      </c>
      <c r="T279" s="37" t="s">
        <v>883</v>
      </c>
      <c r="U279" s="37" t="s">
        <v>884</v>
      </c>
      <c r="V279" s="160">
        <v>4873</v>
      </c>
      <c r="W279" s="10"/>
      <c r="X279" s="10"/>
      <c r="Y279" s="10">
        <v>2400</v>
      </c>
      <c r="Z279" s="10">
        <v>4873</v>
      </c>
      <c r="AA279" s="36">
        <v>210</v>
      </c>
      <c r="AB279" s="10">
        <v>105</v>
      </c>
      <c r="AC279" s="10">
        <v>210</v>
      </c>
      <c r="AD279" s="10"/>
      <c r="AE279" s="10">
        <v>0</v>
      </c>
      <c r="AF279" s="10" t="s">
        <v>102</v>
      </c>
      <c r="AG279" s="10" t="s">
        <v>102</v>
      </c>
      <c r="AH279" s="10" t="s">
        <v>218</v>
      </c>
      <c r="AI279" s="10" t="s">
        <v>218</v>
      </c>
      <c r="AJ279" s="10" t="s">
        <v>218</v>
      </c>
      <c r="AK279" s="10" t="s">
        <v>218</v>
      </c>
      <c r="AL279" s="10" t="s">
        <v>218</v>
      </c>
      <c r="AM279" s="10">
        <v>0</v>
      </c>
      <c r="AN279" s="10">
        <v>0</v>
      </c>
      <c r="AO279" s="10">
        <v>0</v>
      </c>
      <c r="AP279" s="10">
        <v>0</v>
      </c>
      <c r="AQ279" s="27"/>
    </row>
    <row r="280" spans="1:43" ht="84" x14ac:dyDescent="0.25">
      <c r="A280" s="34">
        <v>0</v>
      </c>
      <c r="B280" s="34">
        <v>0</v>
      </c>
      <c r="C280" s="34">
        <v>0</v>
      </c>
      <c r="D280" s="34">
        <v>0</v>
      </c>
      <c r="E280" s="34">
        <v>0</v>
      </c>
      <c r="F280" s="74">
        <v>0</v>
      </c>
      <c r="G280" s="34">
        <v>0</v>
      </c>
      <c r="H280" s="36">
        <v>0</v>
      </c>
      <c r="I280" s="39"/>
      <c r="J280" s="39"/>
      <c r="K280" s="39"/>
      <c r="L280" s="39"/>
      <c r="M280" s="39"/>
      <c r="N280" s="36">
        <f t="shared" si="5"/>
        <v>0</v>
      </c>
      <c r="O280" s="36">
        <f t="shared" si="5"/>
        <v>0</v>
      </c>
      <c r="P280" s="36">
        <f t="shared" si="5"/>
        <v>0</v>
      </c>
      <c r="Q280" s="36"/>
      <c r="R280" s="36"/>
      <c r="S280" s="36">
        <f t="shared" si="6"/>
        <v>0</v>
      </c>
      <c r="T280" s="37" t="s">
        <v>885</v>
      </c>
      <c r="U280" s="37" t="s">
        <v>886</v>
      </c>
      <c r="V280" s="160">
        <v>726</v>
      </c>
      <c r="W280" s="10"/>
      <c r="X280" s="10"/>
      <c r="Y280" s="10">
        <v>453</v>
      </c>
      <c r="Z280" s="10">
        <v>726</v>
      </c>
      <c r="AA280" s="34">
        <v>335</v>
      </c>
      <c r="AB280" s="10">
        <v>117</v>
      </c>
      <c r="AC280" s="10">
        <v>234</v>
      </c>
      <c r="AD280" s="10"/>
      <c r="AE280" s="10">
        <v>0</v>
      </c>
      <c r="AF280" s="10" t="s">
        <v>218</v>
      </c>
      <c r="AG280" s="10" t="s">
        <v>218</v>
      </c>
      <c r="AH280" s="10" t="s">
        <v>218</v>
      </c>
      <c r="AI280" s="10" t="s">
        <v>218</v>
      </c>
      <c r="AJ280" s="10" t="s">
        <v>218</v>
      </c>
      <c r="AK280" s="10" t="s">
        <v>218</v>
      </c>
      <c r="AL280" s="10" t="s">
        <v>218</v>
      </c>
      <c r="AM280" s="10" t="s">
        <v>218</v>
      </c>
      <c r="AN280" s="10" t="s">
        <v>218</v>
      </c>
      <c r="AO280" s="10" t="s">
        <v>218</v>
      </c>
      <c r="AP280" s="10" t="s">
        <v>218</v>
      </c>
      <c r="AQ280" s="27"/>
    </row>
    <row r="281" spans="1:43" ht="132" x14ac:dyDescent="0.25">
      <c r="A281" s="34">
        <v>0</v>
      </c>
      <c r="B281" s="34">
        <v>0</v>
      </c>
      <c r="C281" s="34">
        <v>0</v>
      </c>
      <c r="D281" s="34">
        <v>0</v>
      </c>
      <c r="E281" s="34">
        <v>0</v>
      </c>
      <c r="F281" s="74">
        <v>0</v>
      </c>
      <c r="G281" s="34">
        <v>0</v>
      </c>
      <c r="H281" s="36">
        <v>0</v>
      </c>
      <c r="I281" s="39"/>
      <c r="J281" s="39"/>
      <c r="K281" s="39"/>
      <c r="L281" s="39"/>
      <c r="M281" s="39"/>
      <c r="N281" s="36">
        <f t="shared" si="5"/>
        <v>0</v>
      </c>
      <c r="O281" s="36">
        <f t="shared" si="5"/>
        <v>0</v>
      </c>
      <c r="P281" s="36">
        <f t="shared" si="5"/>
        <v>0</v>
      </c>
      <c r="Q281" s="36"/>
      <c r="R281" s="36"/>
      <c r="S281" s="36">
        <f t="shared" si="6"/>
        <v>0</v>
      </c>
      <c r="T281" s="37" t="s">
        <v>887</v>
      </c>
      <c r="U281" s="37" t="s">
        <v>884</v>
      </c>
      <c r="V281" s="160">
        <v>5700</v>
      </c>
      <c r="W281" s="10"/>
      <c r="X281" s="10"/>
      <c r="Y281" s="10">
        <v>1758</v>
      </c>
      <c r="Z281" s="10">
        <v>5700</v>
      </c>
      <c r="AA281" s="34">
        <v>224</v>
      </c>
      <c r="AB281" s="10">
        <v>112</v>
      </c>
      <c r="AC281" s="10">
        <v>234</v>
      </c>
      <c r="AD281" s="10"/>
      <c r="AE281" s="10" t="s">
        <v>218</v>
      </c>
      <c r="AF281" s="10" t="s">
        <v>218</v>
      </c>
      <c r="AG281" s="10" t="s">
        <v>218</v>
      </c>
      <c r="AH281" s="10" t="s">
        <v>218</v>
      </c>
      <c r="AI281" s="10" t="s">
        <v>218</v>
      </c>
      <c r="AJ281" s="10" t="s">
        <v>218</v>
      </c>
      <c r="AK281" s="10" t="s">
        <v>218</v>
      </c>
      <c r="AL281" s="10" t="s">
        <v>218</v>
      </c>
      <c r="AM281" s="10" t="s">
        <v>218</v>
      </c>
      <c r="AN281" s="10" t="s">
        <v>218</v>
      </c>
      <c r="AO281" s="10" t="s">
        <v>218</v>
      </c>
      <c r="AP281" s="10" t="s">
        <v>218</v>
      </c>
      <c r="AQ281" s="27"/>
    </row>
    <row r="282" spans="1:43" ht="60" x14ac:dyDescent="0.25">
      <c r="A282" s="34">
        <v>0</v>
      </c>
      <c r="B282" s="34">
        <v>0</v>
      </c>
      <c r="C282" s="34">
        <v>0</v>
      </c>
      <c r="D282" s="34">
        <v>0</v>
      </c>
      <c r="E282" s="34">
        <v>0</v>
      </c>
      <c r="F282" s="74">
        <v>0</v>
      </c>
      <c r="G282" s="34">
        <v>0</v>
      </c>
      <c r="H282" s="36">
        <v>0</v>
      </c>
      <c r="I282" s="39"/>
      <c r="J282" s="39"/>
      <c r="K282" s="39"/>
      <c r="L282" s="39"/>
      <c r="M282" s="39"/>
      <c r="N282" s="36">
        <f t="shared" si="5"/>
        <v>0</v>
      </c>
      <c r="O282" s="36">
        <f t="shared" si="5"/>
        <v>0</v>
      </c>
      <c r="P282" s="36">
        <f t="shared" si="5"/>
        <v>0</v>
      </c>
      <c r="Q282" s="36"/>
      <c r="R282" s="36"/>
      <c r="S282" s="36">
        <f t="shared" si="6"/>
        <v>0</v>
      </c>
      <c r="T282" s="37" t="s">
        <v>888</v>
      </c>
      <c r="U282" s="37" t="s">
        <v>889</v>
      </c>
      <c r="V282" s="160">
        <v>1844</v>
      </c>
      <c r="W282" s="10"/>
      <c r="X282" s="10"/>
      <c r="Y282" s="10">
        <v>922</v>
      </c>
      <c r="Z282" s="10">
        <v>1069</v>
      </c>
      <c r="AA282" s="34">
        <v>335</v>
      </c>
      <c r="AB282" s="10">
        <v>117</v>
      </c>
      <c r="AC282" s="10">
        <v>234</v>
      </c>
      <c r="AD282" s="10"/>
      <c r="AE282" s="10">
        <v>0</v>
      </c>
      <c r="AF282" s="10" t="s">
        <v>218</v>
      </c>
      <c r="AG282" s="10" t="s">
        <v>218</v>
      </c>
      <c r="AH282" s="10" t="s">
        <v>218</v>
      </c>
      <c r="AI282" s="10" t="s">
        <v>218</v>
      </c>
      <c r="AJ282" s="10" t="s">
        <v>218</v>
      </c>
      <c r="AK282" s="10" t="s">
        <v>218</v>
      </c>
      <c r="AL282" s="10" t="s">
        <v>218</v>
      </c>
      <c r="AM282" s="10" t="s">
        <v>218</v>
      </c>
      <c r="AN282" s="10" t="s">
        <v>218</v>
      </c>
      <c r="AO282" s="10" t="s">
        <v>218</v>
      </c>
      <c r="AP282" s="10" t="s">
        <v>218</v>
      </c>
      <c r="AQ282" s="27"/>
    </row>
    <row r="283" spans="1:43" s="27" customFormat="1" ht="36" x14ac:dyDescent="0.25">
      <c r="A283" s="34">
        <v>0</v>
      </c>
      <c r="B283" s="34">
        <v>0</v>
      </c>
      <c r="C283" s="34">
        <v>0</v>
      </c>
      <c r="D283" s="34">
        <v>0</v>
      </c>
      <c r="E283" s="34">
        <v>0</v>
      </c>
      <c r="F283" s="74">
        <v>0</v>
      </c>
      <c r="G283" s="34">
        <v>0</v>
      </c>
      <c r="H283" s="36">
        <v>0</v>
      </c>
      <c r="I283" s="39"/>
      <c r="J283" s="39"/>
      <c r="K283" s="39"/>
      <c r="L283" s="39"/>
      <c r="M283" s="39"/>
      <c r="N283" s="36">
        <f t="shared" si="5"/>
        <v>0</v>
      </c>
      <c r="O283" s="36">
        <f t="shared" si="5"/>
        <v>0</v>
      </c>
      <c r="P283" s="36">
        <f t="shared" si="5"/>
        <v>0</v>
      </c>
      <c r="Q283" s="36"/>
      <c r="R283" s="36"/>
      <c r="S283" s="36">
        <f t="shared" si="6"/>
        <v>0</v>
      </c>
      <c r="T283" s="37" t="s">
        <v>890</v>
      </c>
      <c r="U283" s="37" t="s">
        <v>225</v>
      </c>
      <c r="V283" s="160">
        <v>125</v>
      </c>
      <c r="W283" s="10"/>
      <c r="X283" s="10"/>
      <c r="Y283" s="10">
        <v>8</v>
      </c>
      <c r="Z283" s="10">
        <v>121</v>
      </c>
      <c r="AA283" s="34">
        <v>180</v>
      </c>
      <c r="AB283" s="10">
        <v>80</v>
      </c>
      <c r="AC283" s="10">
        <v>160</v>
      </c>
      <c r="AD283" s="10"/>
      <c r="AE283" s="10">
        <v>0</v>
      </c>
      <c r="AF283" s="10" t="s">
        <v>218</v>
      </c>
      <c r="AG283" s="10" t="s">
        <v>218</v>
      </c>
      <c r="AH283" s="10" t="s">
        <v>218</v>
      </c>
      <c r="AI283" s="10" t="s">
        <v>218</v>
      </c>
      <c r="AJ283" s="10" t="s">
        <v>218</v>
      </c>
      <c r="AK283" s="10" t="s">
        <v>218</v>
      </c>
      <c r="AL283" s="10">
        <v>0</v>
      </c>
      <c r="AM283" s="10">
        <v>0</v>
      </c>
      <c r="AN283" s="10">
        <v>0</v>
      </c>
      <c r="AO283" s="10">
        <v>0</v>
      </c>
      <c r="AP283" s="10">
        <v>0</v>
      </c>
    </row>
    <row r="284" spans="1:43" ht="36" x14ac:dyDescent="0.25">
      <c r="A284" s="34">
        <v>0</v>
      </c>
      <c r="B284" s="34">
        <v>0</v>
      </c>
      <c r="C284" s="34">
        <v>0</v>
      </c>
      <c r="D284" s="34">
        <v>0</v>
      </c>
      <c r="E284" s="34">
        <v>0</v>
      </c>
      <c r="F284" s="74">
        <v>0</v>
      </c>
      <c r="G284" s="34">
        <v>0</v>
      </c>
      <c r="H284" s="36">
        <v>0</v>
      </c>
      <c r="I284" s="39"/>
      <c r="J284" s="39"/>
      <c r="K284" s="39"/>
      <c r="L284" s="39"/>
      <c r="M284" s="39"/>
      <c r="N284" s="36">
        <f t="shared" si="5"/>
        <v>0</v>
      </c>
      <c r="O284" s="36">
        <f t="shared" si="5"/>
        <v>0</v>
      </c>
      <c r="P284" s="36">
        <f t="shared" si="5"/>
        <v>0</v>
      </c>
      <c r="Q284" s="36"/>
      <c r="R284" s="36"/>
      <c r="S284" s="36">
        <f t="shared" si="6"/>
        <v>0</v>
      </c>
      <c r="T284" s="37" t="s">
        <v>891</v>
      </c>
      <c r="U284" s="37" t="s">
        <v>225</v>
      </c>
      <c r="V284" s="160">
        <v>174</v>
      </c>
      <c r="W284" s="10"/>
      <c r="X284" s="10"/>
      <c r="Y284" s="10">
        <v>174</v>
      </c>
      <c r="Z284" s="10">
        <v>174</v>
      </c>
      <c r="AA284" s="34">
        <v>90</v>
      </c>
      <c r="AB284" s="10">
        <v>45</v>
      </c>
      <c r="AC284" s="10">
        <v>90</v>
      </c>
      <c r="AD284" s="10"/>
      <c r="AE284" s="10">
        <v>0</v>
      </c>
      <c r="AF284" s="10">
        <v>0</v>
      </c>
      <c r="AG284" s="10" t="s">
        <v>218</v>
      </c>
      <c r="AH284" s="10" t="s">
        <v>218</v>
      </c>
      <c r="AI284" s="10" t="s">
        <v>218</v>
      </c>
      <c r="AJ284" s="10">
        <v>0</v>
      </c>
      <c r="AK284" s="10">
        <v>0</v>
      </c>
      <c r="AL284" s="10">
        <v>0</v>
      </c>
      <c r="AM284" s="10">
        <v>0</v>
      </c>
      <c r="AN284" s="10">
        <v>0</v>
      </c>
      <c r="AO284" s="10">
        <v>0</v>
      </c>
      <c r="AP284" s="10">
        <v>0</v>
      </c>
      <c r="AQ284" s="27"/>
    </row>
    <row r="285" spans="1:43" ht="48" x14ac:dyDescent="0.25">
      <c r="A285" s="34">
        <v>0</v>
      </c>
      <c r="B285" s="34">
        <v>0</v>
      </c>
      <c r="C285" s="34">
        <v>0</v>
      </c>
      <c r="D285" s="34">
        <v>0</v>
      </c>
      <c r="E285" s="34">
        <v>0</v>
      </c>
      <c r="F285" s="74">
        <v>0</v>
      </c>
      <c r="G285" s="34">
        <v>0</v>
      </c>
      <c r="H285" s="36">
        <v>0</v>
      </c>
      <c r="I285" s="39"/>
      <c r="J285" s="39"/>
      <c r="K285" s="39"/>
      <c r="L285" s="39"/>
      <c r="M285" s="39"/>
      <c r="N285" s="36">
        <f t="shared" si="5"/>
        <v>0</v>
      </c>
      <c r="O285" s="36">
        <f t="shared" si="5"/>
        <v>0</v>
      </c>
      <c r="P285" s="36">
        <f t="shared" si="5"/>
        <v>0</v>
      </c>
      <c r="Q285" s="36"/>
      <c r="R285" s="36"/>
      <c r="S285" s="36">
        <f t="shared" si="6"/>
        <v>0</v>
      </c>
      <c r="T285" s="37" t="s">
        <v>892</v>
      </c>
      <c r="U285" s="37" t="s">
        <v>225</v>
      </c>
      <c r="V285" s="160">
        <v>200</v>
      </c>
      <c r="W285" s="10"/>
      <c r="X285" s="10"/>
      <c r="Y285" s="10">
        <v>89</v>
      </c>
      <c r="Z285" s="10"/>
      <c r="AA285" s="34">
        <v>365</v>
      </c>
      <c r="AB285" s="10">
        <v>180</v>
      </c>
      <c r="AC285" s="10">
        <v>360</v>
      </c>
      <c r="AD285" s="10"/>
      <c r="AE285" s="10" t="s">
        <v>218</v>
      </c>
      <c r="AF285" s="10" t="s">
        <v>218</v>
      </c>
      <c r="AG285" s="10" t="s">
        <v>218</v>
      </c>
      <c r="AH285" s="10" t="s">
        <v>218</v>
      </c>
      <c r="AI285" s="10" t="s">
        <v>218</v>
      </c>
      <c r="AJ285" s="10" t="s">
        <v>218</v>
      </c>
      <c r="AK285" s="10" t="s">
        <v>218</v>
      </c>
      <c r="AL285" s="10" t="s">
        <v>218</v>
      </c>
      <c r="AM285" s="10" t="s">
        <v>218</v>
      </c>
      <c r="AN285" s="10" t="s">
        <v>218</v>
      </c>
      <c r="AO285" s="10" t="s">
        <v>218</v>
      </c>
      <c r="AP285" s="10" t="s">
        <v>218</v>
      </c>
      <c r="AQ285" s="27"/>
    </row>
    <row r="286" spans="1:43" s="172" customFormat="1" ht="72" x14ac:dyDescent="0.25">
      <c r="A286" s="34" t="s">
        <v>55</v>
      </c>
      <c r="B286" s="34" t="s">
        <v>354</v>
      </c>
      <c r="C286" s="34" t="s">
        <v>355</v>
      </c>
      <c r="D286" s="34">
        <v>241120600</v>
      </c>
      <c r="E286" s="34">
        <v>12878090</v>
      </c>
      <c r="F286" s="74" t="s">
        <v>510</v>
      </c>
      <c r="G286" s="34" t="s">
        <v>514</v>
      </c>
      <c r="H286" s="36">
        <v>83278000</v>
      </c>
      <c r="I286" s="39">
        <v>98278000</v>
      </c>
      <c r="J286" s="39">
        <v>98278000</v>
      </c>
      <c r="K286" s="39"/>
      <c r="L286" s="39"/>
      <c r="M286" s="39"/>
      <c r="N286" s="36">
        <f t="shared" si="5"/>
        <v>83278000</v>
      </c>
      <c r="O286" s="36">
        <f t="shared" si="5"/>
        <v>98278000</v>
      </c>
      <c r="P286" s="36">
        <f t="shared" si="5"/>
        <v>98278000</v>
      </c>
      <c r="Q286" s="162">
        <v>90359304</v>
      </c>
      <c r="R286" s="36"/>
      <c r="S286" s="36">
        <v>36909053</v>
      </c>
      <c r="T286" s="37" t="s">
        <v>893</v>
      </c>
      <c r="U286" s="37" t="s">
        <v>225</v>
      </c>
      <c r="V286" s="160">
        <v>1</v>
      </c>
      <c r="W286" s="10"/>
      <c r="X286" s="10"/>
      <c r="Y286" s="10">
        <v>0.5</v>
      </c>
      <c r="Z286" s="10">
        <v>1</v>
      </c>
      <c r="AA286" s="34">
        <v>365</v>
      </c>
      <c r="AB286" s="10">
        <v>180</v>
      </c>
      <c r="AC286" s="10">
        <v>360</v>
      </c>
      <c r="AD286" s="10"/>
      <c r="AE286" s="10" t="s">
        <v>218</v>
      </c>
      <c r="AF286" s="10" t="s">
        <v>218</v>
      </c>
      <c r="AG286" s="10" t="s">
        <v>218</v>
      </c>
      <c r="AH286" s="10" t="s">
        <v>218</v>
      </c>
      <c r="AI286" s="10" t="s">
        <v>218</v>
      </c>
      <c r="AJ286" s="10" t="s">
        <v>218</v>
      </c>
      <c r="AK286" s="10" t="s">
        <v>218</v>
      </c>
      <c r="AL286" s="10" t="s">
        <v>218</v>
      </c>
      <c r="AM286" s="10" t="s">
        <v>218</v>
      </c>
      <c r="AN286" s="10" t="s">
        <v>218</v>
      </c>
      <c r="AO286" s="10" t="s">
        <v>218</v>
      </c>
      <c r="AP286" s="10" t="s">
        <v>218</v>
      </c>
      <c r="AQ286" s="27"/>
    </row>
    <row r="287" spans="1:43" ht="120" x14ac:dyDescent="0.25">
      <c r="A287" s="34" t="s">
        <v>55</v>
      </c>
      <c r="B287" s="34" t="s">
        <v>354</v>
      </c>
      <c r="C287" s="34" t="s">
        <v>355</v>
      </c>
      <c r="D287" s="34">
        <v>241120600</v>
      </c>
      <c r="E287" s="34">
        <v>12880001</v>
      </c>
      <c r="F287" s="74" t="s">
        <v>515</v>
      </c>
      <c r="G287" s="34" t="s">
        <v>516</v>
      </c>
      <c r="H287" s="36">
        <v>200000000</v>
      </c>
      <c r="I287" s="39">
        <v>400000000</v>
      </c>
      <c r="J287" s="39">
        <v>250000000</v>
      </c>
      <c r="K287" s="39"/>
      <c r="L287" s="39"/>
      <c r="M287" s="39"/>
      <c r="N287" s="36">
        <f t="shared" si="5"/>
        <v>200000000</v>
      </c>
      <c r="O287" s="36">
        <f t="shared" si="5"/>
        <v>400000000</v>
      </c>
      <c r="P287" s="36">
        <f t="shared" si="5"/>
        <v>250000000</v>
      </c>
      <c r="Q287" s="162">
        <v>218657602</v>
      </c>
      <c r="R287" s="36"/>
      <c r="S287" s="36">
        <f t="shared" si="6"/>
        <v>218657602</v>
      </c>
      <c r="T287" s="37" t="s">
        <v>894</v>
      </c>
      <c r="U287" s="37" t="s">
        <v>895</v>
      </c>
      <c r="V287" s="160">
        <v>3</v>
      </c>
      <c r="W287" s="10"/>
      <c r="X287" s="10"/>
      <c r="Y287" s="10"/>
      <c r="Z287" s="10"/>
      <c r="AA287" s="34">
        <v>90</v>
      </c>
      <c r="AB287" s="10"/>
      <c r="AC287" s="10">
        <v>180</v>
      </c>
      <c r="AD287" s="10" t="s">
        <v>896</v>
      </c>
      <c r="AE287" s="10">
        <v>0</v>
      </c>
      <c r="AF287" s="10"/>
      <c r="AG287" s="10"/>
      <c r="AH287" s="10"/>
      <c r="AI287" s="10"/>
      <c r="AJ287" s="10"/>
      <c r="AK287" s="10"/>
      <c r="AL287" s="10"/>
      <c r="AM287" s="10">
        <v>0</v>
      </c>
      <c r="AN287" s="10">
        <v>0</v>
      </c>
      <c r="AO287" s="10">
        <v>0</v>
      </c>
      <c r="AP287" s="10">
        <v>0</v>
      </c>
      <c r="AQ287" s="27"/>
    </row>
    <row r="288" spans="1:43" ht="132" x14ac:dyDescent="0.25">
      <c r="A288" s="34">
        <v>0</v>
      </c>
      <c r="B288" s="34">
        <v>0</v>
      </c>
      <c r="C288" s="34">
        <v>0</v>
      </c>
      <c r="D288" s="34">
        <v>0</v>
      </c>
      <c r="E288" s="34">
        <v>0</v>
      </c>
      <c r="F288" s="74">
        <v>0</v>
      </c>
      <c r="G288" s="34">
        <v>0</v>
      </c>
      <c r="H288" s="36">
        <v>0</v>
      </c>
      <c r="I288" s="39"/>
      <c r="J288" s="39"/>
      <c r="K288" s="39"/>
      <c r="L288" s="39"/>
      <c r="M288" s="39"/>
      <c r="N288" s="36">
        <f t="shared" si="5"/>
        <v>0</v>
      </c>
      <c r="O288" s="36">
        <f t="shared" si="5"/>
        <v>0</v>
      </c>
      <c r="P288" s="36">
        <f t="shared" si="5"/>
        <v>0</v>
      </c>
      <c r="Q288" s="36"/>
      <c r="R288" s="36"/>
      <c r="S288" s="36">
        <f t="shared" si="6"/>
        <v>0</v>
      </c>
      <c r="T288" s="37" t="s">
        <v>897</v>
      </c>
      <c r="U288" s="37" t="s">
        <v>556</v>
      </c>
      <c r="V288" s="160">
        <v>1</v>
      </c>
      <c r="W288" s="10"/>
      <c r="X288" s="10"/>
      <c r="Y288" s="10"/>
      <c r="Z288" s="10"/>
      <c r="AA288" s="36">
        <v>90</v>
      </c>
      <c r="AB288" s="10"/>
      <c r="AC288" s="10">
        <v>180</v>
      </c>
      <c r="AD288" s="10" t="s">
        <v>896</v>
      </c>
      <c r="AE288" s="10">
        <v>0</v>
      </c>
      <c r="AF288" s="10"/>
      <c r="AG288" s="10"/>
      <c r="AH288" s="10"/>
      <c r="AI288" s="10"/>
      <c r="AJ288" s="10"/>
      <c r="AK288" s="10"/>
      <c r="AL288" s="10"/>
      <c r="AM288" s="10">
        <v>0</v>
      </c>
      <c r="AN288" s="10">
        <v>0</v>
      </c>
      <c r="AO288" s="10">
        <v>0</v>
      </c>
      <c r="AP288" s="10">
        <v>0</v>
      </c>
      <c r="AQ288" s="27"/>
    </row>
    <row r="289" spans="1:43" ht="60" x14ac:dyDescent="0.25">
      <c r="A289" s="34">
        <v>0</v>
      </c>
      <c r="B289" s="34">
        <v>0</v>
      </c>
      <c r="C289" s="34">
        <v>0</v>
      </c>
      <c r="D289" s="34">
        <v>0</v>
      </c>
      <c r="E289" s="34">
        <v>0</v>
      </c>
      <c r="F289" s="74">
        <v>0</v>
      </c>
      <c r="G289" s="34">
        <v>0</v>
      </c>
      <c r="H289" s="36">
        <v>0</v>
      </c>
      <c r="I289" s="39"/>
      <c r="J289" s="39"/>
      <c r="K289" s="39"/>
      <c r="L289" s="39"/>
      <c r="M289" s="39"/>
      <c r="N289" s="36">
        <f t="shared" si="5"/>
        <v>0</v>
      </c>
      <c r="O289" s="36">
        <f t="shared" si="5"/>
        <v>0</v>
      </c>
      <c r="P289" s="36">
        <f t="shared" si="5"/>
        <v>0</v>
      </c>
      <c r="Q289" s="36"/>
      <c r="R289" s="36"/>
      <c r="S289" s="36">
        <f t="shared" si="6"/>
        <v>0</v>
      </c>
      <c r="T289" s="37" t="s">
        <v>898</v>
      </c>
      <c r="U289" s="37" t="s">
        <v>899</v>
      </c>
      <c r="V289" s="160">
        <v>2</v>
      </c>
      <c r="W289" s="10"/>
      <c r="X289" s="10"/>
      <c r="Y289" s="10"/>
      <c r="Z289" s="10"/>
      <c r="AA289" s="36">
        <v>60</v>
      </c>
      <c r="AB289" s="10"/>
      <c r="AC289" s="10"/>
      <c r="AD289" s="10" t="s">
        <v>896</v>
      </c>
      <c r="AE289" s="10">
        <v>0</v>
      </c>
      <c r="AF289" s="10"/>
      <c r="AG289" s="10"/>
      <c r="AH289" s="10"/>
      <c r="AI289" s="10"/>
      <c r="AJ289" s="10">
        <v>0</v>
      </c>
      <c r="AK289" s="10">
        <v>0</v>
      </c>
      <c r="AL289" s="10">
        <v>0</v>
      </c>
      <c r="AM289" s="10">
        <v>0</v>
      </c>
      <c r="AN289" s="10">
        <v>0</v>
      </c>
      <c r="AO289" s="10">
        <v>0</v>
      </c>
      <c r="AP289" s="10">
        <v>0</v>
      </c>
      <c r="AQ289" s="27"/>
    </row>
    <row r="290" spans="1:43" ht="108" x14ac:dyDescent="0.25">
      <c r="A290" s="34"/>
      <c r="B290" s="34"/>
      <c r="C290" s="34"/>
      <c r="D290" s="34"/>
      <c r="E290" s="34"/>
      <c r="F290" s="74"/>
      <c r="G290" s="34"/>
      <c r="H290" s="36"/>
      <c r="I290" s="39"/>
      <c r="J290" s="39"/>
      <c r="K290" s="39"/>
      <c r="L290" s="39"/>
      <c r="M290" s="39"/>
      <c r="N290" s="36"/>
      <c r="O290" s="36"/>
      <c r="P290" s="36"/>
      <c r="Q290" s="36"/>
      <c r="R290" s="36"/>
      <c r="S290" s="36"/>
      <c r="T290" s="178" t="s">
        <v>900</v>
      </c>
      <c r="U290" s="164" t="s">
        <v>215</v>
      </c>
      <c r="V290" s="165">
        <v>1</v>
      </c>
      <c r="W290" s="10"/>
      <c r="X290" s="10"/>
      <c r="Y290" s="10">
        <v>1</v>
      </c>
      <c r="Z290" s="10">
        <v>1</v>
      </c>
      <c r="AA290" s="36">
        <v>365</v>
      </c>
      <c r="AB290" s="10">
        <v>180</v>
      </c>
      <c r="AC290" s="10">
        <v>360</v>
      </c>
      <c r="AD290" s="10" t="s">
        <v>901</v>
      </c>
      <c r="AE290" s="10"/>
      <c r="AF290" s="10" t="s">
        <v>218</v>
      </c>
      <c r="AG290" s="10" t="s">
        <v>218</v>
      </c>
      <c r="AH290" s="10" t="s">
        <v>218</v>
      </c>
      <c r="AI290" s="10" t="s">
        <v>218</v>
      </c>
      <c r="AJ290" s="10" t="s">
        <v>218</v>
      </c>
      <c r="AK290" s="10" t="s">
        <v>218</v>
      </c>
      <c r="AL290" s="10" t="s">
        <v>218</v>
      </c>
      <c r="AM290" s="10" t="s">
        <v>218</v>
      </c>
      <c r="AN290" s="10" t="s">
        <v>218</v>
      </c>
      <c r="AO290" s="10" t="s">
        <v>218</v>
      </c>
      <c r="AP290" s="10" t="s">
        <v>218</v>
      </c>
      <c r="AQ290" s="27"/>
    </row>
    <row r="291" spans="1:43" ht="75" x14ac:dyDescent="0.25">
      <c r="A291" s="34"/>
      <c r="B291" s="34"/>
      <c r="C291" s="34"/>
      <c r="D291" s="34"/>
      <c r="E291" s="34"/>
      <c r="F291" s="74"/>
      <c r="G291" s="34"/>
      <c r="H291" s="36"/>
      <c r="I291" s="39"/>
      <c r="J291" s="39"/>
      <c r="K291" s="39"/>
      <c r="L291" s="39"/>
      <c r="M291" s="39"/>
      <c r="N291" s="36"/>
      <c r="O291" s="36"/>
      <c r="P291" s="36"/>
      <c r="Q291" s="36"/>
      <c r="R291" s="36"/>
      <c r="S291" s="36"/>
      <c r="T291" s="178" t="s">
        <v>902</v>
      </c>
      <c r="U291" s="164" t="s">
        <v>215</v>
      </c>
      <c r="V291" s="165">
        <v>1</v>
      </c>
      <c r="W291" s="10"/>
      <c r="X291" s="10"/>
      <c r="Y291" s="10"/>
      <c r="Z291" s="10">
        <v>1</v>
      </c>
      <c r="AA291" s="36">
        <v>365</v>
      </c>
      <c r="AB291" s="10">
        <v>180</v>
      </c>
      <c r="AC291" s="10">
        <v>360</v>
      </c>
      <c r="AD291" s="10" t="s">
        <v>903</v>
      </c>
      <c r="AE291" s="10"/>
      <c r="AF291" s="10" t="s">
        <v>218</v>
      </c>
      <c r="AG291" s="10" t="s">
        <v>218</v>
      </c>
      <c r="AH291" s="10" t="s">
        <v>218</v>
      </c>
      <c r="AI291" s="10" t="s">
        <v>218</v>
      </c>
      <c r="AJ291" s="10" t="s">
        <v>218</v>
      </c>
      <c r="AK291" s="10" t="s">
        <v>218</v>
      </c>
      <c r="AL291" s="10" t="s">
        <v>218</v>
      </c>
      <c r="AM291" s="10" t="s">
        <v>218</v>
      </c>
      <c r="AN291" s="10" t="s">
        <v>218</v>
      </c>
      <c r="AO291" s="10" t="s">
        <v>218</v>
      </c>
      <c r="AP291" s="10" t="s">
        <v>218</v>
      </c>
      <c r="AQ291" s="27"/>
    </row>
    <row r="292" spans="1:43" ht="96" x14ac:dyDescent="0.25">
      <c r="A292" s="34"/>
      <c r="B292" s="34"/>
      <c r="C292" s="34"/>
      <c r="D292" s="34"/>
      <c r="E292" s="34"/>
      <c r="F292" s="74"/>
      <c r="G292" s="34"/>
      <c r="H292" s="36"/>
      <c r="I292" s="39"/>
      <c r="J292" s="39"/>
      <c r="K292" s="39"/>
      <c r="L292" s="39"/>
      <c r="M292" s="39"/>
      <c r="N292" s="36"/>
      <c r="O292" s="36"/>
      <c r="P292" s="36"/>
      <c r="Q292" s="36"/>
      <c r="R292" s="36"/>
      <c r="S292" s="36"/>
      <c r="T292" s="179" t="s">
        <v>904</v>
      </c>
      <c r="U292" s="164" t="s">
        <v>215</v>
      </c>
      <c r="V292" s="165">
        <v>1</v>
      </c>
      <c r="W292" s="10"/>
      <c r="X292" s="10"/>
      <c r="Y292" s="10"/>
      <c r="Z292" s="10">
        <v>1</v>
      </c>
      <c r="AA292" s="36">
        <v>365</v>
      </c>
      <c r="AB292" s="10">
        <v>180</v>
      </c>
      <c r="AC292" s="10">
        <v>360</v>
      </c>
      <c r="AD292" s="10" t="s">
        <v>905</v>
      </c>
      <c r="AE292" s="10"/>
      <c r="AF292" s="10" t="s">
        <v>218</v>
      </c>
      <c r="AG292" s="10" t="s">
        <v>218</v>
      </c>
      <c r="AH292" s="10" t="s">
        <v>218</v>
      </c>
      <c r="AI292" s="10" t="s">
        <v>218</v>
      </c>
      <c r="AJ292" s="10" t="s">
        <v>218</v>
      </c>
      <c r="AK292" s="10" t="s">
        <v>218</v>
      </c>
      <c r="AL292" s="10" t="s">
        <v>218</v>
      </c>
      <c r="AM292" s="10" t="s">
        <v>218</v>
      </c>
      <c r="AN292" s="10" t="s">
        <v>218</v>
      </c>
      <c r="AO292" s="10" t="s">
        <v>218</v>
      </c>
      <c r="AP292" s="10" t="s">
        <v>218</v>
      </c>
      <c r="AQ292" s="27"/>
    </row>
    <row r="293" spans="1:43" ht="108" x14ac:dyDescent="0.25">
      <c r="A293" s="34" t="s">
        <v>55</v>
      </c>
      <c r="B293" s="34" t="s">
        <v>354</v>
      </c>
      <c r="C293" s="34" t="s">
        <v>355</v>
      </c>
      <c r="D293" s="34">
        <v>241120600</v>
      </c>
      <c r="E293" s="34">
        <v>12880090</v>
      </c>
      <c r="F293" s="74" t="s">
        <v>515</v>
      </c>
      <c r="G293" s="34" t="s">
        <v>517</v>
      </c>
      <c r="H293" s="36">
        <v>52280000</v>
      </c>
      <c r="I293" s="39">
        <v>67862000</v>
      </c>
      <c r="J293" s="39">
        <v>67862000</v>
      </c>
      <c r="K293" s="39"/>
      <c r="L293" s="39"/>
      <c r="M293" s="39"/>
      <c r="N293" s="36">
        <f t="shared" si="5"/>
        <v>52280000</v>
      </c>
      <c r="O293" s="36">
        <f t="shared" si="5"/>
        <v>67862000</v>
      </c>
      <c r="P293" s="36">
        <f t="shared" si="5"/>
        <v>67862000</v>
      </c>
      <c r="Q293" s="162">
        <v>56732919</v>
      </c>
      <c r="R293" s="36"/>
      <c r="S293" s="36">
        <f t="shared" si="6"/>
        <v>56732919</v>
      </c>
      <c r="T293" s="37" t="s">
        <v>906</v>
      </c>
      <c r="U293" s="37" t="s">
        <v>556</v>
      </c>
      <c r="V293" s="160">
        <v>1</v>
      </c>
      <c r="W293" s="10"/>
      <c r="X293" s="10"/>
      <c r="Y293" s="10">
        <v>0.5</v>
      </c>
      <c r="Z293" s="10">
        <v>1</v>
      </c>
      <c r="AA293" s="34">
        <v>365</v>
      </c>
      <c r="AB293" s="10">
        <v>180</v>
      </c>
      <c r="AC293" s="10">
        <v>360</v>
      </c>
      <c r="AD293" s="10" t="s">
        <v>907</v>
      </c>
      <c r="AE293" s="10" t="s">
        <v>218</v>
      </c>
      <c r="AF293" s="10" t="s">
        <v>218</v>
      </c>
      <c r="AG293" s="10" t="s">
        <v>218</v>
      </c>
      <c r="AH293" s="10" t="s">
        <v>218</v>
      </c>
      <c r="AI293" s="10" t="s">
        <v>218</v>
      </c>
      <c r="AJ293" s="10" t="s">
        <v>218</v>
      </c>
      <c r="AK293" s="10" t="s">
        <v>218</v>
      </c>
      <c r="AL293" s="10" t="s">
        <v>218</v>
      </c>
      <c r="AM293" s="10" t="s">
        <v>218</v>
      </c>
      <c r="AN293" s="10" t="s">
        <v>218</v>
      </c>
      <c r="AO293" s="10" t="s">
        <v>218</v>
      </c>
      <c r="AP293" s="10" t="s">
        <v>218</v>
      </c>
      <c r="AQ293" s="27"/>
    </row>
    <row r="294" spans="1:43" ht="96" x14ac:dyDescent="0.25">
      <c r="A294" s="34" t="s">
        <v>55</v>
      </c>
      <c r="B294" s="34" t="s">
        <v>354</v>
      </c>
      <c r="C294" s="34" t="s">
        <v>355</v>
      </c>
      <c r="D294" s="34">
        <v>241120600</v>
      </c>
      <c r="E294" s="34">
        <v>13122090</v>
      </c>
      <c r="F294" s="74" t="s">
        <v>518</v>
      </c>
      <c r="G294" s="34" t="s">
        <v>519</v>
      </c>
      <c r="H294" s="36">
        <v>82152000</v>
      </c>
      <c r="I294" s="39">
        <v>259285993</v>
      </c>
      <c r="J294" s="39">
        <v>259285993</v>
      </c>
      <c r="K294" s="39"/>
      <c r="L294" s="39"/>
      <c r="M294" s="39"/>
      <c r="N294" s="36">
        <f t="shared" si="5"/>
        <v>82152000</v>
      </c>
      <c r="O294" s="36">
        <f t="shared" si="5"/>
        <v>259285993</v>
      </c>
      <c r="P294" s="36">
        <f t="shared" si="5"/>
        <v>259285993</v>
      </c>
      <c r="Q294" s="162">
        <v>145959632</v>
      </c>
      <c r="R294" s="36"/>
      <c r="S294" s="36">
        <f t="shared" si="6"/>
        <v>145959632</v>
      </c>
      <c r="T294" s="37" t="s">
        <v>692</v>
      </c>
      <c r="U294" s="37" t="s">
        <v>215</v>
      </c>
      <c r="V294" s="160">
        <v>1</v>
      </c>
      <c r="W294" s="10"/>
      <c r="X294" s="10"/>
      <c r="Y294" s="10"/>
      <c r="Z294" s="10">
        <v>1</v>
      </c>
      <c r="AA294" s="34">
        <v>365</v>
      </c>
      <c r="AB294" s="10">
        <v>180</v>
      </c>
      <c r="AC294" s="10">
        <v>360</v>
      </c>
      <c r="AD294" s="10"/>
      <c r="AE294" s="10" t="s">
        <v>218</v>
      </c>
      <c r="AF294" s="10" t="s">
        <v>218</v>
      </c>
      <c r="AG294" s="10" t="s">
        <v>218</v>
      </c>
      <c r="AH294" s="10" t="s">
        <v>218</v>
      </c>
      <c r="AI294" s="10" t="s">
        <v>218</v>
      </c>
      <c r="AJ294" s="10" t="s">
        <v>218</v>
      </c>
      <c r="AK294" s="10" t="s">
        <v>218</v>
      </c>
      <c r="AL294" s="10" t="s">
        <v>218</v>
      </c>
      <c r="AM294" s="10" t="s">
        <v>218</v>
      </c>
      <c r="AN294" s="10" t="s">
        <v>218</v>
      </c>
      <c r="AO294" s="10" t="s">
        <v>218</v>
      </c>
      <c r="AP294" s="10">
        <v>0</v>
      </c>
      <c r="AQ294" s="27"/>
    </row>
    <row r="295" spans="1:43" ht="72" x14ac:dyDescent="0.25">
      <c r="A295" s="34"/>
      <c r="B295" s="34"/>
      <c r="C295" s="34" t="s">
        <v>355</v>
      </c>
      <c r="D295" s="34">
        <v>241120600</v>
      </c>
      <c r="E295" s="34">
        <v>13122001</v>
      </c>
      <c r="F295" s="74" t="s">
        <v>518</v>
      </c>
      <c r="G295" s="34" t="s">
        <v>908</v>
      </c>
      <c r="H295" s="36">
        <v>190000000</v>
      </c>
      <c r="I295" s="39">
        <v>874838976</v>
      </c>
      <c r="J295" s="39">
        <v>874838976</v>
      </c>
      <c r="K295" s="39"/>
      <c r="L295" s="39"/>
      <c r="M295" s="39"/>
      <c r="N295" s="36">
        <f t="shared" si="5"/>
        <v>190000000</v>
      </c>
      <c r="O295" s="36">
        <f t="shared" si="5"/>
        <v>874838976</v>
      </c>
      <c r="P295" s="36">
        <f t="shared" si="5"/>
        <v>874838976</v>
      </c>
      <c r="Q295" s="162">
        <v>687592750</v>
      </c>
      <c r="R295" s="36"/>
      <c r="S295" s="36">
        <f t="shared" si="6"/>
        <v>687592750</v>
      </c>
      <c r="T295" s="37" t="s">
        <v>909</v>
      </c>
      <c r="U295" s="37" t="s">
        <v>215</v>
      </c>
      <c r="V295" s="160">
        <v>100</v>
      </c>
      <c r="W295" s="10"/>
      <c r="X295" s="10"/>
      <c r="Y295" s="10"/>
      <c r="Z295" s="10">
        <v>127</v>
      </c>
      <c r="AA295" s="34"/>
      <c r="AB295" s="10"/>
      <c r="AC295" s="10">
        <v>360</v>
      </c>
      <c r="AD295" s="10"/>
      <c r="AE295" s="10" t="s">
        <v>218</v>
      </c>
      <c r="AF295" s="10" t="s">
        <v>218</v>
      </c>
      <c r="AG295" s="10" t="s">
        <v>218</v>
      </c>
      <c r="AH295" s="10" t="s">
        <v>218</v>
      </c>
      <c r="AI295" s="10" t="s">
        <v>218</v>
      </c>
      <c r="AJ295" s="10" t="s">
        <v>218</v>
      </c>
      <c r="AK295" s="10" t="s">
        <v>218</v>
      </c>
      <c r="AL295" s="10" t="s">
        <v>218</v>
      </c>
      <c r="AM295" s="10" t="s">
        <v>218</v>
      </c>
      <c r="AN295" s="10" t="s">
        <v>218</v>
      </c>
      <c r="AO295" s="10" t="s">
        <v>218</v>
      </c>
      <c r="AP295" s="10"/>
      <c r="AQ295" s="27"/>
    </row>
    <row r="296" spans="1:43" ht="84" x14ac:dyDescent="0.25">
      <c r="A296" s="34"/>
      <c r="B296" s="34"/>
      <c r="C296" s="34"/>
      <c r="D296" s="34"/>
      <c r="E296" s="34"/>
      <c r="F296" s="74"/>
      <c r="G296" s="34"/>
      <c r="H296" s="36"/>
      <c r="I296" s="39"/>
      <c r="J296" s="39"/>
      <c r="K296" s="39"/>
      <c r="L296" s="39"/>
      <c r="M296" s="39"/>
      <c r="N296" s="36"/>
      <c r="O296" s="36"/>
      <c r="P296" s="36"/>
      <c r="Q296" s="36"/>
      <c r="R296" s="36"/>
      <c r="S296" s="36"/>
      <c r="T296" s="37" t="s">
        <v>910</v>
      </c>
      <c r="U296" s="37" t="s">
        <v>215</v>
      </c>
      <c r="V296" s="160">
        <v>125</v>
      </c>
      <c r="W296" s="10"/>
      <c r="X296" s="10"/>
      <c r="Y296" s="10">
        <v>125</v>
      </c>
      <c r="Z296" s="10">
        <v>125</v>
      </c>
      <c r="AA296" s="34"/>
      <c r="AB296" s="10"/>
      <c r="AC296" s="10">
        <v>360</v>
      </c>
      <c r="AD296" s="10"/>
      <c r="AE296" s="10"/>
      <c r="AF296" s="10"/>
      <c r="AG296" s="10"/>
      <c r="AH296" s="10"/>
      <c r="AI296" s="10"/>
      <c r="AJ296" s="10"/>
      <c r="AK296" s="10"/>
      <c r="AL296" s="10"/>
      <c r="AM296" s="10"/>
      <c r="AN296" s="10"/>
      <c r="AO296" s="10"/>
      <c r="AP296" s="10"/>
      <c r="AQ296" s="27"/>
    </row>
    <row r="297" spans="1:43" ht="48" x14ac:dyDescent="0.25">
      <c r="A297" s="34"/>
      <c r="B297" s="34"/>
      <c r="C297" s="34"/>
      <c r="D297" s="34"/>
      <c r="E297" s="34"/>
      <c r="F297" s="74"/>
      <c r="G297" s="34"/>
      <c r="H297" s="36"/>
      <c r="I297" s="39"/>
      <c r="J297" s="39"/>
      <c r="K297" s="39"/>
      <c r="L297" s="39"/>
      <c r="M297" s="39"/>
      <c r="N297" s="36"/>
      <c r="O297" s="36"/>
      <c r="P297" s="36"/>
      <c r="Q297" s="36"/>
      <c r="R297" s="36"/>
      <c r="S297" s="36"/>
      <c r="T297" s="37" t="s">
        <v>911</v>
      </c>
      <c r="U297" s="37" t="s">
        <v>215</v>
      </c>
      <c r="V297" s="160">
        <v>4</v>
      </c>
      <c r="W297" s="10"/>
      <c r="X297" s="10"/>
      <c r="Y297" s="10">
        <v>2</v>
      </c>
      <c r="Z297" s="10">
        <v>4</v>
      </c>
      <c r="AA297" s="34"/>
      <c r="AB297" s="10"/>
      <c r="AC297" s="10">
        <v>360</v>
      </c>
      <c r="AD297" s="10"/>
      <c r="AE297" s="10"/>
      <c r="AF297" s="10"/>
      <c r="AG297" s="10"/>
      <c r="AH297" s="10"/>
      <c r="AI297" s="10"/>
      <c r="AJ297" s="10"/>
      <c r="AK297" s="10"/>
      <c r="AL297" s="10"/>
      <c r="AM297" s="10"/>
      <c r="AN297" s="10"/>
      <c r="AO297" s="10"/>
      <c r="AP297" s="10"/>
      <c r="AQ297" s="27"/>
    </row>
    <row r="298" spans="1:43" x14ac:dyDescent="0.25">
      <c r="A298" s="34"/>
      <c r="B298" s="34"/>
      <c r="C298" s="34"/>
      <c r="D298" s="34"/>
      <c r="E298" s="34"/>
      <c r="F298" s="74"/>
      <c r="G298" s="34"/>
      <c r="H298" s="36"/>
      <c r="I298" s="39"/>
      <c r="J298" s="39"/>
      <c r="K298" s="39"/>
      <c r="L298" s="39"/>
      <c r="M298" s="39"/>
      <c r="N298" s="36"/>
      <c r="O298" s="36"/>
      <c r="P298" s="36"/>
      <c r="Q298" s="36"/>
      <c r="R298" s="36"/>
      <c r="S298" s="36"/>
      <c r="T298" s="37" t="s">
        <v>912</v>
      </c>
      <c r="U298" s="37" t="s">
        <v>913</v>
      </c>
      <c r="V298" s="160">
        <v>3</v>
      </c>
      <c r="W298" s="10"/>
      <c r="X298" s="10"/>
      <c r="Y298" s="10">
        <v>1</v>
      </c>
      <c r="Z298" s="10">
        <v>1</v>
      </c>
      <c r="AA298" s="34"/>
      <c r="AB298" s="10"/>
      <c r="AC298" s="10">
        <v>360</v>
      </c>
      <c r="AD298" s="10"/>
      <c r="AE298" s="10"/>
      <c r="AF298" s="10"/>
      <c r="AG298" s="10"/>
      <c r="AH298" s="10"/>
      <c r="AI298" s="10"/>
      <c r="AJ298" s="10"/>
      <c r="AK298" s="10"/>
      <c r="AL298" s="10"/>
      <c r="AM298" s="10"/>
      <c r="AN298" s="10"/>
      <c r="AO298" s="10"/>
      <c r="AP298" s="10"/>
      <c r="AQ298" s="27"/>
    </row>
    <row r="299" spans="1:43" ht="108" x14ac:dyDescent="0.25">
      <c r="A299" s="34" t="s">
        <v>55</v>
      </c>
      <c r="B299" s="34" t="s">
        <v>354</v>
      </c>
      <c r="C299" s="34" t="s">
        <v>355</v>
      </c>
      <c r="D299" s="34">
        <v>241120600</v>
      </c>
      <c r="E299" s="34">
        <v>14047001</v>
      </c>
      <c r="F299" s="74" t="s">
        <v>520</v>
      </c>
      <c r="G299" s="34" t="s">
        <v>521</v>
      </c>
      <c r="H299" s="36">
        <v>135816000</v>
      </c>
      <c r="I299" s="39">
        <v>811739968</v>
      </c>
      <c r="J299" s="39">
        <v>725923968</v>
      </c>
      <c r="K299" s="39"/>
      <c r="L299" s="39"/>
      <c r="M299" s="39"/>
      <c r="N299" s="36">
        <f t="shared" si="5"/>
        <v>135816000</v>
      </c>
      <c r="O299" s="36">
        <f t="shared" si="5"/>
        <v>811739968</v>
      </c>
      <c r="P299" s="36">
        <f t="shared" si="5"/>
        <v>725923968</v>
      </c>
      <c r="Q299" s="162">
        <v>575570247</v>
      </c>
      <c r="R299" s="36"/>
      <c r="S299" s="36">
        <f t="shared" si="6"/>
        <v>575570247</v>
      </c>
      <c r="T299" s="37" t="s">
        <v>914</v>
      </c>
      <c r="U299" s="37" t="s">
        <v>556</v>
      </c>
      <c r="V299" s="160">
        <v>2500</v>
      </c>
      <c r="W299" s="10"/>
      <c r="X299" s="10"/>
      <c r="Y299" s="10">
        <v>15838</v>
      </c>
      <c r="Z299" s="10">
        <v>19592</v>
      </c>
      <c r="AA299" s="34">
        <v>365</v>
      </c>
      <c r="AB299" s="10">
        <v>180</v>
      </c>
      <c r="AC299" s="10">
        <v>360</v>
      </c>
      <c r="AD299" s="10" t="s">
        <v>915</v>
      </c>
      <c r="AE299" s="10" t="s">
        <v>218</v>
      </c>
      <c r="AF299" s="10" t="s">
        <v>218</v>
      </c>
      <c r="AG299" s="10" t="s">
        <v>218</v>
      </c>
      <c r="AH299" s="10" t="s">
        <v>218</v>
      </c>
      <c r="AI299" s="10" t="s">
        <v>218</v>
      </c>
      <c r="AJ299" s="10" t="s">
        <v>218</v>
      </c>
      <c r="AK299" s="10" t="s">
        <v>218</v>
      </c>
      <c r="AL299" s="10" t="s">
        <v>218</v>
      </c>
      <c r="AM299" s="10" t="s">
        <v>218</v>
      </c>
      <c r="AN299" s="10" t="s">
        <v>218</v>
      </c>
      <c r="AO299" s="10" t="s">
        <v>218</v>
      </c>
      <c r="AP299" s="10" t="s">
        <v>218</v>
      </c>
      <c r="AQ299" s="27"/>
    </row>
    <row r="300" spans="1:43" ht="30" x14ac:dyDescent="0.25">
      <c r="A300" s="34">
        <v>0</v>
      </c>
      <c r="B300" s="34">
        <v>0</v>
      </c>
      <c r="C300" s="34">
        <v>0</v>
      </c>
      <c r="D300" s="34">
        <v>0</v>
      </c>
      <c r="E300" s="34">
        <v>0</v>
      </c>
      <c r="F300" s="74">
        <v>0</v>
      </c>
      <c r="G300" s="34">
        <v>0</v>
      </c>
      <c r="H300" s="36">
        <v>0</v>
      </c>
      <c r="I300" s="39"/>
      <c r="J300" s="39"/>
      <c r="K300" s="39"/>
      <c r="L300" s="39"/>
      <c r="M300" s="39"/>
      <c r="N300" s="36">
        <f t="shared" si="5"/>
        <v>0</v>
      </c>
      <c r="O300" s="36">
        <f t="shared" si="5"/>
        <v>0</v>
      </c>
      <c r="P300" s="36">
        <f t="shared" si="5"/>
        <v>0</v>
      </c>
      <c r="Q300" s="36"/>
      <c r="R300" s="36"/>
      <c r="S300" s="36">
        <f t="shared" si="6"/>
        <v>0</v>
      </c>
      <c r="T300" s="37" t="s">
        <v>916</v>
      </c>
      <c r="U300" s="37" t="s">
        <v>556</v>
      </c>
      <c r="V300" s="160">
        <v>2</v>
      </c>
      <c r="W300" s="10"/>
      <c r="X300" s="10"/>
      <c r="Y300" s="10"/>
      <c r="Z300" s="10">
        <v>2</v>
      </c>
      <c r="AA300" s="34">
        <v>60</v>
      </c>
      <c r="AB300" s="10">
        <v>30</v>
      </c>
      <c r="AC300" s="10">
        <v>60</v>
      </c>
      <c r="AD300" s="10" t="s">
        <v>917</v>
      </c>
      <c r="AE300" s="10">
        <v>0</v>
      </c>
      <c r="AF300" s="10">
        <v>0</v>
      </c>
      <c r="AG300" s="10">
        <v>0</v>
      </c>
      <c r="AH300" s="10">
        <v>0</v>
      </c>
      <c r="AI300" s="10" t="s">
        <v>218</v>
      </c>
      <c r="AJ300" s="10">
        <v>0</v>
      </c>
      <c r="AK300" s="10">
        <v>0</v>
      </c>
      <c r="AL300" s="10" t="s">
        <v>218</v>
      </c>
      <c r="AM300" s="10">
        <v>0</v>
      </c>
      <c r="AN300" s="10">
        <v>0</v>
      </c>
      <c r="AO300" s="10">
        <v>0</v>
      </c>
      <c r="AP300" s="10">
        <v>0</v>
      </c>
      <c r="AQ300" s="27"/>
    </row>
    <row r="301" spans="1:43" ht="48" x14ac:dyDescent="0.25">
      <c r="A301" s="34">
        <v>0</v>
      </c>
      <c r="B301" s="34">
        <v>0</v>
      </c>
      <c r="C301" s="34">
        <v>0</v>
      </c>
      <c r="D301" s="34">
        <v>0</v>
      </c>
      <c r="E301" s="34">
        <v>0</v>
      </c>
      <c r="F301" s="74">
        <v>0</v>
      </c>
      <c r="G301" s="34">
        <v>0</v>
      </c>
      <c r="H301" s="36">
        <v>0</v>
      </c>
      <c r="I301" s="39"/>
      <c r="J301" s="39"/>
      <c r="K301" s="39"/>
      <c r="L301" s="39"/>
      <c r="M301" s="39"/>
      <c r="N301" s="36">
        <f t="shared" si="5"/>
        <v>0</v>
      </c>
      <c r="O301" s="36">
        <f t="shared" si="5"/>
        <v>0</v>
      </c>
      <c r="P301" s="36">
        <f t="shared" si="5"/>
        <v>0</v>
      </c>
      <c r="Q301" s="36"/>
      <c r="R301" s="36"/>
      <c r="S301" s="36">
        <f t="shared" si="6"/>
        <v>0</v>
      </c>
      <c r="T301" s="37" t="s">
        <v>918</v>
      </c>
      <c r="U301" s="37" t="s">
        <v>919</v>
      </c>
      <c r="V301" s="160">
        <v>125</v>
      </c>
      <c r="W301" s="10"/>
      <c r="X301" s="10"/>
      <c r="Y301" s="10">
        <v>18</v>
      </c>
      <c r="Z301" s="10">
        <v>125</v>
      </c>
      <c r="AA301" s="34">
        <v>365</v>
      </c>
      <c r="AB301" s="10">
        <v>180</v>
      </c>
      <c r="AC301" s="10">
        <v>360</v>
      </c>
      <c r="AD301" s="10" t="s">
        <v>920</v>
      </c>
      <c r="AE301" s="10" t="s">
        <v>218</v>
      </c>
      <c r="AF301" s="10" t="s">
        <v>218</v>
      </c>
      <c r="AG301" s="10" t="s">
        <v>218</v>
      </c>
      <c r="AH301" s="10" t="s">
        <v>218</v>
      </c>
      <c r="AI301" s="10" t="s">
        <v>218</v>
      </c>
      <c r="AJ301" s="10" t="s">
        <v>218</v>
      </c>
      <c r="AK301" s="10" t="s">
        <v>218</v>
      </c>
      <c r="AL301" s="10" t="s">
        <v>218</v>
      </c>
      <c r="AM301" s="10" t="s">
        <v>218</v>
      </c>
      <c r="AN301" s="10" t="s">
        <v>218</v>
      </c>
      <c r="AO301" s="10" t="s">
        <v>218</v>
      </c>
      <c r="AP301" s="10" t="s">
        <v>218</v>
      </c>
      <c r="AQ301" s="27"/>
    </row>
    <row r="302" spans="1:43" s="27" customFormat="1" ht="45" x14ac:dyDescent="0.25">
      <c r="A302" s="34"/>
      <c r="B302" s="34"/>
      <c r="C302" s="34"/>
      <c r="D302" s="34"/>
      <c r="E302" s="34"/>
      <c r="F302" s="74"/>
      <c r="G302" s="34"/>
      <c r="H302" s="36"/>
      <c r="I302" s="39"/>
      <c r="J302" s="39"/>
      <c r="K302" s="39"/>
      <c r="L302" s="39"/>
      <c r="M302" s="39"/>
      <c r="N302" s="36"/>
      <c r="O302" s="36"/>
      <c r="P302" s="36"/>
      <c r="Q302" s="36"/>
      <c r="R302" s="36"/>
      <c r="S302" s="36"/>
      <c r="T302" s="37" t="s">
        <v>921</v>
      </c>
      <c r="U302" s="10" t="s">
        <v>556</v>
      </c>
      <c r="V302" s="160">
        <v>1</v>
      </c>
      <c r="W302" s="10"/>
      <c r="X302" s="10"/>
      <c r="Y302" s="10">
        <v>1</v>
      </c>
      <c r="Z302" s="10">
        <v>1</v>
      </c>
      <c r="AA302" s="10">
        <v>365</v>
      </c>
      <c r="AB302" s="10">
        <v>180</v>
      </c>
      <c r="AC302" s="10">
        <v>360</v>
      </c>
      <c r="AD302" s="10" t="s">
        <v>922</v>
      </c>
      <c r="AE302" s="10"/>
      <c r="AF302" s="10"/>
      <c r="AG302" s="10"/>
      <c r="AH302" s="10"/>
      <c r="AI302" s="10"/>
      <c r="AJ302" s="10"/>
      <c r="AK302" s="10"/>
      <c r="AL302" s="10"/>
      <c r="AM302" s="10"/>
      <c r="AN302" s="10"/>
      <c r="AO302" s="10"/>
      <c r="AP302" s="10"/>
    </row>
    <row r="303" spans="1:43" ht="72" x14ac:dyDescent="0.25">
      <c r="A303" s="34" t="s">
        <v>55</v>
      </c>
      <c r="B303" s="34" t="s">
        <v>354</v>
      </c>
      <c r="C303" s="34" t="s">
        <v>355</v>
      </c>
      <c r="D303" s="34">
        <v>241120600</v>
      </c>
      <c r="E303" s="34">
        <v>14047090</v>
      </c>
      <c r="F303" s="74" t="s">
        <v>520</v>
      </c>
      <c r="G303" s="34" t="s">
        <v>522</v>
      </c>
      <c r="H303" s="36">
        <v>530368000</v>
      </c>
      <c r="I303" s="39">
        <v>1007204000</v>
      </c>
      <c r="J303" s="39">
        <v>1007204000</v>
      </c>
      <c r="K303" s="39"/>
      <c r="L303" s="39"/>
      <c r="M303" s="39"/>
      <c r="N303" s="36">
        <f t="shared" si="5"/>
        <v>530368000</v>
      </c>
      <c r="O303" s="36">
        <f t="shared" si="5"/>
        <v>1007204000</v>
      </c>
      <c r="P303" s="36">
        <f t="shared" si="5"/>
        <v>1007204000</v>
      </c>
      <c r="Q303" s="162">
        <v>660765881</v>
      </c>
      <c r="R303" s="36"/>
      <c r="S303" s="36">
        <f>Q303+R303</f>
        <v>660765881</v>
      </c>
      <c r="T303" s="37" t="s">
        <v>700</v>
      </c>
      <c r="U303" s="37" t="s">
        <v>556</v>
      </c>
      <c r="V303" s="160">
        <v>9</v>
      </c>
      <c r="W303" s="10"/>
      <c r="X303" s="10"/>
      <c r="Y303" s="10">
        <v>10</v>
      </c>
      <c r="Z303" s="10">
        <v>12</v>
      </c>
      <c r="AA303" s="34">
        <v>365</v>
      </c>
      <c r="AB303" s="10">
        <v>180</v>
      </c>
      <c r="AC303" s="10">
        <v>360</v>
      </c>
      <c r="AD303" s="10"/>
      <c r="AE303" s="10" t="s">
        <v>218</v>
      </c>
      <c r="AF303" s="10" t="s">
        <v>218</v>
      </c>
      <c r="AG303" s="10" t="s">
        <v>218</v>
      </c>
      <c r="AH303" s="10" t="s">
        <v>218</v>
      </c>
      <c r="AI303" s="10" t="s">
        <v>218</v>
      </c>
      <c r="AJ303" s="10" t="s">
        <v>218</v>
      </c>
      <c r="AK303" s="10" t="s">
        <v>218</v>
      </c>
      <c r="AL303" s="10" t="s">
        <v>218</v>
      </c>
      <c r="AM303" s="10" t="s">
        <v>218</v>
      </c>
      <c r="AN303" s="10" t="s">
        <v>218</v>
      </c>
      <c r="AO303" s="10" t="s">
        <v>218</v>
      </c>
      <c r="AP303" s="10" t="s">
        <v>218</v>
      </c>
      <c r="AQ303" s="27"/>
    </row>
    <row r="304" spans="1:43" ht="60" x14ac:dyDescent="0.25">
      <c r="A304" s="34" t="s">
        <v>55</v>
      </c>
      <c r="B304" s="34" t="s">
        <v>354</v>
      </c>
      <c r="C304" s="34" t="s">
        <v>355</v>
      </c>
      <c r="D304" s="34">
        <v>241120600</v>
      </c>
      <c r="E304" s="34">
        <v>12266001</v>
      </c>
      <c r="F304" s="74" t="s">
        <v>523</v>
      </c>
      <c r="G304" s="34" t="s">
        <v>525</v>
      </c>
      <c r="H304" s="36">
        <v>400000000</v>
      </c>
      <c r="I304" s="39">
        <v>1028022000</v>
      </c>
      <c r="J304" s="39">
        <v>1028022000</v>
      </c>
      <c r="K304" s="39"/>
      <c r="L304" s="39"/>
      <c r="M304" s="39"/>
      <c r="N304" s="36">
        <f t="shared" ref="N304:P319" si="7">H304+K304</f>
        <v>400000000</v>
      </c>
      <c r="O304" s="36">
        <f t="shared" si="7"/>
        <v>1028022000</v>
      </c>
      <c r="P304" s="36">
        <f t="shared" si="7"/>
        <v>1028022000</v>
      </c>
      <c r="Q304" s="162">
        <v>476950150</v>
      </c>
      <c r="R304" s="36"/>
      <c r="S304" s="36">
        <v>416950150</v>
      </c>
      <c r="T304" s="37" t="s">
        <v>923</v>
      </c>
      <c r="U304" s="37" t="s">
        <v>316</v>
      </c>
      <c r="V304" s="160">
        <v>125</v>
      </c>
      <c r="W304" s="10"/>
      <c r="X304" s="10"/>
      <c r="Y304" s="10">
        <v>9</v>
      </c>
      <c r="Z304" s="10">
        <v>21</v>
      </c>
      <c r="AA304" s="34">
        <v>365</v>
      </c>
      <c r="AB304" s="10">
        <v>182</v>
      </c>
      <c r="AC304" s="10">
        <v>365</v>
      </c>
      <c r="AD304" s="10"/>
      <c r="AE304" s="10" t="s">
        <v>218</v>
      </c>
      <c r="AF304" s="10" t="s">
        <v>218</v>
      </c>
      <c r="AG304" s="10" t="s">
        <v>218</v>
      </c>
      <c r="AH304" s="10" t="s">
        <v>218</v>
      </c>
      <c r="AI304" s="10" t="s">
        <v>218</v>
      </c>
      <c r="AJ304" s="10" t="s">
        <v>218</v>
      </c>
      <c r="AK304" s="10" t="s">
        <v>218</v>
      </c>
      <c r="AL304" s="10" t="s">
        <v>218</v>
      </c>
      <c r="AM304" s="10" t="s">
        <v>218</v>
      </c>
      <c r="AN304" s="10" t="s">
        <v>218</v>
      </c>
      <c r="AO304" s="10" t="s">
        <v>218</v>
      </c>
      <c r="AP304" s="10" t="s">
        <v>218</v>
      </c>
      <c r="AQ304" s="27"/>
    </row>
    <row r="305" spans="1:43" ht="72" x14ac:dyDescent="0.25">
      <c r="A305" s="34"/>
      <c r="B305" s="34"/>
      <c r="C305" s="34"/>
      <c r="D305" s="34"/>
      <c r="E305" s="34"/>
      <c r="F305" s="74"/>
      <c r="G305" s="34"/>
      <c r="H305" s="36"/>
      <c r="I305" s="39"/>
      <c r="J305" s="39"/>
      <c r="K305" s="39"/>
      <c r="L305" s="39"/>
      <c r="M305" s="39"/>
      <c r="N305" s="36">
        <f t="shared" si="7"/>
        <v>0</v>
      </c>
      <c r="O305" s="36">
        <f t="shared" si="7"/>
        <v>0</v>
      </c>
      <c r="P305" s="36">
        <f t="shared" si="7"/>
        <v>0</v>
      </c>
      <c r="Q305" s="36"/>
      <c r="R305" s="36"/>
      <c r="S305" s="36"/>
      <c r="T305" s="37" t="s">
        <v>924</v>
      </c>
      <c r="U305" s="37" t="s">
        <v>316</v>
      </c>
      <c r="V305" s="160">
        <v>125</v>
      </c>
      <c r="W305" s="10"/>
      <c r="X305" s="10"/>
      <c r="Y305" s="10">
        <v>20</v>
      </c>
      <c r="Z305" s="10">
        <v>104</v>
      </c>
      <c r="AA305" s="34">
        <v>365</v>
      </c>
      <c r="AB305" s="10">
        <v>182</v>
      </c>
      <c r="AC305" s="10">
        <v>182</v>
      </c>
      <c r="AD305" s="10"/>
      <c r="AE305" s="10"/>
      <c r="AF305" s="10"/>
      <c r="AG305" s="10"/>
      <c r="AH305" s="10"/>
      <c r="AI305" s="10"/>
      <c r="AJ305" s="10"/>
      <c r="AK305" s="10"/>
      <c r="AL305" s="10"/>
      <c r="AM305" s="10"/>
      <c r="AN305" s="10"/>
      <c r="AO305" s="10"/>
      <c r="AP305" s="10"/>
      <c r="AQ305" s="27"/>
    </row>
    <row r="306" spans="1:43" ht="60" x14ac:dyDescent="0.25">
      <c r="A306" s="34" t="s">
        <v>55</v>
      </c>
      <c r="B306" s="34" t="s">
        <v>354</v>
      </c>
      <c r="C306" s="34" t="s">
        <v>355</v>
      </c>
      <c r="D306" s="34">
        <v>241120900</v>
      </c>
      <c r="E306" s="34">
        <v>12266090</v>
      </c>
      <c r="F306" s="74" t="s">
        <v>523</v>
      </c>
      <c r="G306" s="34" t="s">
        <v>525</v>
      </c>
      <c r="H306" s="36">
        <v>223477000</v>
      </c>
      <c r="I306" s="39">
        <v>243429317</v>
      </c>
      <c r="J306" s="39">
        <v>243429317</v>
      </c>
      <c r="K306" s="39"/>
      <c r="L306" s="39"/>
      <c r="M306" s="39"/>
      <c r="N306" s="36">
        <f t="shared" si="7"/>
        <v>223477000</v>
      </c>
      <c r="O306" s="36">
        <f t="shared" si="7"/>
        <v>243429317</v>
      </c>
      <c r="P306" s="36">
        <f t="shared" si="7"/>
        <v>243429317</v>
      </c>
      <c r="Q306" s="162">
        <v>186840080</v>
      </c>
      <c r="R306" s="36"/>
      <c r="S306" s="36">
        <v>416950150</v>
      </c>
      <c r="T306" s="37" t="s">
        <v>866</v>
      </c>
      <c r="U306" s="160" t="s">
        <v>225</v>
      </c>
      <c r="V306" s="160">
        <v>3</v>
      </c>
      <c r="W306" s="10"/>
      <c r="X306" s="10"/>
      <c r="Y306" s="10">
        <v>2</v>
      </c>
      <c r="Z306" s="39">
        <v>2</v>
      </c>
      <c r="AA306" s="34">
        <v>365</v>
      </c>
      <c r="AB306" s="10">
        <v>182</v>
      </c>
      <c r="AC306" s="10">
        <v>182</v>
      </c>
      <c r="AD306" s="10"/>
      <c r="AE306" s="10" t="s">
        <v>218</v>
      </c>
      <c r="AF306" s="10" t="s">
        <v>218</v>
      </c>
      <c r="AG306" s="10" t="s">
        <v>218</v>
      </c>
      <c r="AH306" s="10" t="s">
        <v>218</v>
      </c>
      <c r="AI306" s="10" t="s">
        <v>218</v>
      </c>
      <c r="AJ306" s="10" t="s">
        <v>218</v>
      </c>
      <c r="AK306" s="10" t="s">
        <v>218</v>
      </c>
      <c r="AL306" s="10" t="s">
        <v>218</v>
      </c>
      <c r="AM306" s="10" t="s">
        <v>218</v>
      </c>
      <c r="AN306" s="10" t="s">
        <v>218</v>
      </c>
      <c r="AO306" s="10" t="s">
        <v>218</v>
      </c>
      <c r="AP306" s="10" t="s">
        <v>218</v>
      </c>
      <c r="AQ306" s="27"/>
    </row>
    <row r="307" spans="1:43" ht="60" x14ac:dyDescent="0.25">
      <c r="A307" s="34" t="s">
        <v>55</v>
      </c>
      <c r="B307" s="34" t="s">
        <v>354</v>
      </c>
      <c r="C307" s="34" t="s">
        <v>355</v>
      </c>
      <c r="D307" s="34">
        <v>241120900</v>
      </c>
      <c r="E307" s="34">
        <v>14047001</v>
      </c>
      <c r="F307" s="34" t="s">
        <v>527</v>
      </c>
      <c r="G307" s="34" t="s">
        <v>925</v>
      </c>
      <c r="H307" s="39">
        <v>900000000</v>
      </c>
      <c r="I307" s="39">
        <v>270000000</v>
      </c>
      <c r="J307" s="39">
        <v>270000000</v>
      </c>
      <c r="K307" s="39"/>
      <c r="L307" s="39"/>
      <c r="M307" s="39"/>
      <c r="N307" s="36">
        <f t="shared" si="7"/>
        <v>900000000</v>
      </c>
      <c r="O307" s="36">
        <f t="shared" si="7"/>
        <v>270000000</v>
      </c>
      <c r="P307" s="36">
        <f t="shared" si="7"/>
        <v>270000000</v>
      </c>
      <c r="Q307" s="162">
        <v>170000000</v>
      </c>
      <c r="R307" s="39"/>
      <c r="S307" s="39"/>
      <c r="T307" s="39" t="s">
        <v>926</v>
      </c>
      <c r="U307" s="39" t="s">
        <v>316</v>
      </c>
      <c r="V307" s="39">
        <v>230</v>
      </c>
      <c r="W307" s="39"/>
      <c r="X307" s="39"/>
      <c r="Y307" s="39">
        <v>5</v>
      </c>
      <c r="Z307" s="39">
        <v>7</v>
      </c>
      <c r="AA307" s="39">
        <v>365</v>
      </c>
      <c r="AB307" s="39">
        <v>182</v>
      </c>
      <c r="AC307" s="39">
        <v>182</v>
      </c>
      <c r="AD307" s="39"/>
      <c r="AE307" s="39" t="s">
        <v>218</v>
      </c>
      <c r="AF307" s="39" t="s">
        <v>218</v>
      </c>
      <c r="AG307" s="39" t="s">
        <v>218</v>
      </c>
      <c r="AH307" s="39" t="s">
        <v>218</v>
      </c>
      <c r="AI307" s="39" t="s">
        <v>218</v>
      </c>
      <c r="AJ307" s="39" t="s">
        <v>218</v>
      </c>
      <c r="AK307" s="39" t="s">
        <v>218</v>
      </c>
      <c r="AL307" s="39" t="s">
        <v>218</v>
      </c>
      <c r="AM307" s="39" t="s">
        <v>218</v>
      </c>
      <c r="AN307" s="39" t="s">
        <v>218</v>
      </c>
      <c r="AO307" s="39" t="s">
        <v>218</v>
      </c>
      <c r="AP307" s="39" t="s">
        <v>218</v>
      </c>
      <c r="AQ307" s="27"/>
    </row>
    <row r="308" spans="1:43" ht="45" x14ac:dyDescent="0.25">
      <c r="A308" s="34"/>
      <c r="B308" s="34"/>
      <c r="C308" s="34"/>
      <c r="D308" s="34"/>
      <c r="E308" s="74"/>
      <c r="F308" s="27"/>
      <c r="G308" s="59"/>
      <c r="H308" s="39"/>
      <c r="I308" s="39"/>
      <c r="J308" s="39"/>
      <c r="K308" s="39"/>
      <c r="L308" s="39"/>
      <c r="M308" s="39"/>
      <c r="N308" s="36">
        <f t="shared" si="7"/>
        <v>0</v>
      </c>
      <c r="O308" s="36">
        <f t="shared" si="7"/>
        <v>0</v>
      </c>
      <c r="P308" s="36">
        <f t="shared" si="7"/>
        <v>0</v>
      </c>
      <c r="Q308" s="39"/>
      <c r="R308" s="39"/>
      <c r="S308" s="39"/>
      <c r="T308" s="39" t="s">
        <v>927</v>
      </c>
      <c r="U308" s="39" t="s">
        <v>316</v>
      </c>
      <c r="V308" s="39">
        <v>115</v>
      </c>
      <c r="W308" s="39"/>
      <c r="X308" s="39"/>
      <c r="Y308" s="39">
        <v>0</v>
      </c>
      <c r="Z308" s="39">
        <v>113</v>
      </c>
      <c r="AA308" s="39">
        <v>365</v>
      </c>
      <c r="AB308" s="39">
        <v>182</v>
      </c>
      <c r="AC308" s="39">
        <v>182</v>
      </c>
      <c r="AD308" s="39"/>
      <c r="AE308" s="39"/>
      <c r="AF308" s="39"/>
      <c r="AG308" s="39"/>
      <c r="AH308" s="39"/>
      <c r="AI308" s="39"/>
      <c r="AJ308" s="39"/>
      <c r="AK308" s="39"/>
      <c r="AL308" s="39"/>
      <c r="AM308" s="39"/>
      <c r="AN308" s="39"/>
      <c r="AO308" s="39"/>
      <c r="AP308" s="39"/>
      <c r="AQ308" s="27"/>
    </row>
    <row r="309" spans="1:43" ht="30" x14ac:dyDescent="0.25">
      <c r="A309" s="34"/>
      <c r="B309" s="34"/>
      <c r="C309" s="34"/>
      <c r="D309" s="34"/>
      <c r="E309" s="74"/>
      <c r="F309" s="34"/>
      <c r="G309" s="59"/>
      <c r="H309" s="39"/>
      <c r="I309" s="39"/>
      <c r="J309" s="39"/>
      <c r="K309" s="39"/>
      <c r="L309" s="39"/>
      <c r="M309" s="39"/>
      <c r="N309" s="36">
        <f t="shared" si="7"/>
        <v>0</v>
      </c>
      <c r="O309" s="36">
        <f t="shared" si="7"/>
        <v>0</v>
      </c>
      <c r="P309" s="36">
        <f t="shared" si="7"/>
        <v>0</v>
      </c>
      <c r="Q309" s="39"/>
      <c r="R309" s="39"/>
      <c r="S309" s="39"/>
      <c r="T309" s="39" t="s">
        <v>928</v>
      </c>
      <c r="U309" s="39" t="s">
        <v>316</v>
      </c>
      <c r="V309" s="39">
        <v>690</v>
      </c>
      <c r="W309" s="39"/>
      <c r="X309" s="39"/>
      <c r="Y309" s="39">
        <v>35</v>
      </c>
      <c r="Z309" s="39">
        <v>223</v>
      </c>
      <c r="AA309" s="39">
        <v>365</v>
      </c>
      <c r="AB309" s="39">
        <v>182</v>
      </c>
      <c r="AC309" s="39">
        <v>1822</v>
      </c>
      <c r="AD309" s="39"/>
      <c r="AE309" s="39"/>
      <c r="AF309" s="39"/>
      <c r="AG309" s="39"/>
      <c r="AH309" s="39"/>
      <c r="AI309" s="39"/>
      <c r="AJ309" s="39"/>
      <c r="AK309" s="39"/>
      <c r="AL309" s="39"/>
      <c r="AM309" s="39"/>
      <c r="AN309" s="39"/>
      <c r="AO309" s="39"/>
      <c r="AP309" s="39"/>
      <c r="AQ309" s="27"/>
    </row>
    <row r="310" spans="1:43" ht="45" x14ac:dyDescent="0.25">
      <c r="A310" s="34"/>
      <c r="B310" s="34"/>
      <c r="C310" s="34"/>
      <c r="D310" s="34"/>
      <c r="E310" s="74"/>
      <c r="F310" s="27"/>
      <c r="G310" s="59"/>
      <c r="H310" s="39"/>
      <c r="I310" s="39"/>
      <c r="J310" s="39"/>
      <c r="K310" s="39"/>
      <c r="L310" s="39"/>
      <c r="M310" s="39"/>
      <c r="N310" s="36">
        <f t="shared" si="7"/>
        <v>0</v>
      </c>
      <c r="O310" s="36">
        <f t="shared" si="7"/>
        <v>0</v>
      </c>
      <c r="P310" s="36">
        <f t="shared" si="7"/>
        <v>0</v>
      </c>
      <c r="Q310" s="39"/>
      <c r="R310" s="39"/>
      <c r="S310" s="39"/>
      <c r="T310" s="39" t="s">
        <v>929</v>
      </c>
      <c r="U310" s="39" t="s">
        <v>316</v>
      </c>
      <c r="V310" s="39">
        <v>690</v>
      </c>
      <c r="W310" s="39"/>
      <c r="X310" s="39"/>
      <c r="Y310" s="39">
        <v>17</v>
      </c>
      <c r="Z310" s="39">
        <v>73</v>
      </c>
      <c r="AA310" s="39">
        <v>365</v>
      </c>
      <c r="AB310" s="39">
        <v>182</v>
      </c>
      <c r="AC310" s="39">
        <v>182</v>
      </c>
      <c r="AD310" s="39"/>
      <c r="AE310" s="39"/>
      <c r="AF310" s="39"/>
      <c r="AG310" s="39"/>
      <c r="AH310" s="39"/>
      <c r="AI310" s="39"/>
      <c r="AJ310" s="39"/>
      <c r="AK310" s="39"/>
      <c r="AL310" s="39"/>
      <c r="AM310" s="39"/>
      <c r="AN310" s="39"/>
      <c r="AO310" s="39"/>
      <c r="AP310" s="39"/>
      <c r="AQ310" s="27"/>
    </row>
    <row r="311" spans="1:43" ht="60" x14ac:dyDescent="0.25">
      <c r="A311" s="34" t="s">
        <v>55</v>
      </c>
      <c r="B311" s="34" t="s">
        <v>354</v>
      </c>
      <c r="C311" s="34" t="s">
        <v>355</v>
      </c>
      <c r="D311" s="34">
        <v>241120900</v>
      </c>
      <c r="E311" s="34">
        <v>14047090</v>
      </c>
      <c r="F311" s="74" t="s">
        <v>527</v>
      </c>
      <c r="G311" s="34" t="s">
        <v>925</v>
      </c>
      <c r="H311" s="39">
        <v>68963000</v>
      </c>
      <c r="I311" s="39">
        <v>827400000</v>
      </c>
      <c r="J311" s="39">
        <v>827400000</v>
      </c>
      <c r="K311" s="39"/>
      <c r="L311" s="39"/>
      <c r="M311" s="39"/>
      <c r="N311" s="36">
        <f t="shared" si="7"/>
        <v>68963000</v>
      </c>
      <c r="O311" s="36">
        <f t="shared" si="7"/>
        <v>827400000</v>
      </c>
      <c r="P311" s="36">
        <f t="shared" si="7"/>
        <v>827400000</v>
      </c>
      <c r="Q311" s="162">
        <v>644597206</v>
      </c>
      <c r="R311" s="39"/>
      <c r="S311" s="36">
        <f t="shared" ref="S311:S312" si="8">Q311+R311</f>
        <v>644597206</v>
      </c>
      <c r="T311" s="39" t="s">
        <v>866</v>
      </c>
      <c r="U311" s="39" t="s">
        <v>225</v>
      </c>
      <c r="V311" s="39">
        <v>3</v>
      </c>
      <c r="W311" s="39"/>
      <c r="X311" s="39"/>
      <c r="Y311" s="39">
        <v>2</v>
      </c>
      <c r="Z311" s="39">
        <v>13</v>
      </c>
      <c r="AA311" s="39">
        <v>365</v>
      </c>
      <c r="AB311" s="39">
        <v>182</v>
      </c>
      <c r="AC311" s="39">
        <v>182</v>
      </c>
      <c r="AD311" s="39"/>
      <c r="AE311" s="39"/>
      <c r="AF311" s="39" t="s">
        <v>218</v>
      </c>
      <c r="AG311" s="39" t="s">
        <v>218</v>
      </c>
      <c r="AH311" s="39" t="s">
        <v>218</v>
      </c>
      <c r="AI311" s="39" t="s">
        <v>218</v>
      </c>
      <c r="AJ311" s="39" t="s">
        <v>218</v>
      </c>
      <c r="AK311" s="39" t="s">
        <v>218</v>
      </c>
      <c r="AL311" s="39" t="s">
        <v>218</v>
      </c>
      <c r="AM311" s="39" t="s">
        <v>218</v>
      </c>
      <c r="AN311" s="39" t="s">
        <v>218</v>
      </c>
      <c r="AO311" s="39" t="s">
        <v>218</v>
      </c>
      <c r="AP311" s="39" t="s">
        <v>218</v>
      </c>
      <c r="AQ311" s="27"/>
    </row>
    <row r="312" spans="1:43" s="27" customFormat="1" ht="60" x14ac:dyDescent="0.25">
      <c r="A312" s="34" t="s">
        <v>55</v>
      </c>
      <c r="B312" s="34" t="s">
        <v>354</v>
      </c>
      <c r="C312" s="34" t="s">
        <v>355</v>
      </c>
      <c r="D312" s="34">
        <v>241130900</v>
      </c>
      <c r="E312" s="74" t="s">
        <v>530</v>
      </c>
      <c r="F312" s="35">
        <v>2012050000123</v>
      </c>
      <c r="G312" s="34" t="s">
        <v>531</v>
      </c>
      <c r="H312" s="39">
        <v>84000000</v>
      </c>
      <c r="I312" s="39">
        <v>776811282</v>
      </c>
      <c r="J312" s="39">
        <v>121804715</v>
      </c>
      <c r="K312" s="39"/>
      <c r="L312" s="39"/>
      <c r="M312" s="39"/>
      <c r="N312" s="36">
        <f t="shared" si="7"/>
        <v>84000000</v>
      </c>
      <c r="O312" s="36">
        <f t="shared" si="7"/>
        <v>776811282</v>
      </c>
      <c r="P312" s="36">
        <f t="shared" si="7"/>
        <v>121804715</v>
      </c>
      <c r="Q312" s="162">
        <v>121804715</v>
      </c>
      <c r="R312" s="39"/>
      <c r="S312" s="36">
        <f t="shared" si="8"/>
        <v>121804715</v>
      </c>
      <c r="T312" s="163" t="s">
        <v>930</v>
      </c>
      <c r="U312" s="39" t="s">
        <v>225</v>
      </c>
      <c r="V312" s="39">
        <v>1</v>
      </c>
      <c r="W312" s="39"/>
      <c r="X312" s="39">
        <v>11</v>
      </c>
      <c r="Y312" s="39"/>
      <c r="Z312" s="39">
        <v>11</v>
      </c>
      <c r="AA312" s="39">
        <v>365</v>
      </c>
      <c r="AB312" s="39">
        <v>182</v>
      </c>
      <c r="AC312" s="39">
        <v>365</v>
      </c>
      <c r="AD312" s="39"/>
      <c r="AE312" s="39"/>
      <c r="AF312" s="39" t="s">
        <v>218</v>
      </c>
      <c r="AG312" s="39" t="s">
        <v>218</v>
      </c>
      <c r="AH312" s="39" t="s">
        <v>218</v>
      </c>
      <c r="AI312" s="39" t="s">
        <v>218</v>
      </c>
      <c r="AJ312" s="39" t="s">
        <v>218</v>
      </c>
      <c r="AK312" s="39" t="s">
        <v>218</v>
      </c>
      <c r="AL312" s="39" t="s">
        <v>218</v>
      </c>
      <c r="AM312" s="39" t="s">
        <v>218</v>
      </c>
      <c r="AN312" s="39" t="s">
        <v>218</v>
      </c>
      <c r="AO312" s="39" t="s">
        <v>218</v>
      </c>
      <c r="AP312" s="39" t="s">
        <v>218</v>
      </c>
    </row>
    <row r="313" spans="1:43" ht="33.75" x14ac:dyDescent="0.25">
      <c r="A313" s="34"/>
      <c r="B313" s="34"/>
      <c r="C313" s="34"/>
      <c r="D313" s="34"/>
      <c r="E313" s="74"/>
      <c r="F313" s="35"/>
      <c r="G313" s="59"/>
      <c r="H313" s="39"/>
      <c r="I313" s="39"/>
      <c r="J313" s="39"/>
      <c r="K313" s="39"/>
      <c r="L313" s="39"/>
      <c r="M313" s="39"/>
      <c r="N313" s="36">
        <f t="shared" si="7"/>
        <v>0</v>
      </c>
      <c r="O313" s="36">
        <f t="shared" si="7"/>
        <v>0</v>
      </c>
      <c r="P313" s="36">
        <f t="shared" si="7"/>
        <v>0</v>
      </c>
      <c r="Q313" s="39"/>
      <c r="R313" s="39"/>
      <c r="S313" s="36"/>
      <c r="T313" s="163" t="s">
        <v>931</v>
      </c>
      <c r="U313" s="180" t="s">
        <v>225</v>
      </c>
      <c r="V313" s="39"/>
      <c r="W313" s="39">
        <v>65</v>
      </c>
      <c r="X313" s="39"/>
      <c r="Y313" s="170">
        <v>12</v>
      </c>
      <c r="Z313" s="39">
        <v>23</v>
      </c>
      <c r="AA313" s="34">
        <v>365</v>
      </c>
      <c r="AB313" s="10">
        <v>180</v>
      </c>
      <c r="AC313" s="39">
        <v>360</v>
      </c>
      <c r="AD313" s="39"/>
      <c r="AE313" s="10" t="s">
        <v>218</v>
      </c>
      <c r="AF313" s="10" t="s">
        <v>218</v>
      </c>
      <c r="AG313" s="10" t="s">
        <v>218</v>
      </c>
      <c r="AH313" s="10" t="s">
        <v>218</v>
      </c>
      <c r="AI313" s="10" t="s">
        <v>218</v>
      </c>
      <c r="AJ313" s="10" t="s">
        <v>218</v>
      </c>
      <c r="AK313" s="10" t="s">
        <v>218</v>
      </c>
      <c r="AL313" s="10" t="s">
        <v>218</v>
      </c>
      <c r="AM313" s="10" t="s">
        <v>218</v>
      </c>
      <c r="AN313" s="10" t="s">
        <v>218</v>
      </c>
      <c r="AO313" s="10" t="s">
        <v>218</v>
      </c>
      <c r="AP313" s="10" t="s">
        <v>218</v>
      </c>
      <c r="AQ313" s="27"/>
    </row>
    <row r="314" spans="1:43" ht="60" x14ac:dyDescent="0.25">
      <c r="A314" s="34" t="s">
        <v>55</v>
      </c>
      <c r="B314" s="34" t="s">
        <v>354</v>
      </c>
      <c r="C314" s="34" t="s">
        <v>355</v>
      </c>
      <c r="D314" s="34">
        <v>241130900</v>
      </c>
      <c r="E314" s="74" t="s">
        <v>932</v>
      </c>
      <c r="F314" s="35">
        <v>2012050000123</v>
      </c>
      <c r="G314" s="34" t="s">
        <v>531</v>
      </c>
      <c r="H314" s="39"/>
      <c r="I314" s="39"/>
      <c r="J314" s="39">
        <v>200000000</v>
      </c>
      <c r="K314" s="39"/>
      <c r="L314" s="39"/>
      <c r="M314" s="39"/>
      <c r="N314" s="36">
        <f t="shared" si="7"/>
        <v>0</v>
      </c>
      <c r="O314" s="36">
        <f t="shared" si="7"/>
        <v>0</v>
      </c>
      <c r="P314" s="36">
        <f t="shared" si="7"/>
        <v>200000000</v>
      </c>
      <c r="Q314" s="144">
        <v>66694536</v>
      </c>
      <c r="R314" s="39"/>
      <c r="S314" s="36">
        <f t="shared" ref="S314:S338" si="9">Q314+R314</f>
        <v>66694536</v>
      </c>
      <c r="T314" s="163"/>
      <c r="U314" s="180"/>
      <c r="V314" s="39"/>
      <c r="W314" s="39"/>
      <c r="X314" s="39"/>
      <c r="Y314" s="170"/>
      <c r="Z314" s="39"/>
      <c r="AA314" s="34"/>
      <c r="AB314" s="10"/>
      <c r="AC314" s="39"/>
      <c r="AD314" s="39"/>
      <c r="AE314" s="10"/>
      <c r="AF314" s="10"/>
      <c r="AG314" s="10"/>
      <c r="AH314" s="10"/>
      <c r="AI314" s="10"/>
      <c r="AJ314" s="10"/>
      <c r="AK314" s="10"/>
      <c r="AL314" s="10"/>
      <c r="AM314" s="10"/>
      <c r="AN314" s="10"/>
      <c r="AO314" s="10"/>
      <c r="AP314" s="10"/>
      <c r="AQ314" s="27"/>
    </row>
    <row r="315" spans="1:43" ht="60" x14ac:dyDescent="0.25">
      <c r="A315" s="34" t="s">
        <v>55</v>
      </c>
      <c r="B315" s="34" t="s">
        <v>354</v>
      </c>
      <c r="C315" s="34" t="s">
        <v>355</v>
      </c>
      <c r="D315" s="34">
        <v>241130900</v>
      </c>
      <c r="E315" s="74" t="s">
        <v>535</v>
      </c>
      <c r="F315" s="35">
        <v>2012050000123</v>
      </c>
      <c r="G315" s="34" t="s">
        <v>531</v>
      </c>
      <c r="H315" s="34"/>
      <c r="I315" s="36">
        <v>8388628632</v>
      </c>
      <c r="J315" s="162"/>
      <c r="K315" s="34"/>
      <c r="L315" s="34"/>
      <c r="M315" s="34"/>
      <c r="N315" s="36">
        <f t="shared" si="7"/>
        <v>0</v>
      </c>
      <c r="O315" s="36">
        <f t="shared" si="7"/>
        <v>8388628632</v>
      </c>
      <c r="P315" s="36">
        <f t="shared" si="7"/>
        <v>0</v>
      </c>
      <c r="Q315" s="162"/>
      <c r="R315" s="39"/>
      <c r="S315" s="36">
        <f t="shared" si="9"/>
        <v>0</v>
      </c>
      <c r="T315" s="163" t="s">
        <v>933</v>
      </c>
      <c r="U315" s="180" t="s">
        <v>225</v>
      </c>
      <c r="V315" s="39">
        <v>1</v>
      </c>
      <c r="W315" s="39"/>
      <c r="X315" s="39"/>
      <c r="Y315" s="170"/>
      <c r="Z315" s="39">
        <v>1</v>
      </c>
      <c r="AA315" s="39">
        <v>365</v>
      </c>
      <c r="AB315" s="39">
        <v>182</v>
      </c>
      <c r="AC315" s="39">
        <v>365</v>
      </c>
      <c r="AD315" s="39"/>
      <c r="AE315" s="39"/>
      <c r="AF315" s="39" t="s">
        <v>218</v>
      </c>
      <c r="AG315" s="39" t="s">
        <v>218</v>
      </c>
      <c r="AH315" s="39" t="s">
        <v>218</v>
      </c>
      <c r="AI315" s="39" t="s">
        <v>218</v>
      </c>
      <c r="AJ315" s="39" t="s">
        <v>218</v>
      </c>
      <c r="AK315" s="39" t="s">
        <v>218</v>
      </c>
      <c r="AL315" s="39" t="s">
        <v>218</v>
      </c>
      <c r="AM315" s="39" t="s">
        <v>218</v>
      </c>
      <c r="AN315" s="39" t="s">
        <v>218</v>
      </c>
      <c r="AO315" s="39" t="s">
        <v>218</v>
      </c>
      <c r="AP315" s="39" t="s">
        <v>218</v>
      </c>
      <c r="AQ315" s="27"/>
    </row>
    <row r="316" spans="1:43" ht="90" x14ac:dyDescent="0.25">
      <c r="A316" s="34" t="s">
        <v>55</v>
      </c>
      <c r="B316" s="34" t="s">
        <v>354</v>
      </c>
      <c r="C316" s="34" t="s">
        <v>355</v>
      </c>
      <c r="D316" s="34">
        <v>241130900</v>
      </c>
      <c r="E316" s="74" t="s">
        <v>539</v>
      </c>
      <c r="F316" s="35">
        <v>2008050000481</v>
      </c>
      <c r="G316" s="34" t="s">
        <v>540</v>
      </c>
      <c r="H316" s="36">
        <v>370000000</v>
      </c>
      <c r="I316" s="36">
        <v>370000000</v>
      </c>
      <c r="J316" s="39">
        <v>370000000</v>
      </c>
      <c r="K316" s="34"/>
      <c r="L316" s="34"/>
      <c r="M316" s="34"/>
      <c r="N316" s="36">
        <f t="shared" si="7"/>
        <v>370000000</v>
      </c>
      <c r="O316" s="36">
        <f t="shared" si="7"/>
        <v>370000000</v>
      </c>
      <c r="P316" s="36">
        <f t="shared" si="7"/>
        <v>370000000</v>
      </c>
      <c r="Q316" s="162">
        <v>179320352</v>
      </c>
      <c r="R316" s="39"/>
      <c r="S316" s="36">
        <f t="shared" si="9"/>
        <v>179320352</v>
      </c>
      <c r="T316" s="163" t="s">
        <v>934</v>
      </c>
      <c r="U316" s="163" t="s">
        <v>935</v>
      </c>
      <c r="V316" s="181">
        <v>15</v>
      </c>
      <c r="W316" s="39"/>
      <c r="X316" s="39"/>
      <c r="Y316" s="39">
        <v>9</v>
      </c>
      <c r="Z316" s="39">
        <v>15</v>
      </c>
      <c r="AA316" s="39">
        <v>365</v>
      </c>
      <c r="AB316" s="39">
        <v>182</v>
      </c>
      <c r="AC316" s="39">
        <v>365</v>
      </c>
      <c r="AD316" s="39"/>
      <c r="AE316" s="39"/>
      <c r="AF316" s="39" t="s">
        <v>218</v>
      </c>
      <c r="AG316" s="39" t="s">
        <v>218</v>
      </c>
      <c r="AH316" s="39" t="s">
        <v>218</v>
      </c>
      <c r="AI316" s="39" t="s">
        <v>218</v>
      </c>
      <c r="AJ316" s="39" t="s">
        <v>218</v>
      </c>
      <c r="AK316" s="39" t="s">
        <v>218</v>
      </c>
      <c r="AL316" s="39" t="s">
        <v>218</v>
      </c>
      <c r="AM316" s="39" t="s">
        <v>218</v>
      </c>
      <c r="AN316" s="39" t="s">
        <v>218</v>
      </c>
      <c r="AO316" s="39" t="s">
        <v>218</v>
      </c>
      <c r="AP316" s="39" t="s">
        <v>218</v>
      </c>
      <c r="AQ316" s="27"/>
    </row>
    <row r="317" spans="1:43" ht="112.5" x14ac:dyDescent="0.25">
      <c r="A317" s="34"/>
      <c r="B317" s="34"/>
      <c r="C317" s="34"/>
      <c r="D317" s="34"/>
      <c r="E317" s="74"/>
      <c r="F317" s="35"/>
      <c r="G317" s="34"/>
      <c r="H317" s="34"/>
      <c r="I317" s="34"/>
      <c r="J317" s="34"/>
      <c r="K317" s="34"/>
      <c r="L317" s="34"/>
      <c r="M317" s="34"/>
      <c r="N317" s="36">
        <f t="shared" si="7"/>
        <v>0</v>
      </c>
      <c r="O317" s="36">
        <f t="shared" si="7"/>
        <v>0</v>
      </c>
      <c r="P317" s="39"/>
      <c r="Q317" s="39"/>
      <c r="R317" s="39"/>
      <c r="S317" s="36">
        <f t="shared" si="9"/>
        <v>0</v>
      </c>
      <c r="T317" s="182" t="s">
        <v>936</v>
      </c>
      <c r="U317" s="163" t="s">
        <v>937</v>
      </c>
      <c r="V317" s="181">
        <v>9</v>
      </c>
      <c r="W317" s="39"/>
      <c r="X317" s="39"/>
      <c r="Y317" s="39">
        <v>4</v>
      </c>
      <c r="Z317" s="39">
        <v>8</v>
      </c>
      <c r="AA317" s="39">
        <v>365</v>
      </c>
      <c r="AB317" s="39">
        <v>182</v>
      </c>
      <c r="AC317" s="39">
        <v>365</v>
      </c>
      <c r="AD317" s="39"/>
      <c r="AE317" s="39"/>
      <c r="AF317" s="39" t="s">
        <v>218</v>
      </c>
      <c r="AG317" s="39" t="s">
        <v>218</v>
      </c>
      <c r="AH317" s="39" t="s">
        <v>218</v>
      </c>
      <c r="AI317" s="39" t="s">
        <v>218</v>
      </c>
      <c r="AJ317" s="39" t="s">
        <v>218</v>
      </c>
      <c r="AK317" s="39" t="s">
        <v>218</v>
      </c>
      <c r="AL317" s="39" t="s">
        <v>218</v>
      </c>
      <c r="AM317" s="39" t="s">
        <v>218</v>
      </c>
      <c r="AN317" s="39" t="s">
        <v>218</v>
      </c>
      <c r="AO317" s="39" t="s">
        <v>218</v>
      </c>
      <c r="AP317" s="39" t="s">
        <v>218</v>
      </c>
      <c r="AQ317" s="27"/>
    </row>
    <row r="318" spans="1:43" ht="45" x14ac:dyDescent="0.25">
      <c r="A318" s="34"/>
      <c r="B318" s="34"/>
      <c r="C318" s="34"/>
      <c r="D318" s="34"/>
      <c r="E318" s="74"/>
      <c r="F318" s="35"/>
      <c r="G318" s="34"/>
      <c r="H318" s="34"/>
      <c r="I318" s="34"/>
      <c r="J318" s="34"/>
      <c r="K318" s="34"/>
      <c r="L318" s="34"/>
      <c r="M318" s="34"/>
      <c r="N318" s="36">
        <f t="shared" si="7"/>
        <v>0</v>
      </c>
      <c r="O318" s="36">
        <f t="shared" si="7"/>
        <v>0</v>
      </c>
      <c r="P318" s="39"/>
      <c r="Q318" s="39"/>
      <c r="R318" s="39"/>
      <c r="S318" s="36">
        <f t="shared" si="9"/>
        <v>0</v>
      </c>
      <c r="T318" s="182" t="s">
        <v>938</v>
      </c>
      <c r="U318" s="163" t="s">
        <v>939</v>
      </c>
      <c r="V318" s="181">
        <v>2</v>
      </c>
      <c r="W318" s="39"/>
      <c r="X318" s="39"/>
      <c r="Y318" s="39"/>
      <c r="Z318" s="39">
        <v>1</v>
      </c>
      <c r="AA318" s="39">
        <v>365</v>
      </c>
      <c r="AB318" s="39">
        <v>182</v>
      </c>
      <c r="AC318" s="39">
        <v>365</v>
      </c>
      <c r="AD318" s="39"/>
      <c r="AE318" s="39"/>
      <c r="AF318" s="39" t="s">
        <v>218</v>
      </c>
      <c r="AG318" s="39" t="s">
        <v>218</v>
      </c>
      <c r="AH318" s="39" t="s">
        <v>218</v>
      </c>
      <c r="AI318" s="39" t="s">
        <v>218</v>
      </c>
      <c r="AJ318" s="39" t="s">
        <v>218</v>
      </c>
      <c r="AK318" s="39" t="s">
        <v>218</v>
      </c>
      <c r="AL318" s="39" t="s">
        <v>218</v>
      </c>
      <c r="AM318" s="39" t="s">
        <v>218</v>
      </c>
      <c r="AN318" s="39" t="s">
        <v>218</v>
      </c>
      <c r="AO318" s="39" t="s">
        <v>218</v>
      </c>
      <c r="AP318" s="39" t="s">
        <v>218</v>
      </c>
      <c r="AQ318" s="27"/>
    </row>
    <row r="319" spans="1:43" ht="90" x14ac:dyDescent="0.25">
      <c r="A319" s="34"/>
      <c r="B319" s="34"/>
      <c r="C319" s="34"/>
      <c r="D319" s="34"/>
      <c r="E319" s="74"/>
      <c r="F319" s="35"/>
      <c r="G319" s="34"/>
      <c r="H319" s="34"/>
      <c r="I319" s="34"/>
      <c r="J319" s="34"/>
      <c r="K319" s="34"/>
      <c r="L319" s="34"/>
      <c r="M319" s="34"/>
      <c r="N319" s="36">
        <f t="shared" si="7"/>
        <v>0</v>
      </c>
      <c r="O319" s="36">
        <f t="shared" si="7"/>
        <v>0</v>
      </c>
      <c r="P319" s="39"/>
      <c r="Q319" s="39"/>
      <c r="R319" s="39"/>
      <c r="S319" s="36">
        <f t="shared" si="9"/>
        <v>0</v>
      </c>
      <c r="T319" s="182" t="s">
        <v>940</v>
      </c>
      <c r="U319" s="163" t="s">
        <v>941</v>
      </c>
      <c r="V319" s="181">
        <v>125</v>
      </c>
      <c r="W319" s="39"/>
      <c r="X319" s="39"/>
      <c r="Y319" s="39">
        <v>125</v>
      </c>
      <c r="Z319" s="39">
        <v>125</v>
      </c>
      <c r="AA319" s="39">
        <v>365</v>
      </c>
      <c r="AB319" s="39">
        <v>182</v>
      </c>
      <c r="AC319" s="39">
        <v>365</v>
      </c>
      <c r="AD319" s="39"/>
      <c r="AE319" s="39"/>
      <c r="AF319" s="39" t="s">
        <v>218</v>
      </c>
      <c r="AG319" s="39" t="s">
        <v>218</v>
      </c>
      <c r="AH319" s="39" t="s">
        <v>218</v>
      </c>
      <c r="AI319" s="39" t="s">
        <v>218</v>
      </c>
      <c r="AJ319" s="39" t="s">
        <v>218</v>
      </c>
      <c r="AK319" s="39" t="s">
        <v>218</v>
      </c>
      <c r="AL319" s="39" t="s">
        <v>218</v>
      </c>
      <c r="AM319" s="39" t="s">
        <v>218</v>
      </c>
      <c r="AN319" s="39" t="s">
        <v>218</v>
      </c>
      <c r="AO319" s="39" t="s">
        <v>218</v>
      </c>
      <c r="AP319" s="39" t="s">
        <v>218</v>
      </c>
      <c r="AQ319" s="27"/>
    </row>
    <row r="320" spans="1:43" ht="90" x14ac:dyDescent="0.25">
      <c r="A320" s="34"/>
      <c r="B320" s="34"/>
      <c r="C320" s="34"/>
      <c r="D320" s="34"/>
      <c r="E320" s="74"/>
      <c r="F320" s="35"/>
      <c r="G320" s="34"/>
      <c r="H320" s="34"/>
      <c r="I320" s="34"/>
      <c r="J320" s="34"/>
      <c r="K320" s="34"/>
      <c r="L320" s="34"/>
      <c r="M320" s="34"/>
      <c r="N320" s="36">
        <f t="shared" ref="N320:P335" si="10">H320+K320</f>
        <v>0</v>
      </c>
      <c r="O320" s="36">
        <f t="shared" si="10"/>
        <v>0</v>
      </c>
      <c r="P320" s="39"/>
      <c r="Q320" s="39"/>
      <c r="R320" s="39"/>
      <c r="S320" s="36">
        <f t="shared" si="9"/>
        <v>0</v>
      </c>
      <c r="T320" s="176" t="s">
        <v>942</v>
      </c>
      <c r="U320" s="163" t="s">
        <v>943</v>
      </c>
      <c r="V320" s="181">
        <v>125</v>
      </c>
      <c r="W320" s="39"/>
      <c r="X320" s="39"/>
      <c r="Y320" s="39">
        <v>60</v>
      </c>
      <c r="Z320" s="39">
        <v>60</v>
      </c>
      <c r="AA320" s="39">
        <v>365</v>
      </c>
      <c r="AB320" s="39">
        <v>182</v>
      </c>
      <c r="AC320" s="39">
        <v>365</v>
      </c>
      <c r="AD320" s="39"/>
      <c r="AE320" s="39"/>
      <c r="AF320" s="39" t="s">
        <v>218</v>
      </c>
      <c r="AG320" s="39" t="s">
        <v>218</v>
      </c>
      <c r="AH320" s="39" t="s">
        <v>218</v>
      </c>
      <c r="AI320" s="39" t="s">
        <v>218</v>
      </c>
      <c r="AJ320" s="39" t="s">
        <v>218</v>
      </c>
      <c r="AK320" s="39" t="s">
        <v>218</v>
      </c>
      <c r="AL320" s="39" t="s">
        <v>218</v>
      </c>
      <c r="AM320" s="39" t="s">
        <v>218</v>
      </c>
      <c r="AN320" s="39" t="s">
        <v>218</v>
      </c>
      <c r="AO320" s="39" t="s">
        <v>218</v>
      </c>
      <c r="AP320" s="39" t="s">
        <v>218</v>
      </c>
      <c r="AQ320" s="27"/>
    </row>
    <row r="321" spans="1:43" ht="67.5" x14ac:dyDescent="0.25">
      <c r="A321" s="34"/>
      <c r="B321" s="34"/>
      <c r="C321" s="34"/>
      <c r="D321" s="34"/>
      <c r="E321" s="74"/>
      <c r="F321" s="35"/>
      <c r="G321" s="34"/>
      <c r="H321" s="34"/>
      <c r="I321" s="34"/>
      <c r="J321" s="34"/>
      <c r="K321" s="34"/>
      <c r="L321" s="34"/>
      <c r="M321" s="34"/>
      <c r="N321" s="36">
        <f t="shared" si="10"/>
        <v>0</v>
      </c>
      <c r="O321" s="36">
        <f t="shared" si="10"/>
        <v>0</v>
      </c>
      <c r="P321" s="39"/>
      <c r="Q321" s="39"/>
      <c r="R321" s="39"/>
      <c r="S321" s="36">
        <f t="shared" si="9"/>
        <v>0</v>
      </c>
      <c r="T321" s="176" t="s">
        <v>944</v>
      </c>
      <c r="U321" s="163" t="s">
        <v>225</v>
      </c>
      <c r="V321" s="181">
        <v>65</v>
      </c>
      <c r="W321" s="39"/>
      <c r="X321" s="39"/>
      <c r="Y321" s="39">
        <v>45</v>
      </c>
      <c r="Z321" s="39">
        <v>65</v>
      </c>
      <c r="AA321" s="39">
        <v>365</v>
      </c>
      <c r="AB321" s="39">
        <v>182</v>
      </c>
      <c r="AC321" s="39">
        <v>365</v>
      </c>
      <c r="AD321" s="39"/>
      <c r="AE321" s="39"/>
      <c r="AF321" s="39" t="s">
        <v>218</v>
      </c>
      <c r="AG321" s="39" t="s">
        <v>218</v>
      </c>
      <c r="AH321" s="39" t="s">
        <v>218</v>
      </c>
      <c r="AI321" s="39" t="s">
        <v>218</v>
      </c>
      <c r="AJ321" s="39" t="s">
        <v>218</v>
      </c>
      <c r="AK321" s="39" t="s">
        <v>218</v>
      </c>
      <c r="AL321" s="39" t="s">
        <v>218</v>
      </c>
      <c r="AM321" s="39" t="s">
        <v>218</v>
      </c>
      <c r="AN321" s="39" t="s">
        <v>218</v>
      </c>
      <c r="AO321" s="39" t="s">
        <v>218</v>
      </c>
      <c r="AP321" s="39" t="s">
        <v>218</v>
      </c>
      <c r="AQ321" s="27"/>
    </row>
    <row r="322" spans="1:43" x14ac:dyDescent="0.25">
      <c r="A322" s="34"/>
      <c r="B322" s="34"/>
      <c r="C322" s="34"/>
      <c r="D322" s="34"/>
      <c r="E322" s="74"/>
      <c r="F322" s="35"/>
      <c r="G322" s="34"/>
      <c r="H322" s="34"/>
      <c r="I322" s="34"/>
      <c r="J322" s="34"/>
      <c r="K322" s="34"/>
      <c r="L322" s="34"/>
      <c r="M322" s="34"/>
      <c r="N322" s="36">
        <f t="shared" si="10"/>
        <v>0</v>
      </c>
      <c r="O322" s="36">
        <f t="shared" si="10"/>
        <v>0</v>
      </c>
      <c r="P322" s="39"/>
      <c r="Q322" s="39"/>
      <c r="R322" s="39"/>
      <c r="S322" s="36">
        <f t="shared" si="9"/>
        <v>0</v>
      </c>
      <c r="T322" s="183" t="s">
        <v>945</v>
      </c>
      <c r="U322" s="39" t="s">
        <v>225</v>
      </c>
      <c r="V322" s="181">
        <v>3</v>
      </c>
      <c r="W322" s="39"/>
      <c r="X322" s="39"/>
      <c r="Y322" s="39">
        <v>0</v>
      </c>
      <c r="Z322" s="39"/>
      <c r="AA322" s="39">
        <v>365</v>
      </c>
      <c r="AB322" s="39">
        <v>182</v>
      </c>
      <c r="AC322" s="39">
        <v>365</v>
      </c>
      <c r="AD322" s="39"/>
      <c r="AE322" s="39"/>
      <c r="AF322" s="39"/>
      <c r="AG322" s="39"/>
      <c r="AH322" s="39"/>
      <c r="AI322" s="39"/>
      <c r="AJ322" s="39"/>
      <c r="AK322" s="39"/>
      <c r="AL322" s="39"/>
      <c r="AM322" s="39"/>
      <c r="AN322" s="39"/>
      <c r="AO322" s="39"/>
      <c r="AP322" s="39"/>
      <c r="AQ322" s="27"/>
    </row>
    <row r="323" spans="1:43" ht="60" x14ac:dyDescent="0.25">
      <c r="A323" s="34" t="s">
        <v>55</v>
      </c>
      <c r="B323" s="34" t="s">
        <v>354</v>
      </c>
      <c r="C323" s="34" t="s">
        <v>355</v>
      </c>
      <c r="D323" s="34">
        <v>241130900</v>
      </c>
      <c r="E323" s="74" t="s">
        <v>541</v>
      </c>
      <c r="F323" s="35">
        <v>2008050000481</v>
      </c>
      <c r="G323" s="34" t="s">
        <v>946</v>
      </c>
      <c r="H323" s="36">
        <v>4540900000</v>
      </c>
      <c r="I323" s="36">
        <v>6274154454</v>
      </c>
      <c r="J323" s="39">
        <v>6560545192</v>
      </c>
      <c r="K323" s="34"/>
      <c r="L323" s="34"/>
      <c r="M323" s="34"/>
      <c r="N323" s="36">
        <f t="shared" si="10"/>
        <v>4540900000</v>
      </c>
      <c r="O323" s="36">
        <f t="shared" si="10"/>
        <v>6274154454</v>
      </c>
      <c r="P323" s="36">
        <f t="shared" si="10"/>
        <v>6560545192</v>
      </c>
      <c r="Q323" s="162">
        <v>5046909192</v>
      </c>
      <c r="R323" s="39"/>
      <c r="S323" s="36">
        <f t="shared" si="9"/>
        <v>5046909192</v>
      </c>
      <c r="T323" s="176" t="s">
        <v>947</v>
      </c>
      <c r="U323" s="39" t="s">
        <v>225</v>
      </c>
      <c r="V323" s="39">
        <v>1</v>
      </c>
      <c r="W323" s="39"/>
      <c r="X323" s="39"/>
      <c r="Y323" s="39">
        <v>1</v>
      </c>
      <c r="Z323" s="39">
        <v>1</v>
      </c>
      <c r="AA323" s="39">
        <v>365</v>
      </c>
      <c r="AB323" s="39">
        <v>182</v>
      </c>
      <c r="AC323" s="39">
        <v>365</v>
      </c>
      <c r="AD323" s="39"/>
      <c r="AE323" s="39"/>
      <c r="AF323" s="39" t="s">
        <v>218</v>
      </c>
      <c r="AG323" s="39" t="s">
        <v>218</v>
      </c>
      <c r="AH323" s="39" t="s">
        <v>218</v>
      </c>
      <c r="AI323" s="39" t="s">
        <v>218</v>
      </c>
      <c r="AJ323" s="39" t="s">
        <v>218</v>
      </c>
      <c r="AK323" s="39" t="s">
        <v>218</v>
      </c>
      <c r="AL323" s="39" t="s">
        <v>218</v>
      </c>
      <c r="AM323" s="39" t="s">
        <v>218</v>
      </c>
      <c r="AN323" s="39" t="s">
        <v>218</v>
      </c>
      <c r="AO323" s="39" t="s">
        <v>218</v>
      </c>
      <c r="AP323" s="39" t="s">
        <v>218</v>
      </c>
      <c r="AQ323" s="27"/>
    </row>
    <row r="324" spans="1:43" ht="48" x14ac:dyDescent="0.25">
      <c r="A324" s="34" t="s">
        <v>55</v>
      </c>
      <c r="B324" s="34" t="s">
        <v>354</v>
      </c>
      <c r="C324" s="34" t="s">
        <v>355</v>
      </c>
      <c r="D324" s="34">
        <v>241130900</v>
      </c>
      <c r="E324" s="74" t="s">
        <v>542</v>
      </c>
      <c r="F324" s="35">
        <v>2008050000481</v>
      </c>
      <c r="G324" s="34" t="s">
        <v>540</v>
      </c>
      <c r="H324" s="36"/>
      <c r="I324" s="36">
        <v>2102374322</v>
      </c>
      <c r="J324" s="39">
        <v>6354253322</v>
      </c>
      <c r="K324" s="34"/>
      <c r="L324" s="34"/>
      <c r="M324" s="34"/>
      <c r="N324" s="36">
        <f t="shared" si="10"/>
        <v>0</v>
      </c>
      <c r="O324" s="36">
        <f t="shared" si="10"/>
        <v>2102374322</v>
      </c>
      <c r="P324" s="36">
        <f t="shared" si="10"/>
        <v>6354253322</v>
      </c>
      <c r="Q324" s="162">
        <v>5503877322</v>
      </c>
      <c r="R324" s="39"/>
      <c r="S324" s="36">
        <f t="shared" si="9"/>
        <v>5503877322</v>
      </c>
      <c r="T324" s="176" t="s">
        <v>948</v>
      </c>
      <c r="U324" s="39" t="s">
        <v>225</v>
      </c>
      <c r="V324" s="39">
        <v>1</v>
      </c>
      <c r="W324" s="39"/>
      <c r="X324" s="39"/>
      <c r="Y324" s="39">
        <v>1</v>
      </c>
      <c r="Z324" s="39">
        <v>1</v>
      </c>
      <c r="AA324" s="39">
        <v>365</v>
      </c>
      <c r="AB324" s="39">
        <v>182</v>
      </c>
      <c r="AC324" s="39">
        <v>365</v>
      </c>
      <c r="AD324" s="39"/>
      <c r="AE324" s="39"/>
      <c r="AF324" s="39" t="s">
        <v>218</v>
      </c>
      <c r="AG324" s="39" t="s">
        <v>218</v>
      </c>
      <c r="AH324" s="39" t="s">
        <v>218</v>
      </c>
      <c r="AI324" s="39" t="s">
        <v>218</v>
      </c>
      <c r="AJ324" s="39" t="s">
        <v>218</v>
      </c>
      <c r="AK324" s="39" t="s">
        <v>218</v>
      </c>
      <c r="AL324" s="39" t="s">
        <v>218</v>
      </c>
      <c r="AM324" s="39" t="s">
        <v>218</v>
      </c>
      <c r="AN324" s="39" t="s">
        <v>218</v>
      </c>
      <c r="AO324" s="39" t="s">
        <v>218</v>
      </c>
      <c r="AP324" s="39" t="s">
        <v>218</v>
      </c>
      <c r="AQ324" s="27"/>
    </row>
    <row r="325" spans="1:43" ht="60" x14ac:dyDescent="0.25">
      <c r="A325" s="34" t="s">
        <v>55</v>
      </c>
      <c r="B325" s="34" t="s">
        <v>354</v>
      </c>
      <c r="C325" s="34" t="s">
        <v>355</v>
      </c>
      <c r="D325" s="34">
        <v>241130900</v>
      </c>
      <c r="E325" s="74" t="s">
        <v>949</v>
      </c>
      <c r="F325" s="35">
        <v>2008050000481</v>
      </c>
      <c r="G325" s="34" t="s">
        <v>950</v>
      </c>
      <c r="H325" s="36"/>
      <c r="I325" s="36"/>
      <c r="J325" s="39">
        <v>603374941</v>
      </c>
      <c r="K325" s="34"/>
      <c r="L325" s="34"/>
      <c r="M325" s="34"/>
      <c r="N325" s="36">
        <f t="shared" si="10"/>
        <v>0</v>
      </c>
      <c r="O325" s="36">
        <f t="shared" si="10"/>
        <v>0</v>
      </c>
      <c r="P325" s="36">
        <f t="shared" si="10"/>
        <v>603374941</v>
      </c>
      <c r="Q325" s="162">
        <v>603374941</v>
      </c>
      <c r="R325" s="39"/>
      <c r="S325" s="36">
        <f t="shared" si="9"/>
        <v>603374941</v>
      </c>
      <c r="T325" s="176"/>
      <c r="U325" s="184"/>
      <c r="V325" s="39"/>
      <c r="W325" s="39"/>
      <c r="X325" s="39"/>
      <c r="Y325" s="39"/>
      <c r="Z325" s="39"/>
      <c r="AA325" s="39"/>
      <c r="AB325" s="39"/>
      <c r="AC325" s="39">
        <v>365</v>
      </c>
      <c r="AD325" s="39"/>
      <c r="AE325" s="39"/>
      <c r="AF325" s="39"/>
      <c r="AG325" s="39"/>
      <c r="AH325" s="39"/>
      <c r="AI325" s="39"/>
      <c r="AJ325" s="39"/>
      <c r="AK325" s="39"/>
      <c r="AL325" s="39"/>
      <c r="AM325" s="39"/>
      <c r="AN325" s="39"/>
      <c r="AO325" s="39"/>
      <c r="AP325" s="39"/>
      <c r="AQ325" s="27"/>
    </row>
    <row r="326" spans="1:43" ht="60" x14ac:dyDescent="0.25">
      <c r="A326" s="34" t="s">
        <v>55</v>
      </c>
      <c r="B326" s="34" t="s">
        <v>354</v>
      </c>
      <c r="C326" s="34" t="s">
        <v>355</v>
      </c>
      <c r="D326" s="34">
        <v>241130900</v>
      </c>
      <c r="E326" s="74" t="s">
        <v>543</v>
      </c>
      <c r="F326" s="35">
        <v>2012050000134</v>
      </c>
      <c r="G326" s="34" t="s">
        <v>544</v>
      </c>
      <c r="H326" s="36">
        <v>2215294000</v>
      </c>
      <c r="I326" s="36">
        <v>2215264000</v>
      </c>
      <c r="J326" s="39">
        <v>2215294000</v>
      </c>
      <c r="K326" s="34"/>
      <c r="L326" s="34"/>
      <c r="M326" s="34"/>
      <c r="N326" s="36">
        <f t="shared" si="10"/>
        <v>2215294000</v>
      </c>
      <c r="O326" s="36">
        <f t="shared" si="10"/>
        <v>2215264000</v>
      </c>
      <c r="P326" s="36">
        <f t="shared" si="10"/>
        <v>2215294000</v>
      </c>
      <c r="Q326" s="162">
        <v>929658369</v>
      </c>
      <c r="R326" s="39"/>
      <c r="S326" s="36">
        <f t="shared" si="9"/>
        <v>929658369</v>
      </c>
      <c r="T326" s="176" t="s">
        <v>928</v>
      </c>
      <c r="U326" s="164" t="s">
        <v>316</v>
      </c>
      <c r="V326" s="165">
        <v>125</v>
      </c>
      <c r="W326" s="39">
        <v>116</v>
      </c>
      <c r="X326" s="39"/>
      <c r="Y326" s="39">
        <v>116</v>
      </c>
      <c r="Z326" s="39">
        <v>116</v>
      </c>
      <c r="AA326" s="39">
        <v>365</v>
      </c>
      <c r="AB326" s="39">
        <v>182</v>
      </c>
      <c r="AC326" s="39">
        <v>240</v>
      </c>
      <c r="AD326" s="39"/>
      <c r="AE326" s="39"/>
      <c r="AF326" s="39" t="s">
        <v>218</v>
      </c>
      <c r="AG326" s="39" t="s">
        <v>218</v>
      </c>
      <c r="AH326" s="39" t="s">
        <v>218</v>
      </c>
      <c r="AI326" s="39" t="s">
        <v>218</v>
      </c>
      <c r="AJ326" s="39" t="s">
        <v>218</v>
      </c>
      <c r="AK326" s="39" t="s">
        <v>218</v>
      </c>
      <c r="AL326" s="39" t="s">
        <v>218</v>
      </c>
      <c r="AM326" s="39" t="s">
        <v>218</v>
      </c>
      <c r="AN326" s="39" t="s">
        <v>218</v>
      </c>
      <c r="AO326" s="39" t="s">
        <v>218</v>
      </c>
      <c r="AP326" s="39" t="s">
        <v>218</v>
      </c>
      <c r="AQ326" s="27"/>
    </row>
    <row r="327" spans="1:43" ht="22.5" x14ac:dyDescent="0.25">
      <c r="A327" s="34"/>
      <c r="B327" s="34"/>
      <c r="C327" s="34"/>
      <c r="D327" s="34"/>
      <c r="E327" s="74"/>
      <c r="F327" s="35"/>
      <c r="G327" s="34"/>
      <c r="H327" s="34"/>
      <c r="I327" s="34"/>
      <c r="J327" s="34"/>
      <c r="K327" s="34"/>
      <c r="L327" s="34"/>
      <c r="M327" s="34"/>
      <c r="N327" s="36">
        <f t="shared" si="10"/>
        <v>0</v>
      </c>
      <c r="O327" s="36">
        <f t="shared" si="10"/>
        <v>0</v>
      </c>
      <c r="P327" s="39"/>
      <c r="Q327" s="39"/>
      <c r="R327" s="39"/>
      <c r="S327" s="36"/>
      <c r="T327" s="176" t="s">
        <v>951</v>
      </c>
      <c r="U327" s="164" t="s">
        <v>316</v>
      </c>
      <c r="V327" s="165">
        <v>125</v>
      </c>
      <c r="W327" s="39">
        <v>116</v>
      </c>
      <c r="X327" s="39"/>
      <c r="Y327" s="39">
        <v>116</v>
      </c>
      <c r="Z327" s="39">
        <v>116</v>
      </c>
      <c r="AA327" s="39">
        <v>365</v>
      </c>
      <c r="AB327" s="39">
        <v>182</v>
      </c>
      <c r="AC327" s="39">
        <v>240</v>
      </c>
      <c r="AD327" s="39"/>
      <c r="AE327" s="39"/>
      <c r="AF327" s="39" t="s">
        <v>218</v>
      </c>
      <c r="AG327" s="39" t="s">
        <v>218</v>
      </c>
      <c r="AH327" s="39" t="s">
        <v>218</v>
      </c>
      <c r="AI327" s="39" t="s">
        <v>218</v>
      </c>
      <c r="AJ327" s="39" t="s">
        <v>218</v>
      </c>
      <c r="AK327" s="39" t="s">
        <v>218</v>
      </c>
      <c r="AL327" s="39" t="s">
        <v>218</v>
      </c>
      <c r="AM327" s="39" t="s">
        <v>218</v>
      </c>
      <c r="AN327" s="39" t="s">
        <v>218</v>
      </c>
      <c r="AO327" s="39" t="s">
        <v>218</v>
      </c>
      <c r="AP327" s="39" t="s">
        <v>218</v>
      </c>
      <c r="AQ327" s="27"/>
    </row>
    <row r="328" spans="1:43" ht="22.5" x14ac:dyDescent="0.25">
      <c r="A328" s="34"/>
      <c r="B328" s="34"/>
      <c r="C328" s="34"/>
      <c r="D328" s="34"/>
      <c r="E328" s="74"/>
      <c r="F328" s="35"/>
      <c r="G328" s="34"/>
      <c r="H328" s="34"/>
      <c r="I328" s="34"/>
      <c r="J328" s="34"/>
      <c r="K328" s="34"/>
      <c r="L328" s="34"/>
      <c r="M328" s="34"/>
      <c r="N328" s="36">
        <f t="shared" si="10"/>
        <v>0</v>
      </c>
      <c r="O328" s="36">
        <f t="shared" si="10"/>
        <v>0</v>
      </c>
      <c r="P328" s="39"/>
      <c r="Q328" s="39"/>
      <c r="R328" s="39"/>
      <c r="S328" s="36"/>
      <c r="T328" s="176" t="s">
        <v>952</v>
      </c>
      <c r="U328" s="164" t="s">
        <v>225</v>
      </c>
      <c r="V328" s="165"/>
      <c r="W328" s="39"/>
      <c r="X328" s="39">
        <v>116</v>
      </c>
      <c r="Y328" s="39"/>
      <c r="Z328" s="39">
        <v>100</v>
      </c>
      <c r="AA328" s="39">
        <v>365</v>
      </c>
      <c r="AB328" s="39">
        <v>182</v>
      </c>
      <c r="AC328" s="39">
        <v>240</v>
      </c>
      <c r="AD328" s="39"/>
      <c r="AE328" s="39"/>
      <c r="AF328" s="39" t="s">
        <v>218</v>
      </c>
      <c r="AG328" s="39" t="s">
        <v>218</v>
      </c>
      <c r="AH328" s="39" t="s">
        <v>218</v>
      </c>
      <c r="AI328" s="39" t="s">
        <v>218</v>
      </c>
      <c r="AJ328" s="39" t="s">
        <v>218</v>
      </c>
      <c r="AK328" s="39" t="s">
        <v>218</v>
      </c>
      <c r="AL328" s="39" t="s">
        <v>218</v>
      </c>
      <c r="AM328" s="39" t="s">
        <v>218</v>
      </c>
      <c r="AN328" s="39" t="s">
        <v>218</v>
      </c>
      <c r="AO328" s="39" t="s">
        <v>218</v>
      </c>
      <c r="AP328" s="39" t="s">
        <v>218</v>
      </c>
      <c r="AQ328" s="27"/>
    </row>
    <row r="329" spans="1:43" ht="33.75" x14ac:dyDescent="0.25">
      <c r="A329" s="34"/>
      <c r="B329" s="34"/>
      <c r="C329" s="34"/>
      <c r="D329" s="34"/>
      <c r="E329" s="74"/>
      <c r="F329" s="35"/>
      <c r="G329" s="34"/>
      <c r="H329" s="34"/>
      <c r="I329" s="34"/>
      <c r="J329" s="34"/>
      <c r="K329" s="34"/>
      <c r="L329" s="34"/>
      <c r="M329" s="34"/>
      <c r="N329" s="36">
        <f t="shared" si="10"/>
        <v>0</v>
      </c>
      <c r="O329" s="36">
        <f t="shared" si="10"/>
        <v>0</v>
      </c>
      <c r="P329" s="39"/>
      <c r="Q329" s="39"/>
      <c r="R329" s="39"/>
      <c r="S329" s="36"/>
      <c r="T329" s="176" t="s">
        <v>953</v>
      </c>
      <c r="U329" s="164" t="s">
        <v>215</v>
      </c>
      <c r="V329" s="39"/>
      <c r="W329" s="39">
        <v>8</v>
      </c>
      <c r="X329" s="39"/>
      <c r="Y329" s="39">
        <v>7</v>
      </c>
      <c r="Z329" s="39">
        <v>7</v>
      </c>
      <c r="AA329" s="39">
        <v>365</v>
      </c>
      <c r="AB329" s="39">
        <v>182</v>
      </c>
      <c r="AC329" s="39">
        <v>240</v>
      </c>
      <c r="AD329" s="39"/>
      <c r="AE329" s="39"/>
      <c r="AF329" s="39" t="s">
        <v>218</v>
      </c>
      <c r="AG329" s="39" t="s">
        <v>218</v>
      </c>
      <c r="AH329" s="39" t="s">
        <v>218</v>
      </c>
      <c r="AI329" s="39" t="s">
        <v>218</v>
      </c>
      <c r="AJ329" s="39" t="s">
        <v>218</v>
      </c>
      <c r="AK329" s="39" t="s">
        <v>218</v>
      </c>
      <c r="AL329" s="39" t="s">
        <v>218</v>
      </c>
      <c r="AM329" s="39" t="s">
        <v>218</v>
      </c>
      <c r="AN329" s="39" t="s">
        <v>218</v>
      </c>
      <c r="AO329" s="39" t="s">
        <v>218</v>
      </c>
      <c r="AP329" s="39" t="s">
        <v>218</v>
      </c>
      <c r="AQ329" s="27"/>
    </row>
    <row r="330" spans="1:43" ht="60" x14ac:dyDescent="0.25">
      <c r="A330" s="34" t="s">
        <v>55</v>
      </c>
      <c r="B330" s="34" t="s">
        <v>354</v>
      </c>
      <c r="C330" s="34" t="s">
        <v>355</v>
      </c>
      <c r="D330" s="34">
        <v>241130600</v>
      </c>
      <c r="E330" s="74" t="s">
        <v>545</v>
      </c>
      <c r="F330" s="35">
        <v>2012050000134</v>
      </c>
      <c r="G330" s="34" t="s">
        <v>544</v>
      </c>
      <c r="H330" s="36">
        <v>107812000</v>
      </c>
      <c r="I330" s="36">
        <v>1570812000</v>
      </c>
      <c r="J330" s="39">
        <v>1570812000</v>
      </c>
      <c r="K330" s="34"/>
      <c r="L330" s="34"/>
      <c r="M330" s="34"/>
      <c r="N330" s="36">
        <f t="shared" si="10"/>
        <v>107812000</v>
      </c>
      <c r="O330" s="36">
        <f t="shared" si="10"/>
        <v>1570812000</v>
      </c>
      <c r="P330" s="36">
        <f t="shared" si="10"/>
        <v>1570812000</v>
      </c>
      <c r="Q330" s="162">
        <v>1155309472</v>
      </c>
      <c r="R330" s="39"/>
      <c r="S330" s="36">
        <f t="shared" si="9"/>
        <v>1155309472</v>
      </c>
      <c r="T330" s="176" t="s">
        <v>954</v>
      </c>
      <c r="U330" s="164" t="s">
        <v>215</v>
      </c>
      <c r="V330" s="39"/>
      <c r="W330" s="39">
        <v>34</v>
      </c>
      <c r="X330" s="39">
        <v>35</v>
      </c>
      <c r="Y330" s="39">
        <v>16</v>
      </c>
      <c r="Z330" s="39">
        <v>35</v>
      </c>
      <c r="AA330" s="39">
        <v>365</v>
      </c>
      <c r="AB330" s="39">
        <v>182</v>
      </c>
      <c r="AC330" s="39">
        <v>240</v>
      </c>
      <c r="AD330" s="39"/>
      <c r="AE330" s="39"/>
      <c r="AF330" s="39" t="s">
        <v>218</v>
      </c>
      <c r="AG330" s="39" t="s">
        <v>218</v>
      </c>
      <c r="AH330" s="39" t="s">
        <v>218</v>
      </c>
      <c r="AI330" s="39" t="s">
        <v>218</v>
      </c>
      <c r="AJ330" s="39" t="s">
        <v>218</v>
      </c>
      <c r="AK330" s="39" t="s">
        <v>218</v>
      </c>
      <c r="AL330" s="39" t="s">
        <v>218</v>
      </c>
      <c r="AM330" s="39" t="s">
        <v>218</v>
      </c>
      <c r="AN330" s="39" t="s">
        <v>218</v>
      </c>
      <c r="AO330" s="39" t="s">
        <v>218</v>
      </c>
      <c r="AP330" s="39" t="s">
        <v>218</v>
      </c>
      <c r="AQ330" s="27"/>
    </row>
    <row r="331" spans="1:43" ht="48" x14ac:dyDescent="0.25">
      <c r="A331" s="34" t="s">
        <v>55</v>
      </c>
      <c r="B331" s="34" t="s">
        <v>354</v>
      </c>
      <c r="C331" s="34" t="s">
        <v>355</v>
      </c>
      <c r="D331" s="34">
        <v>241130900</v>
      </c>
      <c r="E331" s="74" t="s">
        <v>546</v>
      </c>
      <c r="F331" s="35">
        <v>2008050000483</v>
      </c>
      <c r="G331" s="34" t="s">
        <v>547</v>
      </c>
      <c r="H331" s="36">
        <v>389053000</v>
      </c>
      <c r="I331" s="36">
        <v>389053000</v>
      </c>
      <c r="J331" s="39">
        <v>340678059</v>
      </c>
      <c r="K331" s="34"/>
      <c r="L331" s="34"/>
      <c r="M331" s="34"/>
      <c r="N331" s="36">
        <f t="shared" si="10"/>
        <v>389053000</v>
      </c>
      <c r="O331" s="36">
        <f t="shared" si="10"/>
        <v>389053000</v>
      </c>
      <c r="P331" s="36">
        <f t="shared" si="10"/>
        <v>340678059</v>
      </c>
      <c r="Q331" s="162">
        <v>69532312</v>
      </c>
      <c r="R331" s="39"/>
      <c r="S331" s="36">
        <f t="shared" si="9"/>
        <v>69532312</v>
      </c>
      <c r="T331" s="163" t="s">
        <v>955</v>
      </c>
      <c r="U331" s="185" t="s">
        <v>266</v>
      </c>
      <c r="V331" s="185">
        <v>29</v>
      </c>
      <c r="W331" s="39"/>
      <c r="X331" s="39"/>
      <c r="Y331" s="39">
        <v>29</v>
      </c>
      <c r="Z331" s="39">
        <v>29</v>
      </c>
      <c r="AA331" s="39">
        <v>365</v>
      </c>
      <c r="AB331" s="39">
        <v>182</v>
      </c>
      <c r="AC331" s="39">
        <v>365</v>
      </c>
      <c r="AD331" s="39"/>
      <c r="AE331" s="39"/>
      <c r="AF331" s="39" t="s">
        <v>218</v>
      </c>
      <c r="AG331" s="39" t="s">
        <v>218</v>
      </c>
      <c r="AH331" s="39" t="s">
        <v>218</v>
      </c>
      <c r="AI331" s="39" t="s">
        <v>218</v>
      </c>
      <c r="AJ331" s="39" t="s">
        <v>218</v>
      </c>
      <c r="AK331" s="39" t="s">
        <v>218</v>
      </c>
      <c r="AL331" s="39" t="s">
        <v>218</v>
      </c>
      <c r="AM331" s="39" t="s">
        <v>218</v>
      </c>
      <c r="AN331" s="39" t="s">
        <v>218</v>
      </c>
      <c r="AO331" s="39" t="s">
        <v>218</v>
      </c>
      <c r="AP331" s="39" t="s">
        <v>218</v>
      </c>
      <c r="AQ331" s="27"/>
    </row>
    <row r="332" spans="1:43" ht="22.5" x14ac:dyDescent="0.25">
      <c r="A332" s="34"/>
      <c r="B332" s="34"/>
      <c r="C332" s="34"/>
      <c r="D332" s="34"/>
      <c r="E332" s="74"/>
      <c r="F332" s="35"/>
      <c r="G332" s="34"/>
      <c r="H332" s="34"/>
      <c r="I332" s="34"/>
      <c r="J332" s="34"/>
      <c r="K332" s="34"/>
      <c r="L332" s="34"/>
      <c r="M332" s="34"/>
      <c r="N332" s="36">
        <f t="shared" si="10"/>
        <v>0</v>
      </c>
      <c r="O332" s="36">
        <f t="shared" si="10"/>
        <v>0</v>
      </c>
      <c r="P332" s="39"/>
      <c r="Q332" s="39"/>
      <c r="R332" s="39"/>
      <c r="S332" s="36"/>
      <c r="T332" s="176" t="s">
        <v>956</v>
      </c>
      <c r="U332" s="185" t="s">
        <v>266</v>
      </c>
      <c r="V332" s="185">
        <v>125</v>
      </c>
      <c r="W332" s="39"/>
      <c r="X332" s="39"/>
      <c r="Y332" s="39">
        <v>125</v>
      </c>
      <c r="Z332" s="39">
        <v>125</v>
      </c>
      <c r="AA332" s="39">
        <v>365</v>
      </c>
      <c r="AB332" s="39">
        <v>182</v>
      </c>
      <c r="AC332" s="39">
        <v>365</v>
      </c>
      <c r="AD332" s="39"/>
      <c r="AE332" s="39"/>
      <c r="AF332" s="39"/>
      <c r="AG332" s="39"/>
      <c r="AH332" s="39"/>
      <c r="AI332" s="39"/>
      <c r="AJ332" s="39"/>
      <c r="AK332" s="39"/>
      <c r="AL332" s="39"/>
      <c r="AM332" s="39"/>
      <c r="AN332" s="39"/>
      <c r="AO332" s="39"/>
      <c r="AP332" s="39"/>
      <c r="AQ332" s="27"/>
    </row>
    <row r="333" spans="1:43" ht="33.75" x14ac:dyDescent="0.25">
      <c r="A333" s="34"/>
      <c r="B333" s="34"/>
      <c r="C333" s="34"/>
      <c r="D333" s="34"/>
      <c r="E333" s="74"/>
      <c r="F333" s="35"/>
      <c r="G333" s="34"/>
      <c r="H333" s="34"/>
      <c r="I333" s="34"/>
      <c r="J333" s="34"/>
      <c r="K333" s="34"/>
      <c r="L333" s="34"/>
      <c r="M333" s="34"/>
      <c r="N333" s="36">
        <f t="shared" si="10"/>
        <v>0</v>
      </c>
      <c r="O333" s="36">
        <f t="shared" si="10"/>
        <v>0</v>
      </c>
      <c r="P333" s="39"/>
      <c r="Q333" s="39"/>
      <c r="R333" s="39"/>
      <c r="S333" s="36"/>
      <c r="T333" s="176" t="s">
        <v>957</v>
      </c>
      <c r="U333" s="185" t="s">
        <v>958</v>
      </c>
      <c r="V333" s="185">
        <v>90</v>
      </c>
      <c r="W333" s="39"/>
      <c r="X333" s="39"/>
      <c r="Y333" s="39">
        <v>81</v>
      </c>
      <c r="Z333" s="39">
        <v>86</v>
      </c>
      <c r="AA333" s="39">
        <v>365</v>
      </c>
      <c r="AB333" s="39">
        <v>182</v>
      </c>
      <c r="AC333" s="39">
        <v>365</v>
      </c>
      <c r="AD333" s="39"/>
      <c r="AE333" s="39"/>
      <c r="AF333" s="39"/>
      <c r="AG333" s="39"/>
      <c r="AH333" s="39"/>
      <c r="AI333" s="39"/>
      <c r="AJ333" s="39"/>
      <c r="AK333" s="39"/>
      <c r="AL333" s="39"/>
      <c r="AM333" s="39"/>
      <c r="AN333" s="39"/>
      <c r="AO333" s="39"/>
      <c r="AP333" s="39"/>
      <c r="AQ333" s="27"/>
    </row>
    <row r="334" spans="1:43" x14ac:dyDescent="0.25">
      <c r="A334" s="34"/>
      <c r="B334" s="34"/>
      <c r="C334" s="34"/>
      <c r="D334" s="34"/>
      <c r="E334" s="74"/>
      <c r="F334" s="35"/>
      <c r="G334" s="34"/>
      <c r="H334" s="34"/>
      <c r="I334" s="34"/>
      <c r="J334" s="34"/>
      <c r="K334" s="34"/>
      <c r="L334" s="34"/>
      <c r="M334" s="34"/>
      <c r="N334" s="36">
        <f t="shared" si="10"/>
        <v>0</v>
      </c>
      <c r="O334" s="36">
        <f t="shared" si="10"/>
        <v>0</v>
      </c>
      <c r="P334" s="39"/>
      <c r="Q334" s="39"/>
      <c r="R334" s="39"/>
      <c r="S334" s="36"/>
      <c r="T334" s="176" t="s">
        <v>959</v>
      </c>
      <c r="U334" s="185" t="s">
        <v>266</v>
      </c>
      <c r="V334" s="185">
        <v>1</v>
      </c>
      <c r="W334" s="39"/>
      <c r="X334" s="39"/>
      <c r="Y334" s="39">
        <v>0.5</v>
      </c>
      <c r="Z334" s="39">
        <v>1</v>
      </c>
      <c r="AA334" s="39">
        <v>365</v>
      </c>
      <c r="AB334" s="39">
        <v>182</v>
      </c>
      <c r="AC334" s="39">
        <v>365</v>
      </c>
      <c r="AD334" s="39"/>
      <c r="AE334" s="39"/>
      <c r="AF334" s="39"/>
      <c r="AG334" s="39"/>
      <c r="AH334" s="39"/>
      <c r="AI334" s="39"/>
      <c r="AJ334" s="39"/>
      <c r="AK334" s="39"/>
      <c r="AL334" s="39"/>
      <c r="AM334" s="39"/>
      <c r="AN334" s="39"/>
      <c r="AO334" s="39"/>
      <c r="AP334" s="39"/>
      <c r="AQ334" s="27"/>
    </row>
    <row r="335" spans="1:43" ht="48" x14ac:dyDescent="0.25">
      <c r="A335" s="34" t="s">
        <v>55</v>
      </c>
      <c r="B335" s="34" t="s">
        <v>354</v>
      </c>
      <c r="C335" s="34" t="s">
        <v>355</v>
      </c>
      <c r="D335" s="34">
        <v>241130900</v>
      </c>
      <c r="E335" s="74" t="s">
        <v>548</v>
      </c>
      <c r="F335" s="35">
        <v>2008050000483</v>
      </c>
      <c r="G335" s="34" t="s">
        <v>547</v>
      </c>
      <c r="H335" s="36">
        <v>2432000000</v>
      </c>
      <c r="I335" s="36">
        <v>3734000000</v>
      </c>
      <c r="J335" s="39">
        <v>3734000000</v>
      </c>
      <c r="K335" s="34"/>
      <c r="L335" s="34"/>
      <c r="M335" s="34"/>
      <c r="N335" s="36">
        <f t="shared" si="10"/>
        <v>2432000000</v>
      </c>
      <c r="O335" s="36">
        <f t="shared" si="10"/>
        <v>3734000000</v>
      </c>
      <c r="P335" s="36">
        <f t="shared" si="10"/>
        <v>3734000000</v>
      </c>
      <c r="Q335" s="162">
        <v>3391209684</v>
      </c>
      <c r="R335" s="39"/>
      <c r="S335" s="36">
        <f t="shared" si="9"/>
        <v>3391209684</v>
      </c>
      <c r="T335" s="176" t="s">
        <v>960</v>
      </c>
      <c r="U335" s="185" t="s">
        <v>266</v>
      </c>
      <c r="V335" s="185">
        <v>2</v>
      </c>
      <c r="W335" s="39"/>
      <c r="X335" s="39"/>
      <c r="Y335" s="39">
        <v>1</v>
      </c>
      <c r="Z335" s="39">
        <v>2</v>
      </c>
      <c r="AA335" s="39">
        <v>365</v>
      </c>
      <c r="AB335" s="39">
        <v>182</v>
      </c>
      <c r="AC335" s="39">
        <v>365</v>
      </c>
      <c r="AD335" s="39"/>
      <c r="AE335" s="39"/>
      <c r="AF335" s="39"/>
      <c r="AG335" s="39"/>
      <c r="AH335" s="39"/>
      <c r="AI335" s="39"/>
      <c r="AJ335" s="39"/>
      <c r="AK335" s="39"/>
      <c r="AL335" s="39"/>
      <c r="AM335" s="39"/>
      <c r="AN335" s="39"/>
      <c r="AO335" s="39"/>
      <c r="AP335" s="39"/>
      <c r="AQ335" s="27"/>
    </row>
    <row r="336" spans="1:43" ht="48" x14ac:dyDescent="0.25">
      <c r="A336" s="34" t="s">
        <v>55</v>
      </c>
      <c r="B336" s="34" t="s">
        <v>354</v>
      </c>
      <c r="C336" s="34" t="s">
        <v>355</v>
      </c>
      <c r="D336" s="34">
        <v>241130600</v>
      </c>
      <c r="E336" s="74" t="s">
        <v>549</v>
      </c>
      <c r="F336" s="35">
        <v>2008050000483</v>
      </c>
      <c r="G336" s="34" t="s">
        <v>547</v>
      </c>
      <c r="H336" s="36">
        <v>1225943000</v>
      </c>
      <c r="I336" s="36">
        <v>1253605000</v>
      </c>
      <c r="J336" s="39">
        <v>1317036000</v>
      </c>
      <c r="K336" s="34"/>
      <c r="L336" s="34"/>
      <c r="M336" s="34"/>
      <c r="N336" s="36">
        <f t="shared" ref="N336:P343" si="11">H336+K336</f>
        <v>1225943000</v>
      </c>
      <c r="O336" s="36">
        <f t="shared" si="11"/>
        <v>1253605000</v>
      </c>
      <c r="P336" s="36">
        <f t="shared" si="11"/>
        <v>1317036000</v>
      </c>
      <c r="Q336" s="162">
        <v>1107440494</v>
      </c>
      <c r="R336" s="39"/>
      <c r="S336" s="36">
        <f t="shared" si="9"/>
        <v>1107440494</v>
      </c>
      <c r="T336" s="176" t="s">
        <v>563</v>
      </c>
      <c r="U336" s="185" t="s">
        <v>266</v>
      </c>
      <c r="V336" s="39"/>
      <c r="W336" s="39"/>
      <c r="X336" s="39"/>
      <c r="Y336" s="39"/>
      <c r="Z336" s="39"/>
      <c r="AA336" s="39">
        <v>365</v>
      </c>
      <c r="AB336" s="39">
        <v>182</v>
      </c>
      <c r="AC336" s="39">
        <v>365</v>
      </c>
      <c r="AD336" s="39"/>
      <c r="AE336" s="39"/>
      <c r="AF336" s="39" t="s">
        <v>218</v>
      </c>
      <c r="AG336" s="39" t="s">
        <v>218</v>
      </c>
      <c r="AH336" s="39" t="s">
        <v>218</v>
      </c>
      <c r="AI336" s="39" t="s">
        <v>218</v>
      </c>
      <c r="AJ336" s="39" t="s">
        <v>218</v>
      </c>
      <c r="AK336" s="39" t="s">
        <v>218</v>
      </c>
      <c r="AL336" s="39" t="s">
        <v>218</v>
      </c>
      <c r="AM336" s="39" t="s">
        <v>218</v>
      </c>
      <c r="AN336" s="39" t="s">
        <v>218</v>
      </c>
      <c r="AO336" s="39" t="s">
        <v>218</v>
      </c>
      <c r="AP336" s="39" t="s">
        <v>218</v>
      </c>
      <c r="AQ336" s="27"/>
    </row>
    <row r="337" spans="1:43" ht="84" x14ac:dyDescent="0.25">
      <c r="A337" s="34" t="s">
        <v>55</v>
      </c>
      <c r="B337" s="34" t="s">
        <v>354</v>
      </c>
      <c r="C337" s="34" t="s">
        <v>355</v>
      </c>
      <c r="D337" s="34">
        <v>241130900</v>
      </c>
      <c r="E337" s="74" t="s">
        <v>961</v>
      </c>
      <c r="F337" s="35">
        <v>2012050000280</v>
      </c>
      <c r="G337" s="34" t="s">
        <v>550</v>
      </c>
      <c r="H337" s="36">
        <v>68963000</v>
      </c>
      <c r="I337" s="36">
        <v>68963000</v>
      </c>
      <c r="J337" s="39">
        <v>68963000</v>
      </c>
      <c r="K337" s="34"/>
      <c r="L337" s="34"/>
      <c r="M337" s="34"/>
      <c r="N337" s="36">
        <f t="shared" si="11"/>
        <v>68963000</v>
      </c>
      <c r="O337" s="36">
        <f t="shared" si="11"/>
        <v>68963000</v>
      </c>
      <c r="P337" s="39"/>
      <c r="Q337" s="162"/>
      <c r="R337" s="39"/>
      <c r="S337" s="36">
        <f t="shared" si="9"/>
        <v>0</v>
      </c>
      <c r="T337" s="176" t="s">
        <v>962</v>
      </c>
      <c r="U337" s="185" t="s">
        <v>266</v>
      </c>
      <c r="V337" s="39"/>
      <c r="W337" s="39"/>
      <c r="X337" s="39"/>
      <c r="Y337" s="39"/>
      <c r="Z337" s="39"/>
      <c r="AA337" s="39">
        <v>365</v>
      </c>
      <c r="AB337" s="39">
        <v>182</v>
      </c>
      <c r="AC337" s="39">
        <v>365</v>
      </c>
      <c r="AD337" s="39"/>
      <c r="AE337" s="39"/>
      <c r="AF337" s="39" t="s">
        <v>218</v>
      </c>
      <c r="AG337" s="39" t="s">
        <v>218</v>
      </c>
      <c r="AH337" s="39" t="s">
        <v>218</v>
      </c>
      <c r="AI337" s="39" t="s">
        <v>218</v>
      </c>
      <c r="AJ337" s="39" t="s">
        <v>218</v>
      </c>
      <c r="AK337" s="39" t="s">
        <v>218</v>
      </c>
      <c r="AL337" s="39" t="s">
        <v>218</v>
      </c>
      <c r="AM337" s="39" t="s">
        <v>218</v>
      </c>
      <c r="AN337" s="39" t="s">
        <v>218</v>
      </c>
      <c r="AO337" s="39" t="s">
        <v>218</v>
      </c>
      <c r="AP337" s="39" t="s">
        <v>218</v>
      </c>
      <c r="AQ337" s="27"/>
    </row>
    <row r="338" spans="1:43" ht="84" x14ac:dyDescent="0.25">
      <c r="A338" s="34" t="s">
        <v>55</v>
      </c>
      <c r="B338" s="34" t="s">
        <v>354</v>
      </c>
      <c r="C338" s="34" t="s">
        <v>355</v>
      </c>
      <c r="D338" s="34">
        <v>241130900</v>
      </c>
      <c r="E338" s="74" t="s">
        <v>963</v>
      </c>
      <c r="F338" s="35">
        <v>2012050000280</v>
      </c>
      <c r="G338" s="34" t="s">
        <v>550</v>
      </c>
      <c r="H338" s="36">
        <v>600000000</v>
      </c>
      <c r="I338" s="36">
        <v>600000000</v>
      </c>
      <c r="J338" s="39">
        <v>600000000</v>
      </c>
      <c r="K338" s="34"/>
      <c r="L338" s="34"/>
      <c r="M338" s="34"/>
      <c r="N338" s="36">
        <f t="shared" si="11"/>
        <v>600000000</v>
      </c>
      <c r="O338" s="36">
        <f t="shared" si="11"/>
        <v>600000000</v>
      </c>
      <c r="P338" s="39"/>
      <c r="Q338" s="162">
        <v>524114834</v>
      </c>
      <c r="R338" s="39"/>
      <c r="S338" s="36">
        <f t="shared" si="9"/>
        <v>524114834</v>
      </c>
      <c r="T338" s="186" t="s">
        <v>964</v>
      </c>
      <c r="U338" s="164" t="s">
        <v>965</v>
      </c>
      <c r="V338" s="165">
        <v>12</v>
      </c>
      <c r="W338" s="39">
        <v>8</v>
      </c>
      <c r="X338" s="39"/>
      <c r="Y338" s="165">
        <v>3</v>
      </c>
      <c r="Z338" s="39">
        <v>3</v>
      </c>
      <c r="AA338" s="39">
        <v>365</v>
      </c>
      <c r="AB338" s="39">
        <v>182</v>
      </c>
      <c r="AC338" s="39">
        <v>365</v>
      </c>
      <c r="AD338" s="39"/>
      <c r="AE338" s="39"/>
      <c r="AF338" s="39" t="s">
        <v>218</v>
      </c>
      <c r="AG338" s="39" t="s">
        <v>218</v>
      </c>
      <c r="AH338" s="39" t="s">
        <v>218</v>
      </c>
      <c r="AI338" s="39" t="s">
        <v>218</v>
      </c>
      <c r="AJ338" s="39" t="s">
        <v>218</v>
      </c>
      <c r="AK338" s="39" t="s">
        <v>218</v>
      </c>
      <c r="AL338" s="39" t="s">
        <v>218</v>
      </c>
      <c r="AM338" s="39" t="s">
        <v>218</v>
      </c>
      <c r="AN338" s="39" t="s">
        <v>218</v>
      </c>
      <c r="AO338" s="39" t="s">
        <v>218</v>
      </c>
      <c r="AP338" s="39" t="s">
        <v>218</v>
      </c>
      <c r="AQ338" s="27"/>
    </row>
    <row r="339" spans="1:43" s="27" customFormat="1" ht="22.5" x14ac:dyDescent="0.25">
      <c r="A339" s="34"/>
      <c r="B339" s="34"/>
      <c r="C339" s="34"/>
      <c r="D339" s="34"/>
      <c r="E339" s="74"/>
      <c r="F339" s="35"/>
      <c r="G339" s="34"/>
      <c r="H339" s="34"/>
      <c r="I339" s="34"/>
      <c r="J339" s="34"/>
      <c r="K339" s="34"/>
      <c r="L339" s="34"/>
      <c r="M339" s="34"/>
      <c r="N339" s="36">
        <f t="shared" si="11"/>
        <v>0</v>
      </c>
      <c r="O339" s="36">
        <f t="shared" si="11"/>
        <v>0</v>
      </c>
      <c r="P339" s="39"/>
      <c r="Q339" s="39"/>
      <c r="R339" s="39"/>
      <c r="S339" s="36"/>
      <c r="T339" s="187" t="s">
        <v>966</v>
      </c>
      <c r="U339" s="164" t="s">
        <v>967</v>
      </c>
      <c r="V339" s="165">
        <v>18</v>
      </c>
      <c r="W339" s="39">
        <v>9</v>
      </c>
      <c r="X339" s="39"/>
      <c r="Y339" s="165">
        <v>4</v>
      </c>
      <c r="Z339" s="39">
        <v>9</v>
      </c>
      <c r="AA339" s="39">
        <v>365</v>
      </c>
      <c r="AB339" s="39">
        <v>182</v>
      </c>
      <c r="AC339" s="39">
        <v>365</v>
      </c>
      <c r="AD339" s="39"/>
      <c r="AE339" s="39"/>
      <c r="AF339" s="39" t="s">
        <v>218</v>
      </c>
      <c r="AG339" s="39" t="s">
        <v>218</v>
      </c>
      <c r="AH339" s="39" t="s">
        <v>218</v>
      </c>
      <c r="AI339" s="39" t="s">
        <v>218</v>
      </c>
      <c r="AJ339" s="39" t="s">
        <v>218</v>
      </c>
      <c r="AK339" s="39" t="s">
        <v>218</v>
      </c>
      <c r="AL339" s="39" t="s">
        <v>218</v>
      </c>
      <c r="AM339" s="39" t="s">
        <v>218</v>
      </c>
      <c r="AN339" s="39" t="s">
        <v>218</v>
      </c>
      <c r="AO339" s="39" t="s">
        <v>218</v>
      </c>
      <c r="AP339" s="39" t="s">
        <v>218</v>
      </c>
    </row>
    <row r="340" spans="1:43" s="27" customFormat="1" ht="22.5" x14ac:dyDescent="0.25">
      <c r="A340" s="34"/>
      <c r="B340" s="34"/>
      <c r="C340" s="34"/>
      <c r="D340" s="34"/>
      <c r="E340" s="74"/>
      <c r="F340" s="35"/>
      <c r="G340" s="34"/>
      <c r="H340" s="34"/>
      <c r="I340" s="34"/>
      <c r="J340" s="34"/>
      <c r="K340" s="34"/>
      <c r="L340" s="34"/>
      <c r="M340" s="34"/>
      <c r="N340" s="36">
        <f t="shared" si="11"/>
        <v>0</v>
      </c>
      <c r="O340" s="36">
        <f t="shared" si="11"/>
        <v>0</v>
      </c>
      <c r="P340" s="39"/>
      <c r="Q340" s="39"/>
      <c r="R340" s="39"/>
      <c r="S340" s="36"/>
      <c r="T340" s="163" t="s">
        <v>968</v>
      </c>
      <c r="U340" s="164" t="s">
        <v>969</v>
      </c>
      <c r="V340" s="165">
        <v>12</v>
      </c>
      <c r="W340" s="39">
        <v>8</v>
      </c>
      <c r="X340" s="39"/>
      <c r="Y340" s="165">
        <v>0</v>
      </c>
      <c r="Z340" s="39">
        <v>8</v>
      </c>
      <c r="AA340" s="39">
        <v>365</v>
      </c>
      <c r="AB340" s="39">
        <v>182</v>
      </c>
      <c r="AC340" s="39">
        <v>365</v>
      </c>
      <c r="AD340" s="39"/>
      <c r="AE340" s="39"/>
      <c r="AF340" s="39" t="s">
        <v>218</v>
      </c>
      <c r="AG340" s="39" t="s">
        <v>218</v>
      </c>
      <c r="AH340" s="39" t="s">
        <v>218</v>
      </c>
      <c r="AI340" s="39" t="s">
        <v>218</v>
      </c>
      <c r="AJ340" s="39" t="s">
        <v>218</v>
      </c>
      <c r="AK340" s="39" t="s">
        <v>218</v>
      </c>
      <c r="AL340" s="39" t="s">
        <v>218</v>
      </c>
      <c r="AM340" s="39" t="s">
        <v>218</v>
      </c>
      <c r="AN340" s="39" t="s">
        <v>218</v>
      </c>
      <c r="AO340" s="39" t="s">
        <v>218</v>
      </c>
      <c r="AP340" s="39" t="s">
        <v>218</v>
      </c>
    </row>
    <row r="341" spans="1:43" s="27" customFormat="1" ht="22.5" x14ac:dyDescent="0.25">
      <c r="A341" s="34"/>
      <c r="B341" s="34"/>
      <c r="C341" s="34"/>
      <c r="D341" s="34"/>
      <c r="E341" s="74"/>
      <c r="F341" s="35"/>
      <c r="G341" s="34"/>
      <c r="H341" s="34"/>
      <c r="I341" s="34"/>
      <c r="J341" s="34"/>
      <c r="K341" s="34"/>
      <c r="L341" s="34"/>
      <c r="M341" s="34"/>
      <c r="N341" s="36">
        <f t="shared" si="11"/>
        <v>0</v>
      </c>
      <c r="O341" s="36">
        <f t="shared" si="11"/>
        <v>0</v>
      </c>
      <c r="P341" s="39"/>
      <c r="Q341" s="39"/>
      <c r="R341" s="39"/>
      <c r="S341" s="36"/>
      <c r="T341" s="176" t="s">
        <v>970</v>
      </c>
      <c r="U341" s="164" t="s">
        <v>971</v>
      </c>
      <c r="V341" s="165">
        <v>15</v>
      </c>
      <c r="W341" s="39">
        <v>4</v>
      </c>
      <c r="X341" s="39"/>
      <c r="Y341" s="165"/>
      <c r="Z341" s="39">
        <v>4</v>
      </c>
      <c r="AA341" s="39">
        <v>365</v>
      </c>
      <c r="AB341" s="39">
        <v>182</v>
      </c>
      <c r="AC341" s="39">
        <v>365</v>
      </c>
      <c r="AD341" s="39"/>
      <c r="AE341" s="39"/>
      <c r="AF341" s="39" t="s">
        <v>218</v>
      </c>
      <c r="AG341" s="39" t="s">
        <v>218</v>
      </c>
      <c r="AH341" s="39" t="s">
        <v>218</v>
      </c>
      <c r="AI341" s="39" t="s">
        <v>218</v>
      </c>
      <c r="AJ341" s="39" t="s">
        <v>218</v>
      </c>
      <c r="AK341" s="39" t="s">
        <v>218</v>
      </c>
      <c r="AL341" s="39" t="s">
        <v>218</v>
      </c>
      <c r="AM341" s="39" t="s">
        <v>218</v>
      </c>
      <c r="AN341" s="39" t="s">
        <v>218</v>
      </c>
      <c r="AO341" s="39" t="s">
        <v>218</v>
      </c>
      <c r="AP341" s="39" t="s">
        <v>218</v>
      </c>
    </row>
    <row r="342" spans="1:43" s="27" customFormat="1" x14ac:dyDescent="0.25">
      <c r="A342" s="34"/>
      <c r="B342" s="34"/>
      <c r="C342" s="34"/>
      <c r="D342" s="34"/>
      <c r="E342" s="74"/>
      <c r="F342" s="35"/>
      <c r="G342" s="34"/>
      <c r="H342" s="34"/>
      <c r="I342" s="34"/>
      <c r="J342" s="34"/>
      <c r="K342" s="34"/>
      <c r="L342" s="34"/>
      <c r="M342" s="34"/>
      <c r="N342" s="36">
        <f t="shared" si="11"/>
        <v>0</v>
      </c>
      <c r="O342" s="36">
        <f t="shared" si="11"/>
        <v>0</v>
      </c>
      <c r="P342" s="39"/>
      <c r="Q342" s="39"/>
      <c r="R342" s="39"/>
      <c r="S342" s="36"/>
      <c r="T342" s="176" t="s">
        <v>972</v>
      </c>
      <c r="U342" s="164" t="s">
        <v>973</v>
      </c>
      <c r="V342" s="165">
        <v>11</v>
      </c>
      <c r="W342" s="39"/>
      <c r="X342" s="39"/>
      <c r="Y342" s="165">
        <v>4</v>
      </c>
      <c r="Z342" s="39">
        <v>8</v>
      </c>
      <c r="AA342" s="39">
        <v>365</v>
      </c>
      <c r="AB342" s="39">
        <v>182</v>
      </c>
      <c r="AC342" s="39">
        <v>365</v>
      </c>
      <c r="AD342" s="39"/>
      <c r="AE342" s="39"/>
      <c r="AF342" s="39" t="s">
        <v>218</v>
      </c>
      <c r="AG342" s="39" t="s">
        <v>218</v>
      </c>
      <c r="AH342" s="39" t="s">
        <v>218</v>
      </c>
      <c r="AI342" s="39" t="s">
        <v>218</v>
      </c>
      <c r="AJ342" s="39" t="s">
        <v>218</v>
      </c>
      <c r="AK342" s="39" t="s">
        <v>218</v>
      </c>
      <c r="AL342" s="39" t="s">
        <v>218</v>
      </c>
      <c r="AM342" s="39" t="s">
        <v>218</v>
      </c>
      <c r="AN342" s="39" t="s">
        <v>218</v>
      </c>
      <c r="AO342" s="39" t="s">
        <v>218</v>
      </c>
      <c r="AP342" s="39" t="s">
        <v>218</v>
      </c>
    </row>
    <row r="343" spans="1:43" s="27" customFormat="1" ht="22.5" x14ac:dyDescent="0.25">
      <c r="A343" s="34"/>
      <c r="B343" s="34"/>
      <c r="C343" s="34"/>
      <c r="D343" s="34"/>
      <c r="E343" s="74"/>
      <c r="F343" s="35"/>
      <c r="G343" s="34"/>
      <c r="H343" s="34"/>
      <c r="I343" s="34"/>
      <c r="J343" s="34"/>
      <c r="K343" s="34"/>
      <c r="L343" s="34"/>
      <c r="M343" s="34"/>
      <c r="N343" s="36">
        <f t="shared" si="11"/>
        <v>0</v>
      </c>
      <c r="O343" s="36">
        <f t="shared" si="11"/>
        <v>0</v>
      </c>
      <c r="P343" s="39"/>
      <c r="Q343" s="39"/>
      <c r="R343" s="39"/>
      <c r="S343" s="36"/>
      <c r="T343" s="186" t="s">
        <v>974</v>
      </c>
      <c r="U343" s="180"/>
      <c r="V343" s="165">
        <v>9</v>
      </c>
      <c r="W343" s="39"/>
      <c r="X343" s="39"/>
      <c r="Y343" s="165">
        <v>4</v>
      </c>
      <c r="Z343" s="39">
        <v>0</v>
      </c>
      <c r="AA343" s="39">
        <v>365</v>
      </c>
      <c r="AB343" s="39">
        <v>182</v>
      </c>
      <c r="AC343" s="39">
        <v>365</v>
      </c>
      <c r="AD343" s="39"/>
      <c r="AE343" s="39"/>
      <c r="AF343" s="39" t="s">
        <v>218</v>
      </c>
      <c r="AG343" s="39" t="s">
        <v>218</v>
      </c>
      <c r="AH343" s="39" t="s">
        <v>218</v>
      </c>
      <c r="AI343" s="39" t="s">
        <v>218</v>
      </c>
      <c r="AJ343" s="39" t="s">
        <v>218</v>
      </c>
      <c r="AK343" s="39" t="s">
        <v>218</v>
      </c>
      <c r="AL343" s="39" t="s">
        <v>218</v>
      </c>
      <c r="AM343" s="39" t="s">
        <v>218</v>
      </c>
      <c r="AN343" s="39" t="s">
        <v>218</v>
      </c>
      <c r="AO343" s="39" t="s">
        <v>218</v>
      </c>
      <c r="AP343" s="39" t="s">
        <v>218</v>
      </c>
    </row>
  </sheetData>
  <sheetProtection algorithmName="SHA-512" hashValue="czqXT2HpKh8VNKgw9yAPPAzV+sPU/AKjLkiTg8zOZexy+MkQybv3z9mwCb8fbl5gXO2Q4QErqNf0mwh/HnGm3g==" saltValue="vJ9fCb60V41eZ1qNsHoH6A=="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6"/>
  <sheetViews>
    <sheetView topLeftCell="A4" zoomScaleNormal="100" workbookViewId="0">
      <pane ySplit="5" topLeftCell="A9" activePane="bottomLeft" state="frozen"/>
      <selection activeCell="A4" sqref="A4"/>
      <selection pane="bottomLeft" activeCell="G9" sqref="G9"/>
    </sheetView>
  </sheetViews>
  <sheetFormatPr baseColWidth="10" defaultRowHeight="15" x14ac:dyDescent="0.25"/>
  <cols>
    <col min="1" max="1" width="11.7109375" style="1" customWidth="1"/>
    <col min="2" max="2" width="14.42578125" style="1" customWidth="1"/>
    <col min="3" max="3" width="11.42578125" style="1" customWidth="1"/>
    <col min="4" max="4" width="11.42578125" style="1"/>
    <col min="5" max="5" width="20.42578125" style="1" customWidth="1"/>
    <col min="6" max="6" width="26" style="1" customWidth="1"/>
    <col min="7" max="7" width="13.85546875" style="1" customWidth="1"/>
    <col min="8" max="8" width="26.140625" style="1" customWidth="1"/>
    <col min="9" max="9" width="19.28515625" style="1" customWidth="1"/>
    <col min="10" max="10" width="17.140625" style="1" customWidth="1"/>
    <col min="11" max="11" width="21.140625" style="1" customWidth="1"/>
    <col min="12" max="12" width="11.42578125" style="1"/>
    <col min="13" max="13" width="18.7109375" style="1" customWidth="1"/>
    <col min="14" max="14" width="14.42578125" style="1" customWidth="1"/>
    <col min="15" max="15" width="11.42578125" style="1"/>
    <col min="16" max="16" width="14.42578125" style="27" customWidth="1"/>
    <col min="17" max="17" width="41" style="27" customWidth="1"/>
    <col min="18" max="16384" width="11.42578125" style="1"/>
  </cols>
  <sheetData>
    <row r="1" spans="1:22" x14ac:dyDescent="0.25">
      <c r="A1" s="605" t="s">
        <v>0</v>
      </c>
      <c r="B1" s="605"/>
      <c r="C1" s="605"/>
      <c r="D1" s="605"/>
      <c r="E1" s="605"/>
      <c r="F1" s="605"/>
      <c r="G1" s="605"/>
      <c r="H1" s="605"/>
      <c r="I1" s="605"/>
      <c r="J1" s="605"/>
      <c r="K1" s="605"/>
      <c r="L1" s="605"/>
      <c r="M1" s="605"/>
      <c r="N1" s="605"/>
      <c r="O1" s="605"/>
    </row>
    <row r="2" spans="1:22" x14ac:dyDescent="0.25">
      <c r="A2" s="693" t="s">
        <v>1</v>
      </c>
      <c r="B2" s="693"/>
      <c r="C2" s="693"/>
      <c r="D2" s="693"/>
      <c r="E2" s="693"/>
      <c r="F2" s="693"/>
      <c r="G2" s="693"/>
      <c r="H2" s="693"/>
      <c r="I2" s="693"/>
      <c r="J2" s="693"/>
      <c r="K2" s="693"/>
      <c r="L2" s="693"/>
      <c r="M2" s="693"/>
      <c r="N2" s="693"/>
      <c r="O2" s="693"/>
    </row>
    <row r="3" spans="1:22" x14ac:dyDescent="0.25">
      <c r="A3" s="693" t="s">
        <v>2</v>
      </c>
      <c r="B3" s="693"/>
      <c r="C3" s="693"/>
      <c r="D3" s="693"/>
      <c r="E3" s="693"/>
      <c r="F3" s="693"/>
      <c r="G3" s="693"/>
      <c r="H3" s="693" t="s">
        <v>3</v>
      </c>
      <c r="I3" s="693"/>
      <c r="J3" s="693"/>
      <c r="K3" s="693"/>
      <c r="L3" s="693"/>
      <c r="M3" s="693"/>
      <c r="N3" s="693"/>
      <c r="O3" s="693"/>
    </row>
    <row r="4" spans="1:22" x14ac:dyDescent="0.25">
      <c r="A4" s="693">
        <v>2013</v>
      </c>
      <c r="B4" s="693"/>
      <c r="C4" s="693"/>
      <c r="D4" s="693"/>
      <c r="E4" s="693"/>
      <c r="F4" s="693"/>
      <c r="G4" s="693"/>
      <c r="H4" s="693"/>
      <c r="I4" s="693"/>
      <c r="J4" s="693"/>
      <c r="K4" s="693"/>
      <c r="L4" s="693"/>
      <c r="M4" s="693"/>
      <c r="N4" s="693"/>
      <c r="O4" s="693"/>
    </row>
    <row r="5" spans="1:22" x14ac:dyDescent="0.25">
      <c r="A5" s="129"/>
      <c r="B5" s="129"/>
      <c r="C5" s="129"/>
      <c r="D5" s="129"/>
      <c r="E5" s="129"/>
      <c r="F5" s="129"/>
      <c r="G5" s="129"/>
      <c r="H5" s="129"/>
      <c r="I5" s="129"/>
      <c r="J5" s="129"/>
      <c r="K5" s="130"/>
      <c r="L5" s="131"/>
      <c r="M5" s="132"/>
      <c r="N5" s="132"/>
      <c r="O5" s="132"/>
    </row>
    <row r="6" spans="1:22" x14ac:dyDescent="0.25">
      <c r="A6" s="133" t="s">
        <v>4</v>
      </c>
      <c r="B6" s="694" t="s">
        <v>331</v>
      </c>
      <c r="C6" s="694"/>
      <c r="D6" s="694"/>
      <c r="E6" s="694"/>
      <c r="F6" s="694"/>
      <c r="G6" s="694"/>
      <c r="H6" s="694"/>
      <c r="I6" s="694"/>
      <c r="J6" s="694"/>
      <c r="K6" s="694"/>
      <c r="L6" s="694"/>
      <c r="M6" s="694"/>
      <c r="N6" s="694"/>
      <c r="O6" s="694"/>
    </row>
    <row r="7" spans="1:22" ht="15" customHeight="1" x14ac:dyDescent="0.25">
      <c r="A7" s="692" t="s">
        <v>6</v>
      </c>
      <c r="B7" s="692" t="s">
        <v>7</v>
      </c>
      <c r="C7" s="692" t="s">
        <v>8</v>
      </c>
      <c r="D7" s="692" t="s">
        <v>9</v>
      </c>
      <c r="E7" s="692" t="s">
        <v>10</v>
      </c>
      <c r="F7" s="692" t="s">
        <v>11</v>
      </c>
      <c r="G7" s="692" t="s">
        <v>12</v>
      </c>
      <c r="H7" s="692" t="s">
        <v>13</v>
      </c>
      <c r="I7" s="697" t="s">
        <v>14</v>
      </c>
      <c r="J7" s="621" t="s">
        <v>15</v>
      </c>
      <c r="K7" s="692" t="s">
        <v>16</v>
      </c>
      <c r="L7" s="692" t="s">
        <v>17</v>
      </c>
      <c r="M7" s="698" t="s">
        <v>18</v>
      </c>
      <c r="N7" s="698" t="s">
        <v>19</v>
      </c>
      <c r="O7" s="698" t="s">
        <v>20</v>
      </c>
      <c r="P7" s="698" t="s">
        <v>21</v>
      </c>
      <c r="Q7" s="695" t="s">
        <v>22</v>
      </c>
    </row>
    <row r="8" spans="1:22" ht="36" customHeight="1" x14ac:dyDescent="0.25">
      <c r="A8" s="618"/>
      <c r="B8" s="618"/>
      <c r="C8" s="618"/>
      <c r="D8" s="618"/>
      <c r="E8" s="618"/>
      <c r="F8" s="618"/>
      <c r="G8" s="618"/>
      <c r="H8" s="618"/>
      <c r="I8" s="697"/>
      <c r="J8" s="622"/>
      <c r="K8" s="618"/>
      <c r="L8" s="618"/>
      <c r="M8" s="624"/>
      <c r="N8" s="624"/>
      <c r="O8" s="624"/>
      <c r="P8" s="624"/>
      <c r="Q8" s="696"/>
      <c r="S8" s="8"/>
      <c r="T8" s="8"/>
      <c r="U8" s="8"/>
    </row>
    <row r="9" spans="1:22" ht="242.25" x14ac:dyDescent="0.25">
      <c r="A9" s="18" t="s">
        <v>55</v>
      </c>
      <c r="B9" s="18" t="s">
        <v>332</v>
      </c>
      <c r="C9" s="18" t="s">
        <v>333</v>
      </c>
      <c r="D9" s="18">
        <v>243510906</v>
      </c>
      <c r="E9" s="18" t="s">
        <v>334</v>
      </c>
      <c r="F9" s="134" t="s">
        <v>335</v>
      </c>
      <c r="G9" s="18">
        <v>12262001</v>
      </c>
      <c r="H9" s="18" t="s">
        <v>336</v>
      </c>
      <c r="I9" s="135">
        <v>2934381551</v>
      </c>
      <c r="J9" s="135">
        <v>4528178042</v>
      </c>
      <c r="K9" s="18" t="s">
        <v>337</v>
      </c>
      <c r="L9" s="18">
        <v>249042</v>
      </c>
      <c r="M9" s="136">
        <v>249042</v>
      </c>
      <c r="N9" s="15"/>
      <c r="O9" s="137">
        <v>128953</v>
      </c>
      <c r="P9" s="138">
        <v>207301</v>
      </c>
      <c r="Q9" s="137" t="s">
        <v>338</v>
      </c>
      <c r="R9" s="139"/>
      <c r="S9" s="139"/>
      <c r="T9" s="139"/>
      <c r="U9" s="139"/>
    </row>
    <row r="10" spans="1:22" ht="306" x14ac:dyDescent="0.25">
      <c r="A10" s="18" t="s">
        <v>55</v>
      </c>
      <c r="B10" s="18" t="s">
        <v>332</v>
      </c>
      <c r="C10" s="18" t="s">
        <v>333</v>
      </c>
      <c r="D10" s="18">
        <v>243510906</v>
      </c>
      <c r="E10" s="18" t="s">
        <v>334</v>
      </c>
      <c r="F10" s="134" t="s">
        <v>335</v>
      </c>
      <c r="G10" s="18">
        <v>12262002</v>
      </c>
      <c r="H10" s="18" t="s">
        <v>336</v>
      </c>
      <c r="I10" s="135">
        <v>51860000</v>
      </c>
      <c r="J10" s="135">
        <v>51860000</v>
      </c>
      <c r="K10" s="18" t="s">
        <v>339</v>
      </c>
      <c r="L10" s="18">
        <v>11320</v>
      </c>
      <c r="M10" s="136">
        <v>11320</v>
      </c>
      <c r="N10" s="15"/>
      <c r="O10" s="137">
        <v>670</v>
      </c>
      <c r="P10" s="138">
        <v>3393</v>
      </c>
      <c r="Q10" s="137" t="s">
        <v>340</v>
      </c>
      <c r="R10" s="139"/>
      <c r="S10" s="139"/>
      <c r="T10" s="139"/>
      <c r="U10" s="139"/>
    </row>
    <row r="11" spans="1:22" ht="90" x14ac:dyDescent="0.25">
      <c r="A11" s="18" t="s">
        <v>55</v>
      </c>
      <c r="B11" s="18" t="s">
        <v>332</v>
      </c>
      <c r="C11" s="18" t="s">
        <v>333</v>
      </c>
      <c r="D11" s="18">
        <v>243510906</v>
      </c>
      <c r="E11" s="18" t="s">
        <v>334</v>
      </c>
      <c r="F11" s="134" t="s">
        <v>335</v>
      </c>
      <c r="G11" s="18">
        <v>12262090</v>
      </c>
      <c r="H11" s="18" t="s">
        <v>341</v>
      </c>
      <c r="I11" s="135">
        <v>217150000</v>
      </c>
      <c r="J11" s="135">
        <v>225843000</v>
      </c>
      <c r="K11" s="18" t="s">
        <v>337</v>
      </c>
      <c r="L11" s="18">
        <v>249042</v>
      </c>
      <c r="M11" s="137">
        <v>128953</v>
      </c>
      <c r="N11" s="15"/>
      <c r="O11" s="137">
        <v>128953</v>
      </c>
      <c r="P11" s="138">
        <v>207301</v>
      </c>
      <c r="Q11" s="15"/>
      <c r="R11" s="139"/>
      <c r="S11" s="139"/>
      <c r="T11" s="139"/>
      <c r="U11" s="139"/>
    </row>
    <row r="12" spans="1:22" ht="105" x14ac:dyDescent="0.25">
      <c r="A12" s="18">
        <v>0</v>
      </c>
      <c r="B12" s="18">
        <v>0</v>
      </c>
      <c r="C12" s="18">
        <v>0</v>
      </c>
      <c r="D12" s="18">
        <v>0</v>
      </c>
      <c r="E12" s="18" t="s">
        <v>342</v>
      </c>
      <c r="F12" s="134">
        <v>0</v>
      </c>
      <c r="G12" s="18">
        <v>0</v>
      </c>
      <c r="H12" s="18">
        <v>0</v>
      </c>
      <c r="I12" s="18"/>
      <c r="J12" s="18"/>
      <c r="K12" s="18" t="s">
        <v>339</v>
      </c>
      <c r="L12" s="18">
        <v>11320</v>
      </c>
      <c r="M12" s="136">
        <v>670</v>
      </c>
      <c r="N12" s="15"/>
      <c r="O12" s="15">
        <v>670</v>
      </c>
      <c r="P12" s="138">
        <v>3393</v>
      </c>
      <c r="Q12" s="15"/>
      <c r="R12" s="139"/>
      <c r="S12" s="139"/>
      <c r="T12" s="139"/>
      <c r="U12" s="139"/>
      <c r="V12" s="139"/>
    </row>
    <row r="13" spans="1:22" ht="75" x14ac:dyDescent="0.25">
      <c r="A13" s="18" t="s">
        <v>55</v>
      </c>
      <c r="B13" s="18" t="s">
        <v>343</v>
      </c>
      <c r="C13" s="18" t="s">
        <v>344</v>
      </c>
      <c r="D13" s="18">
        <v>245410601</v>
      </c>
      <c r="E13" s="18" t="s">
        <v>345</v>
      </c>
      <c r="F13" s="134" t="s">
        <v>346</v>
      </c>
      <c r="G13" s="18">
        <v>18677090</v>
      </c>
      <c r="H13" s="18" t="s">
        <v>347</v>
      </c>
      <c r="I13" s="18">
        <v>0</v>
      </c>
      <c r="J13" s="18">
        <v>0</v>
      </c>
      <c r="K13" s="18" t="s">
        <v>348</v>
      </c>
      <c r="L13" s="18">
        <v>88</v>
      </c>
      <c r="M13" s="136">
        <v>88</v>
      </c>
      <c r="N13" s="15"/>
      <c r="O13" s="137">
        <v>100</v>
      </c>
      <c r="P13" s="140">
        <v>105</v>
      </c>
      <c r="Q13" s="15"/>
      <c r="R13" s="139"/>
      <c r="S13" s="139"/>
      <c r="T13" s="139"/>
      <c r="U13" s="139"/>
    </row>
    <row r="14" spans="1:22" ht="120" x14ac:dyDescent="0.25">
      <c r="A14" s="18" t="s">
        <v>55</v>
      </c>
      <c r="B14" s="18" t="s">
        <v>343</v>
      </c>
      <c r="C14" s="18" t="s">
        <v>344</v>
      </c>
      <c r="D14" s="18">
        <v>245410601</v>
      </c>
      <c r="E14" s="18" t="s">
        <v>345</v>
      </c>
      <c r="F14" s="134" t="s">
        <v>346</v>
      </c>
      <c r="G14" s="18">
        <v>18677090</v>
      </c>
      <c r="H14" s="18" t="s">
        <v>347</v>
      </c>
      <c r="I14" s="18">
        <v>0</v>
      </c>
      <c r="J14" s="18"/>
      <c r="K14" s="18" t="s">
        <v>349</v>
      </c>
      <c r="L14" s="18">
        <v>37</v>
      </c>
      <c r="M14" s="136">
        <v>84</v>
      </c>
      <c r="N14" s="15"/>
      <c r="O14" s="137">
        <v>84</v>
      </c>
      <c r="P14" s="140">
        <v>98</v>
      </c>
      <c r="Q14" s="15"/>
      <c r="R14" s="139"/>
      <c r="S14" s="139"/>
      <c r="T14" s="139"/>
      <c r="U14" s="139"/>
    </row>
    <row r="15" spans="1:22" ht="75" x14ac:dyDescent="0.25">
      <c r="A15" s="18" t="s">
        <v>55</v>
      </c>
      <c r="B15" s="18" t="s">
        <v>343</v>
      </c>
      <c r="C15" s="18" t="s">
        <v>344</v>
      </c>
      <c r="D15" s="18">
        <v>245410601</v>
      </c>
      <c r="E15" s="18" t="s">
        <v>345</v>
      </c>
      <c r="F15" s="134" t="s">
        <v>346</v>
      </c>
      <c r="G15" s="18">
        <v>18677090</v>
      </c>
      <c r="H15" s="18" t="s">
        <v>347</v>
      </c>
      <c r="I15" s="18">
        <v>0</v>
      </c>
      <c r="J15" s="18"/>
      <c r="K15" s="18" t="s">
        <v>350</v>
      </c>
      <c r="L15" s="18">
        <v>4</v>
      </c>
      <c r="M15" s="137">
        <v>0</v>
      </c>
      <c r="N15" s="15"/>
      <c r="O15" s="137">
        <v>0</v>
      </c>
      <c r="P15" s="140">
        <v>0</v>
      </c>
      <c r="Q15" s="15"/>
      <c r="R15" s="139"/>
      <c r="S15" s="139"/>
      <c r="T15" s="139"/>
      <c r="U15" s="139"/>
    </row>
    <row r="16" spans="1:22" ht="75" x14ac:dyDescent="0.25">
      <c r="A16" s="18" t="s">
        <v>55</v>
      </c>
      <c r="B16" s="18" t="s">
        <v>343</v>
      </c>
      <c r="C16" s="18" t="s">
        <v>344</v>
      </c>
      <c r="D16" s="18">
        <v>245410601</v>
      </c>
      <c r="E16" s="18" t="s">
        <v>345</v>
      </c>
      <c r="F16" s="134" t="s">
        <v>346</v>
      </c>
      <c r="G16" s="18">
        <v>18677090</v>
      </c>
      <c r="H16" s="18" t="s">
        <v>347</v>
      </c>
      <c r="I16" s="18">
        <v>0</v>
      </c>
      <c r="J16" s="18"/>
      <c r="K16" s="18" t="s">
        <v>351</v>
      </c>
      <c r="L16" s="18">
        <v>25</v>
      </c>
      <c r="M16" s="137">
        <v>8</v>
      </c>
      <c r="N16" s="15"/>
      <c r="O16" s="137">
        <v>8</v>
      </c>
      <c r="P16" s="140">
        <v>35</v>
      </c>
      <c r="Q16" s="15"/>
      <c r="R16" s="139"/>
      <c r="S16" s="139"/>
      <c r="T16" s="139"/>
      <c r="U16" s="139"/>
    </row>
    <row r="17" spans="1:21" ht="90" x14ac:dyDescent="0.25">
      <c r="A17" s="18" t="s">
        <v>55</v>
      </c>
      <c r="B17" s="18" t="s">
        <v>343</v>
      </c>
      <c r="C17" s="18" t="s">
        <v>344</v>
      </c>
      <c r="D17" s="18">
        <v>245410901</v>
      </c>
      <c r="E17" s="18" t="s">
        <v>345</v>
      </c>
      <c r="F17" s="134" t="s">
        <v>346</v>
      </c>
      <c r="G17" s="18">
        <v>18677001</v>
      </c>
      <c r="H17" s="18" t="s">
        <v>352</v>
      </c>
      <c r="I17" s="18">
        <v>0</v>
      </c>
      <c r="J17" s="18"/>
      <c r="K17" s="18" t="s">
        <v>348</v>
      </c>
      <c r="L17" s="18">
        <v>88</v>
      </c>
      <c r="M17" s="137">
        <v>88</v>
      </c>
      <c r="N17" s="15"/>
      <c r="O17" s="137">
        <v>100</v>
      </c>
      <c r="P17" s="140">
        <v>105</v>
      </c>
      <c r="Q17" s="15"/>
      <c r="R17" s="139"/>
      <c r="S17" s="139"/>
      <c r="T17" s="139"/>
      <c r="U17" s="139"/>
    </row>
    <row r="18" spans="1:21" ht="120" x14ac:dyDescent="0.25">
      <c r="A18" s="18" t="s">
        <v>55</v>
      </c>
      <c r="B18" s="18" t="s">
        <v>343</v>
      </c>
      <c r="C18" s="18" t="s">
        <v>344</v>
      </c>
      <c r="D18" s="18">
        <v>245410901</v>
      </c>
      <c r="E18" s="18" t="s">
        <v>345</v>
      </c>
      <c r="F18" s="134" t="s">
        <v>346</v>
      </c>
      <c r="G18" s="18">
        <v>18677001</v>
      </c>
      <c r="H18" s="18" t="s">
        <v>352</v>
      </c>
      <c r="I18" s="18">
        <v>0</v>
      </c>
      <c r="J18" s="18"/>
      <c r="K18" s="18" t="s">
        <v>349</v>
      </c>
      <c r="L18" s="18">
        <v>37</v>
      </c>
      <c r="M18" s="137">
        <v>84</v>
      </c>
      <c r="N18" s="15"/>
      <c r="O18" s="137">
        <v>84</v>
      </c>
      <c r="P18" s="140">
        <v>98</v>
      </c>
      <c r="Q18" s="15"/>
      <c r="R18" s="139"/>
      <c r="S18" s="139"/>
      <c r="T18" s="139"/>
      <c r="U18" s="139"/>
    </row>
    <row r="19" spans="1:21" ht="90" x14ac:dyDescent="0.25">
      <c r="A19" s="18" t="s">
        <v>55</v>
      </c>
      <c r="B19" s="18" t="s">
        <v>343</v>
      </c>
      <c r="C19" s="18" t="s">
        <v>344</v>
      </c>
      <c r="D19" s="18">
        <v>245410901</v>
      </c>
      <c r="E19" s="18" t="s">
        <v>345</v>
      </c>
      <c r="F19" s="134" t="s">
        <v>346</v>
      </c>
      <c r="G19" s="18">
        <v>18677001</v>
      </c>
      <c r="H19" s="18" t="s">
        <v>352</v>
      </c>
      <c r="I19" s="18">
        <v>0</v>
      </c>
      <c r="J19" s="18"/>
      <c r="K19" s="18" t="s">
        <v>350</v>
      </c>
      <c r="L19" s="18">
        <v>4</v>
      </c>
      <c r="M19" s="137">
        <v>0</v>
      </c>
      <c r="N19" s="137"/>
      <c r="O19" s="137">
        <v>0</v>
      </c>
      <c r="P19" s="140">
        <v>0</v>
      </c>
      <c r="Q19" s="15"/>
      <c r="R19" s="139"/>
      <c r="S19" s="139"/>
      <c r="T19" s="139"/>
      <c r="U19" s="139"/>
    </row>
    <row r="20" spans="1:21" ht="90" x14ac:dyDescent="0.25">
      <c r="A20" s="18" t="s">
        <v>55</v>
      </c>
      <c r="B20" s="18" t="s">
        <v>343</v>
      </c>
      <c r="C20" s="18" t="s">
        <v>344</v>
      </c>
      <c r="D20" s="18">
        <v>245410901</v>
      </c>
      <c r="E20" s="18" t="s">
        <v>345</v>
      </c>
      <c r="F20" s="134" t="s">
        <v>346</v>
      </c>
      <c r="G20" s="18">
        <v>18677001</v>
      </c>
      <c r="H20" s="18" t="s">
        <v>352</v>
      </c>
      <c r="I20" s="18">
        <v>0</v>
      </c>
      <c r="J20" s="18"/>
      <c r="K20" s="18" t="s">
        <v>351</v>
      </c>
      <c r="L20" s="18">
        <v>25</v>
      </c>
      <c r="M20" s="137">
        <v>8</v>
      </c>
      <c r="N20" s="15"/>
      <c r="O20" s="137">
        <v>8</v>
      </c>
      <c r="P20" s="140">
        <v>35</v>
      </c>
      <c r="Q20" s="15"/>
      <c r="R20" s="139"/>
      <c r="S20" s="139"/>
      <c r="T20" s="139"/>
      <c r="U20" s="139"/>
    </row>
    <row r="21" spans="1:21" ht="107.25" customHeight="1" x14ac:dyDescent="0.25">
      <c r="A21" s="18" t="s">
        <v>55</v>
      </c>
      <c r="B21" s="18" t="s">
        <v>343</v>
      </c>
      <c r="C21" s="18" t="s">
        <v>344</v>
      </c>
      <c r="D21" s="18">
        <v>245410901</v>
      </c>
      <c r="E21" s="18" t="s">
        <v>345</v>
      </c>
      <c r="F21" s="134" t="s">
        <v>346</v>
      </c>
      <c r="G21" s="18">
        <v>18677002</v>
      </c>
      <c r="H21" s="18" t="s">
        <v>353</v>
      </c>
      <c r="I21" s="135">
        <v>877610154</v>
      </c>
      <c r="J21" s="135">
        <v>1012226154</v>
      </c>
      <c r="K21" s="18" t="s">
        <v>348</v>
      </c>
      <c r="L21" s="18">
        <v>88</v>
      </c>
      <c r="M21" s="137">
        <v>100</v>
      </c>
      <c r="N21" s="15"/>
      <c r="O21" s="137">
        <v>100</v>
      </c>
      <c r="P21" s="140">
        <v>105</v>
      </c>
      <c r="Q21" s="15"/>
      <c r="R21" s="139"/>
      <c r="S21" s="139"/>
      <c r="T21" s="139"/>
      <c r="U21" s="139"/>
    </row>
    <row r="22" spans="1:21" ht="120" x14ac:dyDescent="0.25">
      <c r="A22" s="18" t="s">
        <v>55</v>
      </c>
      <c r="B22" s="18" t="s">
        <v>343</v>
      </c>
      <c r="C22" s="18" t="s">
        <v>344</v>
      </c>
      <c r="D22" s="18">
        <v>245410901</v>
      </c>
      <c r="E22" s="18" t="s">
        <v>345</v>
      </c>
      <c r="F22" s="134" t="s">
        <v>346</v>
      </c>
      <c r="G22" s="18">
        <v>18677002</v>
      </c>
      <c r="H22" s="18" t="s">
        <v>353</v>
      </c>
      <c r="I22" s="18"/>
      <c r="J22" s="18"/>
      <c r="K22" s="18" t="s">
        <v>349</v>
      </c>
      <c r="L22" s="18">
        <v>37</v>
      </c>
      <c r="M22" s="137">
        <v>84</v>
      </c>
      <c r="N22" s="15"/>
      <c r="O22" s="137">
        <v>84</v>
      </c>
      <c r="P22" s="140">
        <v>98</v>
      </c>
      <c r="Q22" s="15"/>
      <c r="R22" s="139"/>
      <c r="S22" s="139"/>
      <c r="T22" s="139"/>
      <c r="U22" s="139"/>
    </row>
    <row r="23" spans="1:21" ht="75" x14ac:dyDescent="0.25">
      <c r="A23" s="18" t="s">
        <v>55</v>
      </c>
      <c r="B23" s="18" t="s">
        <v>343</v>
      </c>
      <c r="C23" s="18" t="s">
        <v>344</v>
      </c>
      <c r="D23" s="18">
        <v>245410901</v>
      </c>
      <c r="E23" s="18" t="s">
        <v>345</v>
      </c>
      <c r="F23" s="134" t="s">
        <v>346</v>
      </c>
      <c r="G23" s="18">
        <v>18677002</v>
      </c>
      <c r="H23" s="18" t="s">
        <v>353</v>
      </c>
      <c r="I23" s="18"/>
      <c r="J23" s="18"/>
      <c r="K23" s="18" t="s">
        <v>350</v>
      </c>
      <c r="L23" s="18">
        <v>4</v>
      </c>
      <c r="M23" s="137">
        <v>0</v>
      </c>
      <c r="N23" s="15"/>
      <c r="O23" s="137">
        <v>0</v>
      </c>
      <c r="P23" s="140">
        <v>0</v>
      </c>
      <c r="Q23" s="15"/>
      <c r="R23" s="139"/>
      <c r="S23" s="139"/>
      <c r="T23" s="139"/>
      <c r="U23" s="139"/>
    </row>
    <row r="24" spans="1:21" ht="103.5" customHeight="1" x14ac:dyDescent="0.25">
      <c r="A24" s="18" t="s">
        <v>55</v>
      </c>
      <c r="B24" s="18" t="s">
        <v>343</v>
      </c>
      <c r="C24" s="18" t="s">
        <v>344</v>
      </c>
      <c r="D24" s="18">
        <v>245410901</v>
      </c>
      <c r="E24" s="18" t="s">
        <v>345</v>
      </c>
      <c r="F24" s="134" t="s">
        <v>346</v>
      </c>
      <c r="G24" s="18">
        <v>18677002</v>
      </c>
      <c r="H24" s="18" t="s">
        <v>353</v>
      </c>
      <c r="I24" s="18"/>
      <c r="J24" s="18"/>
      <c r="K24" s="18" t="s">
        <v>351</v>
      </c>
      <c r="L24" s="18">
        <v>25</v>
      </c>
      <c r="M24" s="137">
        <v>8</v>
      </c>
      <c r="N24" s="15"/>
      <c r="O24" s="137">
        <v>8</v>
      </c>
      <c r="P24" s="140">
        <v>35</v>
      </c>
      <c r="Q24" s="15"/>
      <c r="R24" s="139"/>
      <c r="S24" s="139"/>
      <c r="T24" s="139"/>
      <c r="U24" s="139"/>
    </row>
    <row r="25" spans="1:21" ht="96.75" customHeight="1" x14ac:dyDescent="0.25">
      <c r="A25" s="18" t="s">
        <v>55</v>
      </c>
      <c r="B25" s="18" t="s">
        <v>343</v>
      </c>
      <c r="C25" s="18" t="s">
        <v>344</v>
      </c>
      <c r="D25" s="18">
        <v>245410901</v>
      </c>
      <c r="E25" s="18" t="s">
        <v>345</v>
      </c>
      <c r="F25" s="134" t="s">
        <v>346</v>
      </c>
      <c r="G25" s="18">
        <v>18677003</v>
      </c>
      <c r="H25" s="18" t="s">
        <v>353</v>
      </c>
      <c r="I25" s="135">
        <v>53462000</v>
      </c>
      <c r="J25" s="135">
        <v>53462000</v>
      </c>
      <c r="K25" s="18" t="s">
        <v>351</v>
      </c>
      <c r="L25" s="18">
        <v>25</v>
      </c>
      <c r="M25" s="137">
        <v>8</v>
      </c>
      <c r="N25" s="15"/>
      <c r="O25" s="137">
        <v>8</v>
      </c>
      <c r="P25" s="140">
        <v>35</v>
      </c>
      <c r="Q25" s="15"/>
      <c r="R25" s="139"/>
      <c r="S25" s="139"/>
      <c r="T25" s="139"/>
      <c r="U25" s="139"/>
    </row>
    <row r="26" spans="1:21" ht="165.75" x14ac:dyDescent="0.25">
      <c r="A26" s="18" t="s">
        <v>55</v>
      </c>
      <c r="B26" s="18" t="s">
        <v>354</v>
      </c>
      <c r="C26" s="18" t="s">
        <v>355</v>
      </c>
      <c r="D26" s="18">
        <v>241110700</v>
      </c>
      <c r="E26" s="18" t="s">
        <v>356</v>
      </c>
      <c r="F26" s="141" t="s">
        <v>357</v>
      </c>
      <c r="G26" s="18">
        <v>12271001</v>
      </c>
      <c r="H26" s="18" t="s">
        <v>358</v>
      </c>
      <c r="I26" s="135">
        <v>8150706344</v>
      </c>
      <c r="J26" s="135">
        <v>8185652201</v>
      </c>
      <c r="K26" s="18" t="s">
        <v>359</v>
      </c>
      <c r="L26" s="18">
        <v>100</v>
      </c>
      <c r="M26" s="137">
        <v>100</v>
      </c>
      <c r="N26" s="15"/>
      <c r="O26" s="137">
        <v>100</v>
      </c>
      <c r="P26" s="140">
        <v>100</v>
      </c>
      <c r="Q26" s="137" t="s">
        <v>360</v>
      </c>
      <c r="R26" s="139"/>
      <c r="S26" s="139"/>
      <c r="T26" s="139"/>
      <c r="U26" s="139"/>
    </row>
    <row r="27" spans="1:21" ht="165.75" x14ac:dyDescent="0.25">
      <c r="A27" s="18" t="s">
        <v>55</v>
      </c>
      <c r="B27" s="18" t="s">
        <v>354</v>
      </c>
      <c r="C27" s="18" t="s">
        <v>355</v>
      </c>
      <c r="D27" s="18">
        <v>241110700</v>
      </c>
      <c r="E27" s="18" t="s">
        <v>356</v>
      </c>
      <c r="F27" s="141" t="s">
        <v>357</v>
      </c>
      <c r="G27" s="18">
        <v>12271002</v>
      </c>
      <c r="H27" s="18" t="s">
        <v>361</v>
      </c>
      <c r="I27" s="135">
        <v>3699506989</v>
      </c>
      <c r="J27" s="135">
        <v>9469671752</v>
      </c>
      <c r="K27" s="18" t="s">
        <v>359</v>
      </c>
      <c r="L27" s="18">
        <v>100</v>
      </c>
      <c r="M27" s="137">
        <v>100</v>
      </c>
      <c r="N27" s="15"/>
      <c r="O27" s="137">
        <v>100</v>
      </c>
      <c r="P27" s="140">
        <v>100</v>
      </c>
      <c r="Q27" s="137" t="s">
        <v>360</v>
      </c>
      <c r="R27" s="139"/>
      <c r="S27" s="139"/>
      <c r="T27" s="139"/>
      <c r="U27" s="139"/>
    </row>
    <row r="28" spans="1:21" ht="165.75" x14ac:dyDescent="0.25">
      <c r="A28" s="18" t="s">
        <v>55</v>
      </c>
      <c r="B28" s="18" t="s">
        <v>354</v>
      </c>
      <c r="C28" s="18" t="s">
        <v>355</v>
      </c>
      <c r="D28" s="18">
        <v>241110700</v>
      </c>
      <c r="E28" s="18" t="s">
        <v>356</v>
      </c>
      <c r="F28" s="141" t="s">
        <v>357</v>
      </c>
      <c r="G28" s="18">
        <v>12271003</v>
      </c>
      <c r="H28" s="18" t="s">
        <v>362</v>
      </c>
      <c r="I28" s="135">
        <v>0</v>
      </c>
      <c r="J28" s="135">
        <v>995976401</v>
      </c>
      <c r="K28" s="18" t="s">
        <v>359</v>
      </c>
      <c r="L28" s="18">
        <v>100</v>
      </c>
      <c r="M28" s="15">
        <v>100</v>
      </c>
      <c r="N28" s="15"/>
      <c r="O28" s="15">
        <v>100</v>
      </c>
      <c r="P28" s="140">
        <v>100</v>
      </c>
      <c r="Q28" s="137" t="s">
        <v>360</v>
      </c>
      <c r="R28" s="139"/>
      <c r="S28" s="139"/>
      <c r="T28" s="139"/>
      <c r="U28" s="139"/>
    </row>
    <row r="29" spans="1:21" ht="165.75" x14ac:dyDescent="0.25">
      <c r="A29" s="18" t="s">
        <v>55</v>
      </c>
      <c r="B29" s="18" t="s">
        <v>354</v>
      </c>
      <c r="C29" s="18" t="s">
        <v>355</v>
      </c>
      <c r="D29" s="18">
        <v>241110700</v>
      </c>
      <c r="E29" s="18" t="s">
        <v>356</v>
      </c>
      <c r="F29" s="141" t="s">
        <v>357</v>
      </c>
      <c r="G29" s="18">
        <v>12271004</v>
      </c>
      <c r="H29" s="18" t="s">
        <v>363</v>
      </c>
      <c r="I29" s="135">
        <v>132737681</v>
      </c>
      <c r="J29" s="135">
        <v>2917107468</v>
      </c>
      <c r="K29" s="18" t="s">
        <v>359</v>
      </c>
      <c r="L29" s="18">
        <v>100</v>
      </c>
      <c r="M29" s="18">
        <v>100</v>
      </c>
      <c r="N29" s="15"/>
      <c r="O29" s="18">
        <v>100</v>
      </c>
      <c r="P29" s="140">
        <v>100</v>
      </c>
      <c r="Q29" s="137" t="s">
        <v>360</v>
      </c>
      <c r="R29" s="139"/>
      <c r="S29" s="139"/>
      <c r="T29" s="139"/>
      <c r="U29" s="139"/>
    </row>
    <row r="30" spans="1:21" ht="165.75" x14ac:dyDescent="0.25">
      <c r="A30" s="18" t="s">
        <v>55</v>
      </c>
      <c r="B30" s="18" t="s">
        <v>354</v>
      </c>
      <c r="C30" s="18" t="s">
        <v>355</v>
      </c>
      <c r="D30" s="18">
        <v>241110900</v>
      </c>
      <c r="E30" s="18" t="s">
        <v>356</v>
      </c>
      <c r="F30" s="141" t="s">
        <v>357</v>
      </c>
      <c r="G30" s="18">
        <v>12271005</v>
      </c>
      <c r="H30" s="18" t="s">
        <v>364</v>
      </c>
      <c r="I30" s="135">
        <v>0</v>
      </c>
      <c r="J30" s="135">
        <v>0</v>
      </c>
      <c r="K30" s="18" t="s">
        <v>359</v>
      </c>
      <c r="L30" s="18">
        <v>100</v>
      </c>
      <c r="M30" s="18">
        <v>100</v>
      </c>
      <c r="N30" s="15"/>
      <c r="O30" s="18">
        <v>100</v>
      </c>
      <c r="P30" s="140">
        <v>100</v>
      </c>
      <c r="Q30" s="137" t="s">
        <v>360</v>
      </c>
      <c r="R30" s="139"/>
      <c r="S30" s="139"/>
      <c r="T30" s="139"/>
      <c r="U30" s="139"/>
    </row>
    <row r="31" spans="1:21" ht="165.75" x14ac:dyDescent="0.25">
      <c r="A31" s="18" t="s">
        <v>55</v>
      </c>
      <c r="B31" s="18" t="s">
        <v>354</v>
      </c>
      <c r="C31" s="18" t="s">
        <v>355</v>
      </c>
      <c r="D31" s="18">
        <v>241110900</v>
      </c>
      <c r="E31" s="18" t="s">
        <v>356</v>
      </c>
      <c r="F31" s="141" t="s">
        <v>357</v>
      </c>
      <c r="G31" s="18">
        <v>12271090</v>
      </c>
      <c r="H31" s="18" t="s">
        <v>365</v>
      </c>
      <c r="I31" s="135">
        <v>582609280</v>
      </c>
      <c r="J31" s="135">
        <v>696242064</v>
      </c>
      <c r="K31" s="18" t="s">
        <v>359</v>
      </c>
      <c r="L31" s="18">
        <v>100</v>
      </c>
      <c r="M31" s="18">
        <v>100</v>
      </c>
      <c r="N31" s="15"/>
      <c r="O31" s="18">
        <v>100</v>
      </c>
      <c r="P31" s="140">
        <v>100</v>
      </c>
      <c r="Q31" s="137" t="s">
        <v>360</v>
      </c>
      <c r="R31" s="139"/>
      <c r="S31" s="139"/>
      <c r="T31" s="139"/>
      <c r="U31" s="139"/>
    </row>
    <row r="32" spans="1:21" ht="409.5" x14ac:dyDescent="0.25">
      <c r="A32" s="18" t="s">
        <v>55</v>
      </c>
      <c r="B32" s="18" t="s">
        <v>354</v>
      </c>
      <c r="C32" s="18" t="s">
        <v>355</v>
      </c>
      <c r="D32" s="18">
        <v>241110800</v>
      </c>
      <c r="E32" s="18" t="s">
        <v>356</v>
      </c>
      <c r="F32" s="141" t="s">
        <v>366</v>
      </c>
      <c r="G32" s="18">
        <v>12275001</v>
      </c>
      <c r="H32" s="18" t="s">
        <v>367</v>
      </c>
      <c r="I32" s="135">
        <v>8561904818</v>
      </c>
      <c r="J32" s="135">
        <v>3873445191</v>
      </c>
      <c r="K32" s="18" t="s">
        <v>368</v>
      </c>
      <c r="L32" s="18">
        <v>133875</v>
      </c>
      <c r="M32" s="136">
        <v>133875</v>
      </c>
      <c r="N32" s="15"/>
      <c r="O32" s="137">
        <v>63812</v>
      </c>
      <c r="P32" s="140">
        <v>135165</v>
      </c>
      <c r="Q32" s="137" t="s">
        <v>369</v>
      </c>
      <c r="R32" s="139"/>
      <c r="S32" s="139"/>
      <c r="T32" s="139"/>
      <c r="U32" s="139"/>
    </row>
    <row r="33" spans="1:21" ht="409.5" x14ac:dyDescent="0.25">
      <c r="A33" s="18" t="s">
        <v>55</v>
      </c>
      <c r="B33" s="18" t="s">
        <v>354</v>
      </c>
      <c r="C33" s="18" t="s">
        <v>355</v>
      </c>
      <c r="D33" s="18">
        <v>241110800</v>
      </c>
      <c r="E33" s="18" t="s">
        <v>356</v>
      </c>
      <c r="F33" s="141" t="s">
        <v>366</v>
      </c>
      <c r="G33" s="18">
        <v>12275002</v>
      </c>
      <c r="H33" s="18" t="s">
        <v>370</v>
      </c>
      <c r="I33" s="135">
        <v>135169586</v>
      </c>
      <c r="J33" s="135">
        <v>-1865626822</v>
      </c>
      <c r="K33" s="18" t="s">
        <v>368</v>
      </c>
      <c r="L33" s="18">
        <v>133875</v>
      </c>
      <c r="M33" s="136">
        <v>133875</v>
      </c>
      <c r="N33" s="15"/>
      <c r="O33" s="137">
        <v>63812</v>
      </c>
      <c r="P33" s="140">
        <v>135165</v>
      </c>
      <c r="Q33" s="137" t="s">
        <v>369</v>
      </c>
      <c r="R33" s="139"/>
      <c r="S33" s="139"/>
      <c r="T33" s="139"/>
      <c r="U33" s="139"/>
    </row>
    <row r="34" spans="1:21" ht="409.5" x14ac:dyDescent="0.25">
      <c r="A34" s="18" t="s">
        <v>55</v>
      </c>
      <c r="B34" s="18" t="s">
        <v>354</v>
      </c>
      <c r="C34" s="18" t="s">
        <v>355</v>
      </c>
      <c r="D34" s="18">
        <v>241110800</v>
      </c>
      <c r="E34" s="18" t="s">
        <v>356</v>
      </c>
      <c r="F34" s="141" t="s">
        <v>366</v>
      </c>
      <c r="G34" s="18">
        <v>12275003</v>
      </c>
      <c r="H34" s="18" t="s">
        <v>371</v>
      </c>
      <c r="I34" s="135">
        <v>0</v>
      </c>
      <c r="J34" s="135">
        <v>-12456013982</v>
      </c>
      <c r="K34" s="18" t="s">
        <v>368</v>
      </c>
      <c r="L34" s="18">
        <v>133875</v>
      </c>
      <c r="M34" s="136">
        <v>133875</v>
      </c>
      <c r="N34" s="15"/>
      <c r="O34" s="137">
        <v>63812</v>
      </c>
      <c r="P34" s="140">
        <v>135165</v>
      </c>
      <c r="Q34" s="137" t="s">
        <v>369</v>
      </c>
      <c r="R34" s="139"/>
      <c r="S34" s="139"/>
      <c r="T34" s="139"/>
      <c r="U34" s="139"/>
    </row>
    <row r="35" spans="1:21" ht="409.5" x14ac:dyDescent="0.25">
      <c r="A35" s="18" t="s">
        <v>55</v>
      </c>
      <c r="B35" s="18" t="s">
        <v>354</v>
      </c>
      <c r="C35" s="18" t="s">
        <v>355</v>
      </c>
      <c r="D35" s="18">
        <v>241110800</v>
      </c>
      <c r="E35" s="18" t="s">
        <v>356</v>
      </c>
      <c r="F35" s="141" t="s">
        <v>366</v>
      </c>
      <c r="G35" s="18">
        <v>12275004</v>
      </c>
      <c r="H35" s="18" t="s">
        <v>372</v>
      </c>
      <c r="I35" s="135">
        <v>56031041</v>
      </c>
      <c r="J35" s="135">
        <v>4541056641</v>
      </c>
      <c r="K35" s="18" t="s">
        <v>368</v>
      </c>
      <c r="L35" s="18">
        <v>133875</v>
      </c>
      <c r="M35" s="136">
        <v>133875</v>
      </c>
      <c r="N35" s="15"/>
      <c r="O35" s="137">
        <v>63812</v>
      </c>
      <c r="P35" s="140">
        <v>135165</v>
      </c>
      <c r="Q35" s="137" t="s">
        <v>369</v>
      </c>
      <c r="R35" s="139"/>
      <c r="S35" s="139"/>
      <c r="T35" s="139"/>
      <c r="U35" s="139"/>
    </row>
    <row r="36" spans="1:21" ht="409.5" x14ac:dyDescent="0.25">
      <c r="A36" s="18" t="s">
        <v>55</v>
      </c>
      <c r="B36" s="18" t="s">
        <v>354</v>
      </c>
      <c r="C36" s="18" t="s">
        <v>355</v>
      </c>
      <c r="D36" s="18">
        <v>241110800</v>
      </c>
      <c r="E36" s="18" t="s">
        <v>356</v>
      </c>
      <c r="F36" s="141" t="s">
        <v>366</v>
      </c>
      <c r="G36" s="18">
        <v>12275005</v>
      </c>
      <c r="H36" s="18" t="s">
        <v>373</v>
      </c>
      <c r="I36" s="135">
        <v>5543615201</v>
      </c>
      <c r="J36" s="135">
        <v>2507954809</v>
      </c>
      <c r="K36" s="18" t="s">
        <v>368</v>
      </c>
      <c r="L36" s="18">
        <v>133875</v>
      </c>
      <c r="M36" s="136">
        <v>133875</v>
      </c>
      <c r="N36" s="15"/>
      <c r="O36" s="137">
        <v>63812</v>
      </c>
      <c r="P36" s="140">
        <v>135165</v>
      </c>
      <c r="Q36" s="137" t="s">
        <v>369</v>
      </c>
      <c r="R36" s="139"/>
      <c r="S36" s="139"/>
      <c r="T36" s="139"/>
      <c r="U36" s="139"/>
    </row>
    <row r="37" spans="1:21" ht="409.5" x14ac:dyDescent="0.25">
      <c r="A37" s="18" t="s">
        <v>55</v>
      </c>
      <c r="B37" s="18" t="s">
        <v>354</v>
      </c>
      <c r="C37" s="18" t="s">
        <v>355</v>
      </c>
      <c r="D37" s="18">
        <v>241110800</v>
      </c>
      <c r="E37" s="18" t="s">
        <v>356</v>
      </c>
      <c r="F37" s="141" t="s">
        <v>366</v>
      </c>
      <c r="G37" s="18">
        <v>12275006</v>
      </c>
      <c r="H37" s="18" t="s">
        <v>374</v>
      </c>
      <c r="I37" s="135">
        <v>-9771546489</v>
      </c>
      <c r="J37" s="135">
        <v>-6598483279</v>
      </c>
      <c r="K37" s="18" t="s">
        <v>368</v>
      </c>
      <c r="L37" s="18">
        <v>133875</v>
      </c>
      <c r="M37" s="136">
        <v>133875</v>
      </c>
      <c r="N37" s="15"/>
      <c r="O37" s="137">
        <v>63812</v>
      </c>
      <c r="P37" s="140">
        <v>135165</v>
      </c>
      <c r="Q37" s="137" t="s">
        <v>369</v>
      </c>
      <c r="R37" s="139"/>
      <c r="S37" s="139"/>
      <c r="T37" s="139"/>
      <c r="U37" s="139"/>
    </row>
    <row r="38" spans="1:21" ht="409.5" x14ac:dyDescent="0.25">
      <c r="A38" s="18" t="s">
        <v>55</v>
      </c>
      <c r="B38" s="18" t="s">
        <v>354</v>
      </c>
      <c r="C38" s="18" t="s">
        <v>355</v>
      </c>
      <c r="D38" s="18">
        <v>241110800</v>
      </c>
      <c r="E38" s="18" t="s">
        <v>356</v>
      </c>
      <c r="F38" s="141" t="s">
        <v>366</v>
      </c>
      <c r="G38" s="18">
        <v>12275007</v>
      </c>
      <c r="H38" s="18" t="s">
        <v>375</v>
      </c>
      <c r="I38" s="135">
        <v>-15978000000</v>
      </c>
      <c r="J38" s="135">
        <v>-14534986018</v>
      </c>
      <c r="K38" s="18" t="s">
        <v>368</v>
      </c>
      <c r="L38" s="18">
        <v>133875</v>
      </c>
      <c r="M38" s="136">
        <v>133875</v>
      </c>
      <c r="N38" s="15"/>
      <c r="O38" s="137">
        <v>63812</v>
      </c>
      <c r="P38" s="140">
        <v>135165</v>
      </c>
      <c r="Q38" s="137" t="s">
        <v>369</v>
      </c>
      <c r="R38" s="139"/>
      <c r="S38" s="139"/>
      <c r="T38" s="139"/>
      <c r="U38" s="139"/>
    </row>
    <row r="39" spans="1:21" ht="409.5" x14ac:dyDescent="0.25">
      <c r="A39" s="18" t="s">
        <v>55</v>
      </c>
      <c r="B39" s="18" t="s">
        <v>354</v>
      </c>
      <c r="C39" s="18" t="s">
        <v>355</v>
      </c>
      <c r="D39" s="18">
        <v>241110800</v>
      </c>
      <c r="E39" s="18" t="s">
        <v>356</v>
      </c>
      <c r="F39" s="141" t="s">
        <v>366</v>
      </c>
      <c r="G39" s="18">
        <v>12275008</v>
      </c>
      <c r="H39" s="18" t="s">
        <v>376</v>
      </c>
      <c r="I39" s="135">
        <v>0</v>
      </c>
      <c r="J39" s="135">
        <v>500000000</v>
      </c>
      <c r="K39" s="18" t="s">
        <v>368</v>
      </c>
      <c r="L39" s="18">
        <v>133875</v>
      </c>
      <c r="M39" s="136">
        <v>133875</v>
      </c>
      <c r="N39" s="15"/>
      <c r="O39" s="137">
        <v>63812</v>
      </c>
      <c r="P39" s="140">
        <v>135165</v>
      </c>
      <c r="Q39" s="137" t="s">
        <v>369</v>
      </c>
      <c r="R39" s="139"/>
      <c r="S39" s="139"/>
      <c r="T39" s="139"/>
      <c r="U39" s="139"/>
    </row>
    <row r="40" spans="1:21" ht="409.5" x14ac:dyDescent="0.25">
      <c r="A40" s="18" t="s">
        <v>55</v>
      </c>
      <c r="B40" s="18" t="s">
        <v>354</v>
      </c>
      <c r="C40" s="18" t="s">
        <v>355</v>
      </c>
      <c r="D40" s="18">
        <v>241110800</v>
      </c>
      <c r="E40" s="18" t="s">
        <v>356</v>
      </c>
      <c r="F40" s="141" t="s">
        <v>366</v>
      </c>
      <c r="G40" s="18">
        <v>12275009</v>
      </c>
      <c r="H40" s="18" t="s">
        <v>377</v>
      </c>
      <c r="I40" s="135">
        <v>151491333</v>
      </c>
      <c r="J40" s="135">
        <v>6207598990</v>
      </c>
      <c r="K40" s="18" t="s">
        <v>368</v>
      </c>
      <c r="L40" s="18">
        <v>133875</v>
      </c>
      <c r="M40" s="136">
        <v>133875</v>
      </c>
      <c r="N40" s="15"/>
      <c r="O40" s="137">
        <v>63812</v>
      </c>
      <c r="P40" s="140">
        <v>135165</v>
      </c>
      <c r="Q40" s="137" t="s">
        <v>369</v>
      </c>
      <c r="R40" s="139"/>
      <c r="S40" s="139"/>
      <c r="T40" s="139"/>
      <c r="U40" s="139"/>
    </row>
    <row r="41" spans="1:21" ht="409.5" x14ac:dyDescent="0.25">
      <c r="A41" s="18" t="s">
        <v>55</v>
      </c>
      <c r="B41" s="18" t="s">
        <v>354</v>
      </c>
      <c r="C41" s="18" t="s">
        <v>355</v>
      </c>
      <c r="D41" s="18">
        <v>241110800</v>
      </c>
      <c r="E41" s="18" t="s">
        <v>356</v>
      </c>
      <c r="F41" s="141" t="s">
        <v>366</v>
      </c>
      <c r="G41" s="18">
        <v>12275010</v>
      </c>
      <c r="H41" s="18" t="s">
        <v>378</v>
      </c>
      <c r="I41" s="135">
        <v>533890975</v>
      </c>
      <c r="J41" s="135">
        <v>-14123789757</v>
      </c>
      <c r="K41" s="18" t="s">
        <v>368</v>
      </c>
      <c r="L41" s="18">
        <v>133875</v>
      </c>
      <c r="M41" s="136">
        <v>133875</v>
      </c>
      <c r="N41" s="15"/>
      <c r="O41" s="137">
        <v>63812</v>
      </c>
      <c r="P41" s="140">
        <v>135165</v>
      </c>
      <c r="Q41" s="137" t="s">
        <v>369</v>
      </c>
      <c r="R41" s="139"/>
      <c r="S41" s="139"/>
      <c r="T41" s="139"/>
      <c r="U41" s="139"/>
    </row>
    <row r="42" spans="1:21" ht="409.5" x14ac:dyDescent="0.25">
      <c r="A42" s="18" t="s">
        <v>55</v>
      </c>
      <c r="B42" s="18" t="s">
        <v>354</v>
      </c>
      <c r="C42" s="18" t="s">
        <v>355</v>
      </c>
      <c r="D42" s="18">
        <v>241110800</v>
      </c>
      <c r="E42" s="18" t="s">
        <v>356</v>
      </c>
      <c r="F42" s="141" t="s">
        <v>366</v>
      </c>
      <c r="G42" s="18">
        <v>12275011</v>
      </c>
      <c r="H42" s="18" t="s">
        <v>379</v>
      </c>
      <c r="I42" s="135">
        <v>810672000</v>
      </c>
      <c r="J42" s="135">
        <v>-1281518948</v>
      </c>
      <c r="K42" s="18" t="s">
        <v>368</v>
      </c>
      <c r="L42" s="18">
        <v>133875</v>
      </c>
      <c r="M42" s="136">
        <v>133875</v>
      </c>
      <c r="N42" s="15"/>
      <c r="O42" s="137">
        <v>63812</v>
      </c>
      <c r="P42" s="140">
        <v>135165</v>
      </c>
      <c r="Q42" s="137" t="s">
        <v>369</v>
      </c>
      <c r="R42" s="139"/>
      <c r="S42" s="139"/>
      <c r="T42" s="139"/>
      <c r="U42" s="139"/>
    </row>
    <row r="43" spans="1:21" ht="409.5" x14ac:dyDescent="0.25">
      <c r="A43" s="18" t="s">
        <v>55</v>
      </c>
      <c r="B43" s="18" t="s">
        <v>354</v>
      </c>
      <c r="C43" s="18" t="s">
        <v>355</v>
      </c>
      <c r="D43" s="18">
        <v>241110800</v>
      </c>
      <c r="E43" s="18" t="s">
        <v>356</v>
      </c>
      <c r="F43" s="141" t="s">
        <v>366</v>
      </c>
      <c r="G43" s="18">
        <v>12275012</v>
      </c>
      <c r="H43" s="18" t="s">
        <v>380</v>
      </c>
      <c r="I43" s="135">
        <v>3287726722</v>
      </c>
      <c r="J43" s="135">
        <v>3653543710</v>
      </c>
      <c r="K43" s="18" t="s">
        <v>368</v>
      </c>
      <c r="L43" s="18">
        <v>133875</v>
      </c>
      <c r="M43" s="136">
        <v>133875</v>
      </c>
      <c r="N43" s="15"/>
      <c r="O43" s="137">
        <v>63812</v>
      </c>
      <c r="P43" s="140">
        <v>135165</v>
      </c>
      <c r="Q43" s="137" t="s">
        <v>369</v>
      </c>
      <c r="R43" s="139"/>
      <c r="S43" s="139"/>
      <c r="T43" s="139"/>
      <c r="U43" s="139"/>
    </row>
    <row r="44" spans="1:21" ht="409.5" x14ac:dyDescent="0.25">
      <c r="A44" s="18" t="s">
        <v>55</v>
      </c>
      <c r="B44" s="18" t="s">
        <v>354</v>
      </c>
      <c r="C44" s="18" t="s">
        <v>355</v>
      </c>
      <c r="D44" s="18">
        <v>241110800</v>
      </c>
      <c r="E44" s="18" t="s">
        <v>356</v>
      </c>
      <c r="F44" s="141" t="s">
        <v>366</v>
      </c>
      <c r="G44" s="18">
        <v>12275014</v>
      </c>
      <c r="H44" s="18" t="s">
        <v>381</v>
      </c>
      <c r="I44" s="135">
        <v>46325510811</v>
      </c>
      <c r="J44" s="135">
        <v>88120627605</v>
      </c>
      <c r="K44" s="18" t="s">
        <v>368</v>
      </c>
      <c r="L44" s="18">
        <v>133875</v>
      </c>
      <c r="M44" s="136">
        <v>133875</v>
      </c>
      <c r="N44" s="15"/>
      <c r="O44" s="137">
        <v>63812</v>
      </c>
      <c r="P44" s="140">
        <v>135165</v>
      </c>
      <c r="Q44" s="137" t="s">
        <v>369</v>
      </c>
      <c r="R44" s="139"/>
      <c r="S44" s="139"/>
      <c r="T44" s="139"/>
      <c r="U44" s="139"/>
    </row>
    <row r="45" spans="1:21" ht="409.5" x14ac:dyDescent="0.25">
      <c r="A45" s="18" t="s">
        <v>55</v>
      </c>
      <c r="B45" s="18" t="s">
        <v>354</v>
      </c>
      <c r="C45" s="18" t="s">
        <v>355</v>
      </c>
      <c r="D45" s="18">
        <v>241110800</v>
      </c>
      <c r="E45" s="18" t="s">
        <v>356</v>
      </c>
      <c r="F45" s="141" t="s">
        <v>366</v>
      </c>
      <c r="G45" s="18">
        <v>12275015</v>
      </c>
      <c r="H45" s="18" t="s">
        <v>382</v>
      </c>
      <c r="I45" s="135">
        <v>1493148843</v>
      </c>
      <c r="J45" s="135">
        <v>-968505299</v>
      </c>
      <c r="K45" s="18" t="s">
        <v>368</v>
      </c>
      <c r="L45" s="18">
        <v>133875</v>
      </c>
      <c r="M45" s="136">
        <v>133875</v>
      </c>
      <c r="N45" s="15"/>
      <c r="O45" s="137">
        <v>63812</v>
      </c>
      <c r="P45" s="140">
        <v>135165</v>
      </c>
      <c r="Q45" s="137" t="s">
        <v>369</v>
      </c>
      <c r="R45" s="139"/>
      <c r="S45" s="139"/>
      <c r="T45" s="139"/>
      <c r="U45" s="139"/>
    </row>
    <row r="46" spans="1:21" ht="409.5" x14ac:dyDescent="0.25">
      <c r="A46" s="18" t="s">
        <v>55</v>
      </c>
      <c r="B46" s="18" t="s">
        <v>354</v>
      </c>
      <c r="C46" s="18" t="s">
        <v>355</v>
      </c>
      <c r="D46" s="18">
        <v>241110800</v>
      </c>
      <c r="E46" s="18" t="s">
        <v>356</v>
      </c>
      <c r="F46" s="141" t="s">
        <v>366</v>
      </c>
      <c r="G46" s="18">
        <v>12275016</v>
      </c>
      <c r="H46" s="18" t="s">
        <v>383</v>
      </c>
      <c r="I46" s="135">
        <v>383343204</v>
      </c>
      <c r="J46" s="135">
        <v>-4820900000</v>
      </c>
      <c r="K46" s="18" t="s">
        <v>368</v>
      </c>
      <c r="L46" s="18">
        <v>133875</v>
      </c>
      <c r="M46" s="136">
        <v>133875</v>
      </c>
      <c r="N46" s="15"/>
      <c r="O46" s="137">
        <v>63812</v>
      </c>
      <c r="P46" s="140">
        <v>135165</v>
      </c>
      <c r="Q46" s="137" t="s">
        <v>369</v>
      </c>
      <c r="R46" s="139"/>
      <c r="S46" s="139"/>
      <c r="T46" s="139"/>
      <c r="U46" s="139"/>
    </row>
    <row r="47" spans="1:21" ht="409.5" x14ac:dyDescent="0.25">
      <c r="A47" s="34" t="s">
        <v>55</v>
      </c>
      <c r="B47" s="34" t="s">
        <v>354</v>
      </c>
      <c r="C47" s="34" t="s">
        <v>355</v>
      </c>
      <c r="D47" s="34">
        <v>241110800</v>
      </c>
      <c r="E47" s="18" t="s">
        <v>356</v>
      </c>
      <c r="F47" s="35" t="s">
        <v>366</v>
      </c>
      <c r="G47" s="34">
        <v>12275017</v>
      </c>
      <c r="H47" s="34" t="s">
        <v>383</v>
      </c>
      <c r="I47" s="135">
        <v>730887447</v>
      </c>
      <c r="J47" s="135">
        <v>730887447</v>
      </c>
      <c r="K47" s="18" t="s">
        <v>368</v>
      </c>
      <c r="L47" s="18">
        <v>133875</v>
      </c>
      <c r="M47" s="136">
        <v>133875</v>
      </c>
      <c r="N47" s="15"/>
      <c r="O47" s="137">
        <v>63812</v>
      </c>
      <c r="P47" s="140">
        <v>135165</v>
      </c>
      <c r="Q47" s="137" t="s">
        <v>369</v>
      </c>
      <c r="R47" s="139"/>
      <c r="S47" s="139"/>
      <c r="T47" s="139"/>
      <c r="U47" s="139"/>
    </row>
    <row r="48" spans="1:21" ht="409.5" x14ac:dyDescent="0.25">
      <c r="A48" s="34" t="s">
        <v>55</v>
      </c>
      <c r="B48" s="34" t="s">
        <v>354</v>
      </c>
      <c r="C48" s="34" t="s">
        <v>355</v>
      </c>
      <c r="D48" s="34">
        <v>241110800</v>
      </c>
      <c r="E48" s="18" t="s">
        <v>356</v>
      </c>
      <c r="F48" s="35" t="s">
        <v>366</v>
      </c>
      <c r="G48" s="34">
        <v>12275018</v>
      </c>
      <c r="H48" s="34" t="s">
        <v>384</v>
      </c>
      <c r="I48" s="135">
        <v>738779604</v>
      </c>
      <c r="J48" s="135">
        <v>738779604</v>
      </c>
      <c r="K48" s="18" t="s">
        <v>368</v>
      </c>
      <c r="L48" s="18">
        <v>133875</v>
      </c>
      <c r="M48" s="136">
        <v>133875</v>
      </c>
      <c r="N48" s="15"/>
      <c r="O48" s="137">
        <v>63812</v>
      </c>
      <c r="P48" s="140">
        <v>135165</v>
      </c>
      <c r="Q48" s="137" t="s">
        <v>369</v>
      </c>
      <c r="R48" s="139"/>
      <c r="S48" s="139"/>
      <c r="T48" s="139"/>
      <c r="U48" s="139"/>
    </row>
    <row r="49" spans="1:21" ht="409.5" x14ac:dyDescent="0.25">
      <c r="A49" s="18" t="s">
        <v>55</v>
      </c>
      <c r="B49" s="18" t="s">
        <v>354</v>
      </c>
      <c r="C49" s="18" t="s">
        <v>355</v>
      </c>
      <c r="D49" s="18">
        <v>241110900</v>
      </c>
      <c r="E49" s="18" t="s">
        <v>356</v>
      </c>
      <c r="F49" s="141" t="s">
        <v>366</v>
      </c>
      <c r="G49" s="18">
        <v>12275013</v>
      </c>
      <c r="H49" s="18" t="s">
        <v>385</v>
      </c>
      <c r="I49" s="135">
        <v>322243619</v>
      </c>
      <c r="J49" s="135">
        <v>581036579</v>
      </c>
      <c r="K49" s="18" t="s">
        <v>368</v>
      </c>
      <c r="L49" s="18">
        <v>133875</v>
      </c>
      <c r="M49" s="136">
        <v>133875</v>
      </c>
      <c r="N49" s="15"/>
      <c r="O49" s="137">
        <v>63812</v>
      </c>
      <c r="P49" s="140">
        <v>135165</v>
      </c>
      <c r="Q49" s="137" t="s">
        <v>369</v>
      </c>
      <c r="R49" s="139"/>
      <c r="S49" s="139"/>
      <c r="T49" s="139"/>
      <c r="U49" s="139"/>
    </row>
    <row r="50" spans="1:21" ht="409.5" x14ac:dyDescent="0.25">
      <c r="A50" s="18" t="s">
        <v>55</v>
      </c>
      <c r="B50" s="18" t="s">
        <v>354</v>
      </c>
      <c r="C50" s="18" t="s">
        <v>355</v>
      </c>
      <c r="D50" s="18">
        <v>241110900</v>
      </c>
      <c r="E50" s="18" t="s">
        <v>356</v>
      </c>
      <c r="F50" s="141" t="s">
        <v>366</v>
      </c>
      <c r="G50" s="18">
        <v>12275019</v>
      </c>
      <c r="H50" s="18" t="s">
        <v>385</v>
      </c>
      <c r="I50" s="135"/>
      <c r="J50" s="135">
        <v>100000000</v>
      </c>
      <c r="K50" s="18" t="s">
        <v>368</v>
      </c>
      <c r="L50" s="18">
        <v>133875</v>
      </c>
      <c r="M50" s="136">
        <v>133875</v>
      </c>
      <c r="N50" s="15"/>
      <c r="O50" s="137">
        <v>63812</v>
      </c>
      <c r="P50" s="140">
        <v>135165</v>
      </c>
      <c r="Q50" s="137" t="s">
        <v>369</v>
      </c>
      <c r="R50" s="139"/>
      <c r="S50" s="139"/>
      <c r="T50" s="139"/>
      <c r="U50" s="139"/>
    </row>
    <row r="51" spans="1:21" ht="409.5" x14ac:dyDescent="0.25">
      <c r="A51" s="18" t="s">
        <v>55</v>
      </c>
      <c r="B51" s="18" t="s">
        <v>354</v>
      </c>
      <c r="C51" s="18" t="s">
        <v>355</v>
      </c>
      <c r="D51" s="18">
        <v>241110900</v>
      </c>
      <c r="E51" s="18" t="s">
        <v>356</v>
      </c>
      <c r="F51" s="141" t="s">
        <v>366</v>
      </c>
      <c r="G51" s="18">
        <v>12275090</v>
      </c>
      <c r="H51" s="18" t="s">
        <v>386</v>
      </c>
      <c r="I51" s="135">
        <v>0</v>
      </c>
      <c r="J51" s="135">
        <v>0</v>
      </c>
      <c r="K51" s="18" t="s">
        <v>368</v>
      </c>
      <c r="L51" s="18">
        <v>133875</v>
      </c>
      <c r="M51" s="136">
        <v>133875</v>
      </c>
      <c r="N51" s="15"/>
      <c r="O51" s="137">
        <v>63812</v>
      </c>
      <c r="P51" s="140">
        <v>135165</v>
      </c>
      <c r="Q51" s="137" t="s">
        <v>369</v>
      </c>
      <c r="R51" s="139"/>
      <c r="S51" s="139"/>
      <c r="T51" s="139"/>
      <c r="U51" s="139"/>
    </row>
    <row r="52" spans="1:21" ht="409.5" x14ac:dyDescent="0.25">
      <c r="A52" s="18" t="s">
        <v>55</v>
      </c>
      <c r="B52" s="18" t="s">
        <v>354</v>
      </c>
      <c r="C52" s="18" t="s">
        <v>355</v>
      </c>
      <c r="D52" s="18">
        <v>241110900</v>
      </c>
      <c r="E52" s="18" t="s">
        <v>356</v>
      </c>
      <c r="F52" s="141" t="s">
        <v>366</v>
      </c>
      <c r="G52" s="18">
        <v>12275091</v>
      </c>
      <c r="H52" s="18" t="s">
        <v>387</v>
      </c>
      <c r="I52" s="135">
        <v>0</v>
      </c>
      <c r="J52" s="135">
        <v>63695000</v>
      </c>
      <c r="K52" s="18" t="s">
        <v>368</v>
      </c>
      <c r="L52" s="18">
        <v>133875</v>
      </c>
      <c r="M52" s="136">
        <v>133875</v>
      </c>
      <c r="N52" s="15"/>
      <c r="O52" s="137">
        <v>63812</v>
      </c>
      <c r="P52" s="140">
        <v>135165</v>
      </c>
      <c r="Q52" s="137" t="s">
        <v>369</v>
      </c>
      <c r="R52" s="139"/>
      <c r="S52" s="139"/>
      <c r="T52" s="139"/>
      <c r="U52" s="139"/>
    </row>
    <row r="53" spans="1:21" ht="409.5" x14ac:dyDescent="0.25">
      <c r="A53" s="18" t="s">
        <v>55</v>
      </c>
      <c r="B53" s="18" t="s">
        <v>354</v>
      </c>
      <c r="C53" s="18" t="s">
        <v>355</v>
      </c>
      <c r="D53" s="18">
        <v>241110900</v>
      </c>
      <c r="E53" s="18" t="s">
        <v>356</v>
      </c>
      <c r="F53" s="141" t="s">
        <v>366</v>
      </c>
      <c r="G53" s="18">
        <v>12275092</v>
      </c>
      <c r="H53" s="18" t="s">
        <v>388</v>
      </c>
      <c r="I53" s="135">
        <v>114728000</v>
      </c>
      <c r="J53" s="135">
        <v>190635000</v>
      </c>
      <c r="K53" s="18" t="s">
        <v>368</v>
      </c>
      <c r="L53" s="18">
        <v>133875</v>
      </c>
      <c r="M53" s="136">
        <v>133875</v>
      </c>
      <c r="N53" s="15"/>
      <c r="O53" s="137">
        <v>63812</v>
      </c>
      <c r="P53" s="140">
        <v>135165</v>
      </c>
      <c r="Q53" s="137" t="s">
        <v>369</v>
      </c>
      <c r="R53" s="139"/>
      <c r="S53" s="139"/>
      <c r="T53" s="139"/>
      <c r="U53" s="139"/>
    </row>
    <row r="54" spans="1:21" ht="165.75" x14ac:dyDescent="0.25">
      <c r="A54" s="18" t="s">
        <v>55</v>
      </c>
      <c r="B54" s="18" t="s">
        <v>354</v>
      </c>
      <c r="C54" s="18" t="s">
        <v>355</v>
      </c>
      <c r="D54" s="18">
        <v>241110900</v>
      </c>
      <c r="E54" s="18" t="s">
        <v>356</v>
      </c>
      <c r="F54" s="141" t="s">
        <v>389</v>
      </c>
      <c r="G54" s="18">
        <v>12279001</v>
      </c>
      <c r="H54" s="18" t="s">
        <v>390</v>
      </c>
      <c r="I54" s="135">
        <v>0</v>
      </c>
      <c r="J54" s="135">
        <v>0</v>
      </c>
      <c r="K54" s="18" t="s">
        <v>359</v>
      </c>
      <c r="L54" s="18">
        <v>100</v>
      </c>
      <c r="M54" s="15">
        <v>100</v>
      </c>
      <c r="N54" s="15"/>
      <c r="O54" s="15">
        <v>100</v>
      </c>
      <c r="P54" s="140">
        <v>100</v>
      </c>
      <c r="Q54" s="137" t="s">
        <v>360</v>
      </c>
      <c r="R54" s="139"/>
      <c r="S54" s="139"/>
      <c r="T54" s="139"/>
      <c r="U54" s="139"/>
    </row>
    <row r="55" spans="1:21" ht="318.75" x14ac:dyDescent="0.25">
      <c r="A55" s="18" t="s">
        <v>55</v>
      </c>
      <c r="B55" s="18" t="s">
        <v>354</v>
      </c>
      <c r="C55" s="18" t="s">
        <v>355</v>
      </c>
      <c r="D55" s="18">
        <v>241110900</v>
      </c>
      <c r="E55" s="18" t="s">
        <v>356</v>
      </c>
      <c r="F55" s="141" t="s">
        <v>391</v>
      </c>
      <c r="G55" s="18">
        <v>12300001</v>
      </c>
      <c r="H55" s="18" t="s">
        <v>392</v>
      </c>
      <c r="I55" s="135">
        <v>0</v>
      </c>
      <c r="J55" s="135">
        <v>0</v>
      </c>
      <c r="K55" s="18" t="s">
        <v>393</v>
      </c>
      <c r="L55" s="18">
        <v>4</v>
      </c>
      <c r="M55" s="15">
        <v>4</v>
      </c>
      <c r="N55" s="15"/>
      <c r="O55" s="15">
        <v>5</v>
      </c>
      <c r="P55" s="140">
        <v>5</v>
      </c>
      <c r="Q55" s="137" t="s">
        <v>394</v>
      </c>
      <c r="R55" s="139"/>
      <c r="S55" s="139"/>
      <c r="T55" s="139"/>
      <c r="U55" s="139"/>
    </row>
    <row r="56" spans="1:21" ht="318.75" x14ac:dyDescent="0.25">
      <c r="A56" s="18" t="s">
        <v>55</v>
      </c>
      <c r="B56" s="18" t="s">
        <v>354</v>
      </c>
      <c r="C56" s="18" t="s">
        <v>355</v>
      </c>
      <c r="D56" s="18">
        <v>241110600</v>
      </c>
      <c r="E56" s="18" t="s">
        <v>356</v>
      </c>
      <c r="F56" s="141" t="s">
        <v>395</v>
      </c>
      <c r="G56" s="18">
        <v>12301003</v>
      </c>
      <c r="H56" s="18" t="s">
        <v>396</v>
      </c>
      <c r="I56" s="135">
        <v>457244438</v>
      </c>
      <c r="J56" s="135">
        <v>457244438</v>
      </c>
      <c r="K56" s="18" t="s">
        <v>393</v>
      </c>
      <c r="L56" s="18">
        <v>4</v>
      </c>
      <c r="M56" s="15">
        <v>4</v>
      </c>
      <c r="N56" s="15"/>
      <c r="O56" s="15">
        <v>5</v>
      </c>
      <c r="P56" s="140">
        <v>5</v>
      </c>
      <c r="Q56" s="137" t="s">
        <v>394</v>
      </c>
      <c r="R56" s="139"/>
      <c r="S56" s="139"/>
      <c r="T56" s="139"/>
      <c r="U56" s="139"/>
    </row>
    <row r="57" spans="1:21" ht="318.75" x14ac:dyDescent="0.25">
      <c r="A57" s="18" t="s">
        <v>55</v>
      </c>
      <c r="B57" s="18" t="s">
        <v>354</v>
      </c>
      <c r="C57" s="18" t="s">
        <v>355</v>
      </c>
      <c r="D57" s="18">
        <v>241110600</v>
      </c>
      <c r="E57" s="18" t="s">
        <v>356</v>
      </c>
      <c r="F57" s="141" t="s">
        <v>395</v>
      </c>
      <c r="G57" s="18">
        <v>12301090</v>
      </c>
      <c r="H57" s="18" t="s">
        <v>397</v>
      </c>
      <c r="I57" s="135">
        <v>0</v>
      </c>
      <c r="J57" s="135">
        <v>10000000</v>
      </c>
      <c r="K57" s="18" t="s">
        <v>393</v>
      </c>
      <c r="L57" s="18">
        <v>4</v>
      </c>
      <c r="M57" s="15">
        <v>4</v>
      </c>
      <c r="N57" s="15"/>
      <c r="O57" s="15">
        <v>5</v>
      </c>
      <c r="P57" s="140">
        <v>5</v>
      </c>
      <c r="Q57" s="137" t="s">
        <v>394</v>
      </c>
      <c r="R57" s="139"/>
      <c r="S57" s="139"/>
      <c r="T57" s="139"/>
      <c r="U57" s="139"/>
    </row>
    <row r="58" spans="1:21" ht="318.75" x14ac:dyDescent="0.25">
      <c r="A58" s="18" t="s">
        <v>55</v>
      </c>
      <c r="B58" s="18" t="s">
        <v>354</v>
      </c>
      <c r="C58" s="18" t="s">
        <v>355</v>
      </c>
      <c r="D58" s="18">
        <v>241110900</v>
      </c>
      <c r="E58" s="18" t="s">
        <v>356</v>
      </c>
      <c r="F58" s="141" t="s">
        <v>395</v>
      </c>
      <c r="G58" s="18">
        <v>12301001</v>
      </c>
      <c r="H58" s="18" t="s">
        <v>398</v>
      </c>
      <c r="I58" s="135">
        <v>5120483979</v>
      </c>
      <c r="J58" s="135">
        <v>9591945145</v>
      </c>
      <c r="K58" s="18" t="s">
        <v>393</v>
      </c>
      <c r="L58" s="18">
        <v>4</v>
      </c>
      <c r="M58" s="15">
        <v>4</v>
      </c>
      <c r="N58" s="15"/>
      <c r="O58" s="15">
        <v>5</v>
      </c>
      <c r="P58" s="140">
        <v>5</v>
      </c>
      <c r="Q58" s="137" t="s">
        <v>394</v>
      </c>
      <c r="R58" s="139"/>
      <c r="S58" s="139"/>
      <c r="T58" s="139"/>
      <c r="U58" s="139"/>
    </row>
    <row r="59" spans="1:21" ht="318.75" x14ac:dyDescent="0.25">
      <c r="A59" s="18" t="s">
        <v>55</v>
      </c>
      <c r="B59" s="18" t="s">
        <v>354</v>
      </c>
      <c r="C59" s="18" t="s">
        <v>355</v>
      </c>
      <c r="D59" s="18">
        <v>241110900</v>
      </c>
      <c r="E59" s="18" t="s">
        <v>356</v>
      </c>
      <c r="F59" s="141" t="s">
        <v>395</v>
      </c>
      <c r="G59" s="18">
        <v>12301002</v>
      </c>
      <c r="H59" s="18" t="s">
        <v>399</v>
      </c>
      <c r="I59" s="135">
        <v>0</v>
      </c>
      <c r="J59" s="135">
        <v>17018563226</v>
      </c>
      <c r="K59" s="18" t="s">
        <v>393</v>
      </c>
      <c r="L59" s="18">
        <v>4</v>
      </c>
      <c r="M59" s="15">
        <v>4</v>
      </c>
      <c r="N59" s="15"/>
      <c r="O59" s="15">
        <v>5</v>
      </c>
      <c r="P59" s="140">
        <v>5</v>
      </c>
      <c r="Q59" s="137" t="s">
        <v>394</v>
      </c>
      <c r="R59" s="139"/>
      <c r="S59" s="139"/>
      <c r="T59" s="139"/>
      <c r="U59" s="139"/>
    </row>
    <row r="60" spans="1:21" ht="318.75" x14ac:dyDescent="0.25">
      <c r="A60" s="18" t="s">
        <v>55</v>
      </c>
      <c r="B60" s="18" t="s">
        <v>354</v>
      </c>
      <c r="C60" s="18" t="s">
        <v>355</v>
      </c>
      <c r="D60" s="18">
        <v>241110900</v>
      </c>
      <c r="E60" s="18" t="s">
        <v>356</v>
      </c>
      <c r="F60" s="141" t="s">
        <v>395</v>
      </c>
      <c r="G60" s="18">
        <v>12301004</v>
      </c>
      <c r="H60" s="18" t="s">
        <v>400</v>
      </c>
      <c r="I60" s="135">
        <v>0</v>
      </c>
      <c r="J60" s="135">
        <v>0</v>
      </c>
      <c r="K60" s="18" t="s">
        <v>393</v>
      </c>
      <c r="L60" s="18">
        <v>4</v>
      </c>
      <c r="M60" s="15">
        <v>4</v>
      </c>
      <c r="N60" s="15"/>
      <c r="O60" s="15">
        <v>5</v>
      </c>
      <c r="P60" s="140">
        <v>5</v>
      </c>
      <c r="Q60" s="137" t="s">
        <v>394</v>
      </c>
      <c r="R60" s="139"/>
      <c r="S60" s="139"/>
      <c r="T60" s="139"/>
      <c r="U60" s="139"/>
    </row>
    <row r="61" spans="1:21" ht="318.75" x14ac:dyDescent="0.25">
      <c r="A61" s="18" t="s">
        <v>55</v>
      </c>
      <c r="B61" s="18" t="s">
        <v>354</v>
      </c>
      <c r="C61" s="18" t="s">
        <v>355</v>
      </c>
      <c r="D61" s="18">
        <v>241110900</v>
      </c>
      <c r="E61" s="18" t="s">
        <v>356</v>
      </c>
      <c r="F61" s="141" t="s">
        <v>395</v>
      </c>
      <c r="G61" s="18">
        <v>12301005</v>
      </c>
      <c r="H61" s="34" t="s">
        <v>401</v>
      </c>
      <c r="I61" s="135">
        <v>1200000000</v>
      </c>
      <c r="J61" s="135">
        <v>1200000000</v>
      </c>
      <c r="K61" s="18" t="s">
        <v>393</v>
      </c>
      <c r="L61" s="18">
        <v>4</v>
      </c>
      <c r="M61" s="15">
        <v>4</v>
      </c>
      <c r="N61" s="15"/>
      <c r="O61" s="15">
        <v>5</v>
      </c>
      <c r="P61" s="140">
        <v>5</v>
      </c>
      <c r="Q61" s="137" t="s">
        <v>394</v>
      </c>
      <c r="R61" s="139"/>
      <c r="S61" s="139"/>
      <c r="T61" s="139"/>
      <c r="U61" s="139"/>
    </row>
    <row r="62" spans="1:21" ht="318.75" x14ac:dyDescent="0.25">
      <c r="A62" s="18" t="s">
        <v>55</v>
      </c>
      <c r="B62" s="18" t="s">
        <v>354</v>
      </c>
      <c r="C62" s="18" t="s">
        <v>355</v>
      </c>
      <c r="D62" s="18">
        <v>241110900</v>
      </c>
      <c r="E62" s="18" t="s">
        <v>356</v>
      </c>
      <c r="F62" s="141" t="s">
        <v>395</v>
      </c>
      <c r="G62" s="18">
        <v>12301006</v>
      </c>
      <c r="H62" s="34" t="s">
        <v>402</v>
      </c>
      <c r="I62" s="135">
        <v>1526500</v>
      </c>
      <c r="J62" s="135">
        <v>1526500</v>
      </c>
      <c r="K62" s="18" t="s">
        <v>393</v>
      </c>
      <c r="L62" s="18">
        <v>4</v>
      </c>
      <c r="M62" s="15">
        <v>4</v>
      </c>
      <c r="N62" s="15"/>
      <c r="O62" s="15">
        <v>5</v>
      </c>
      <c r="P62" s="140">
        <v>5</v>
      </c>
      <c r="Q62" s="137" t="s">
        <v>394</v>
      </c>
      <c r="R62" s="139"/>
      <c r="S62" s="139"/>
      <c r="T62" s="139"/>
      <c r="U62" s="139"/>
    </row>
    <row r="63" spans="1:21" ht="318.75" x14ac:dyDescent="0.25">
      <c r="A63" s="18" t="s">
        <v>55</v>
      </c>
      <c r="B63" s="18" t="s">
        <v>354</v>
      </c>
      <c r="C63" s="18" t="s">
        <v>355</v>
      </c>
      <c r="D63" s="18">
        <v>241110900</v>
      </c>
      <c r="E63" s="18" t="s">
        <v>356</v>
      </c>
      <c r="F63" s="141" t="s">
        <v>395</v>
      </c>
      <c r="G63" s="18">
        <v>12301007</v>
      </c>
      <c r="H63" s="34" t="s">
        <v>403</v>
      </c>
      <c r="I63" s="135">
        <v>1447264</v>
      </c>
      <c r="J63" s="135">
        <v>1447264</v>
      </c>
      <c r="K63" s="18" t="s">
        <v>393</v>
      </c>
      <c r="L63" s="18">
        <v>4</v>
      </c>
      <c r="M63" s="15">
        <v>4</v>
      </c>
      <c r="N63" s="15"/>
      <c r="O63" s="15">
        <v>5</v>
      </c>
      <c r="P63" s="140">
        <v>5</v>
      </c>
      <c r="Q63" s="137" t="s">
        <v>394</v>
      </c>
      <c r="R63" s="139"/>
      <c r="S63" s="139"/>
      <c r="T63" s="139"/>
      <c r="U63" s="139"/>
    </row>
    <row r="64" spans="1:21" ht="318.75" x14ac:dyDescent="0.25">
      <c r="A64" s="18" t="s">
        <v>55</v>
      </c>
      <c r="B64" s="18" t="s">
        <v>354</v>
      </c>
      <c r="C64" s="18" t="s">
        <v>355</v>
      </c>
      <c r="D64" s="18">
        <v>241110900</v>
      </c>
      <c r="E64" s="18" t="s">
        <v>356</v>
      </c>
      <c r="F64" s="141" t="s">
        <v>395</v>
      </c>
      <c r="G64" s="18">
        <v>12301091</v>
      </c>
      <c r="H64" s="18" t="s">
        <v>404</v>
      </c>
      <c r="I64" s="135">
        <v>0</v>
      </c>
      <c r="J64" s="135">
        <v>65681000</v>
      </c>
      <c r="K64" s="18" t="s">
        <v>393</v>
      </c>
      <c r="L64" s="18">
        <v>4</v>
      </c>
      <c r="M64" s="15">
        <v>4</v>
      </c>
      <c r="N64" s="15"/>
      <c r="O64" s="15">
        <v>5</v>
      </c>
      <c r="P64" s="140">
        <v>5</v>
      </c>
      <c r="Q64" s="137" t="s">
        <v>394</v>
      </c>
      <c r="R64" s="139"/>
      <c r="S64" s="139"/>
      <c r="T64" s="139"/>
      <c r="U64" s="139"/>
    </row>
    <row r="65" spans="1:21" ht="318.75" x14ac:dyDescent="0.25">
      <c r="A65" s="18" t="s">
        <v>55</v>
      </c>
      <c r="B65" s="18" t="s">
        <v>354</v>
      </c>
      <c r="C65" s="18" t="s">
        <v>355</v>
      </c>
      <c r="D65" s="18">
        <v>241110900</v>
      </c>
      <c r="E65" s="18" t="s">
        <v>356</v>
      </c>
      <c r="F65" s="141" t="s">
        <v>405</v>
      </c>
      <c r="G65" s="18">
        <v>12302001</v>
      </c>
      <c r="H65" s="18" t="s">
        <v>406</v>
      </c>
      <c r="I65" s="135">
        <v>0</v>
      </c>
      <c r="J65" s="135">
        <v>30000000</v>
      </c>
      <c r="K65" s="18" t="s">
        <v>393</v>
      </c>
      <c r="L65" s="18">
        <v>4</v>
      </c>
      <c r="M65" s="15">
        <v>4</v>
      </c>
      <c r="N65" s="15"/>
      <c r="O65" s="15">
        <v>5</v>
      </c>
      <c r="P65" s="140">
        <v>5</v>
      </c>
      <c r="Q65" s="137" t="s">
        <v>394</v>
      </c>
      <c r="R65" s="139"/>
      <c r="S65" s="139"/>
      <c r="T65" s="139"/>
      <c r="U65" s="139"/>
    </row>
    <row r="66" spans="1:21" ht="318.75" x14ac:dyDescent="0.25">
      <c r="A66" s="18" t="s">
        <v>55</v>
      </c>
      <c r="B66" s="18" t="s">
        <v>354</v>
      </c>
      <c r="C66" s="18" t="s">
        <v>355</v>
      </c>
      <c r="D66" s="18">
        <v>241110900</v>
      </c>
      <c r="E66" s="18" t="s">
        <v>356</v>
      </c>
      <c r="F66" s="141" t="s">
        <v>405</v>
      </c>
      <c r="G66" s="18">
        <v>12302002</v>
      </c>
      <c r="H66" s="18" t="s">
        <v>407</v>
      </c>
      <c r="I66" s="18">
        <v>0</v>
      </c>
      <c r="J66" s="135">
        <v>27989000</v>
      </c>
      <c r="K66" s="18" t="s">
        <v>393</v>
      </c>
      <c r="L66" s="18">
        <v>4</v>
      </c>
      <c r="M66" s="15">
        <v>4</v>
      </c>
      <c r="N66" s="15"/>
      <c r="O66" s="15">
        <v>5</v>
      </c>
      <c r="P66" s="140">
        <v>5</v>
      </c>
      <c r="Q66" s="137" t="s">
        <v>394</v>
      </c>
      <c r="R66" s="139"/>
      <c r="S66" s="139"/>
      <c r="T66" s="139"/>
      <c r="U66" s="139"/>
    </row>
    <row r="67" spans="1:21" ht="318.75" x14ac:dyDescent="0.25">
      <c r="A67" s="18" t="s">
        <v>55</v>
      </c>
      <c r="B67" s="18" t="s">
        <v>354</v>
      </c>
      <c r="C67" s="18" t="s">
        <v>355</v>
      </c>
      <c r="D67" s="18">
        <v>241110900</v>
      </c>
      <c r="E67" s="18" t="s">
        <v>356</v>
      </c>
      <c r="F67" s="141" t="s">
        <v>408</v>
      </c>
      <c r="G67" s="18">
        <v>12303001</v>
      </c>
      <c r="H67" s="18" t="s">
        <v>409</v>
      </c>
      <c r="I67" s="135">
        <v>0</v>
      </c>
      <c r="J67" s="135">
        <v>0</v>
      </c>
      <c r="K67" s="18" t="s">
        <v>393</v>
      </c>
      <c r="L67" s="18">
        <v>4</v>
      </c>
      <c r="M67" s="15">
        <v>4</v>
      </c>
      <c r="N67" s="15"/>
      <c r="O67" s="15">
        <v>5</v>
      </c>
      <c r="P67" s="140">
        <v>5</v>
      </c>
      <c r="Q67" s="137" t="s">
        <v>394</v>
      </c>
      <c r="R67" s="139"/>
      <c r="S67" s="139"/>
      <c r="T67" s="139"/>
      <c r="U67" s="139"/>
    </row>
    <row r="68" spans="1:21" ht="318.75" x14ac:dyDescent="0.25">
      <c r="A68" s="18" t="s">
        <v>55</v>
      </c>
      <c r="B68" s="18" t="s">
        <v>354</v>
      </c>
      <c r="C68" s="18" t="s">
        <v>355</v>
      </c>
      <c r="D68" s="18">
        <v>241110900</v>
      </c>
      <c r="E68" s="18" t="s">
        <v>356</v>
      </c>
      <c r="F68" s="141" t="s">
        <v>408</v>
      </c>
      <c r="G68" s="18">
        <v>12303090</v>
      </c>
      <c r="H68" s="18" t="s">
        <v>410</v>
      </c>
      <c r="I68" s="135">
        <v>0</v>
      </c>
      <c r="J68" s="135">
        <v>13853000</v>
      </c>
      <c r="K68" s="18" t="s">
        <v>393</v>
      </c>
      <c r="L68" s="18">
        <v>4</v>
      </c>
      <c r="M68" s="15">
        <v>4</v>
      </c>
      <c r="N68" s="15"/>
      <c r="O68" s="15">
        <v>5</v>
      </c>
      <c r="P68" s="140">
        <v>5</v>
      </c>
      <c r="Q68" s="137" t="s">
        <v>394</v>
      </c>
      <c r="R68" s="139"/>
      <c r="S68" s="139"/>
      <c r="T68" s="139"/>
      <c r="U68" s="139"/>
    </row>
    <row r="69" spans="1:21" ht="318.75" x14ac:dyDescent="0.25">
      <c r="A69" s="18" t="s">
        <v>55</v>
      </c>
      <c r="B69" s="18" t="s">
        <v>354</v>
      </c>
      <c r="C69" s="18" t="s">
        <v>355</v>
      </c>
      <c r="D69" s="18">
        <v>241110900</v>
      </c>
      <c r="E69" s="18" t="s">
        <v>356</v>
      </c>
      <c r="F69" s="141" t="s">
        <v>411</v>
      </c>
      <c r="G69" s="18">
        <v>12304001</v>
      </c>
      <c r="H69" s="18" t="s">
        <v>412</v>
      </c>
      <c r="I69" s="135">
        <v>1039298837</v>
      </c>
      <c r="J69" s="135">
        <v>-69187104</v>
      </c>
      <c r="K69" s="18" t="s">
        <v>393</v>
      </c>
      <c r="L69" s="18">
        <v>4</v>
      </c>
      <c r="M69" s="15">
        <v>4</v>
      </c>
      <c r="N69" s="15"/>
      <c r="O69" s="15">
        <v>5</v>
      </c>
      <c r="P69" s="140">
        <v>5</v>
      </c>
      <c r="Q69" s="137" t="s">
        <v>394</v>
      </c>
      <c r="R69" s="139"/>
      <c r="S69" s="139"/>
      <c r="T69" s="139"/>
      <c r="U69" s="139"/>
    </row>
    <row r="70" spans="1:21" ht="318.75" x14ac:dyDescent="0.25">
      <c r="A70" s="18" t="s">
        <v>55</v>
      </c>
      <c r="B70" s="18" t="s">
        <v>354</v>
      </c>
      <c r="C70" s="18" t="s">
        <v>355</v>
      </c>
      <c r="D70" s="18">
        <v>241110900</v>
      </c>
      <c r="E70" s="18" t="s">
        <v>356</v>
      </c>
      <c r="F70" s="141" t="s">
        <v>411</v>
      </c>
      <c r="G70" s="18">
        <v>12304002</v>
      </c>
      <c r="H70" s="18" t="s">
        <v>413</v>
      </c>
      <c r="I70" s="135">
        <v>4162515537</v>
      </c>
      <c r="J70" s="135">
        <v>-271428226</v>
      </c>
      <c r="K70" s="18" t="s">
        <v>393</v>
      </c>
      <c r="L70" s="18">
        <v>4</v>
      </c>
      <c r="M70" s="15">
        <v>4</v>
      </c>
      <c r="N70" s="15"/>
      <c r="O70" s="15">
        <v>5</v>
      </c>
      <c r="P70" s="140">
        <v>5</v>
      </c>
      <c r="Q70" s="137" t="s">
        <v>394</v>
      </c>
      <c r="R70" s="139"/>
      <c r="S70" s="139"/>
      <c r="T70" s="139"/>
      <c r="U70" s="139"/>
    </row>
    <row r="71" spans="1:21" ht="318.75" x14ac:dyDescent="0.25">
      <c r="A71" s="18" t="s">
        <v>55</v>
      </c>
      <c r="B71" s="18" t="s">
        <v>354</v>
      </c>
      <c r="C71" s="18" t="s">
        <v>355</v>
      </c>
      <c r="D71" s="18">
        <v>241110900</v>
      </c>
      <c r="E71" s="18" t="s">
        <v>356</v>
      </c>
      <c r="F71" s="141" t="s">
        <v>411</v>
      </c>
      <c r="G71" s="18">
        <v>12304003</v>
      </c>
      <c r="H71" s="18" t="s">
        <v>414</v>
      </c>
      <c r="I71" s="135">
        <v>564100070</v>
      </c>
      <c r="J71" s="135">
        <v>-1897554073</v>
      </c>
      <c r="K71" s="18" t="s">
        <v>393</v>
      </c>
      <c r="L71" s="18">
        <v>4</v>
      </c>
      <c r="M71" s="15">
        <v>4</v>
      </c>
      <c r="N71" s="15"/>
      <c r="O71" s="15">
        <v>5</v>
      </c>
      <c r="P71" s="140">
        <v>5</v>
      </c>
      <c r="Q71" s="137" t="s">
        <v>394</v>
      </c>
      <c r="R71" s="139"/>
      <c r="S71" s="139"/>
      <c r="T71" s="139"/>
      <c r="U71" s="139"/>
    </row>
    <row r="72" spans="1:21" ht="318.75" x14ac:dyDescent="0.25">
      <c r="A72" s="18" t="s">
        <v>55</v>
      </c>
      <c r="B72" s="18" t="s">
        <v>354</v>
      </c>
      <c r="C72" s="18" t="s">
        <v>355</v>
      </c>
      <c r="D72" s="18">
        <v>241110900</v>
      </c>
      <c r="E72" s="18" t="s">
        <v>356</v>
      </c>
      <c r="F72" s="141" t="s">
        <v>411</v>
      </c>
      <c r="G72" s="18">
        <v>12304004</v>
      </c>
      <c r="H72" s="18" t="s">
        <v>415</v>
      </c>
      <c r="I72" s="135">
        <v>164289944</v>
      </c>
      <c r="J72" s="135">
        <v>-2066100000</v>
      </c>
      <c r="K72" s="18" t="s">
        <v>393</v>
      </c>
      <c r="L72" s="18">
        <v>4</v>
      </c>
      <c r="M72" s="15">
        <v>4</v>
      </c>
      <c r="N72" s="15"/>
      <c r="O72" s="15">
        <v>5</v>
      </c>
      <c r="P72" s="140">
        <v>5</v>
      </c>
      <c r="Q72" s="137" t="s">
        <v>394</v>
      </c>
      <c r="R72" s="139"/>
      <c r="S72" s="139"/>
      <c r="T72" s="139"/>
      <c r="U72" s="139"/>
    </row>
    <row r="73" spans="1:21" ht="318.75" x14ac:dyDescent="0.25">
      <c r="A73" s="18" t="s">
        <v>55</v>
      </c>
      <c r="B73" s="18" t="s">
        <v>354</v>
      </c>
      <c r="C73" s="18" t="s">
        <v>355</v>
      </c>
      <c r="D73" s="18">
        <v>241110900</v>
      </c>
      <c r="E73" s="18" t="s">
        <v>356</v>
      </c>
      <c r="F73" s="141" t="s">
        <v>411</v>
      </c>
      <c r="G73" s="18">
        <v>12304005</v>
      </c>
      <c r="H73" s="18" t="s">
        <v>415</v>
      </c>
      <c r="I73" s="135"/>
      <c r="J73" s="135">
        <v>17900371137</v>
      </c>
      <c r="K73" s="18" t="s">
        <v>393</v>
      </c>
      <c r="L73" s="18">
        <v>4</v>
      </c>
      <c r="M73" s="15">
        <v>4</v>
      </c>
      <c r="N73" s="15"/>
      <c r="O73" s="15">
        <v>5</v>
      </c>
      <c r="P73" s="140">
        <v>5</v>
      </c>
      <c r="Q73" s="137" t="s">
        <v>394</v>
      </c>
      <c r="R73" s="139"/>
      <c r="S73" s="139"/>
      <c r="T73" s="139"/>
      <c r="U73" s="139"/>
    </row>
    <row r="74" spans="1:21" ht="318.75" x14ac:dyDescent="0.25">
      <c r="A74" s="18" t="s">
        <v>55</v>
      </c>
      <c r="B74" s="18" t="s">
        <v>354</v>
      </c>
      <c r="C74" s="18" t="s">
        <v>355</v>
      </c>
      <c r="D74" s="18">
        <v>241110900</v>
      </c>
      <c r="E74" s="18" t="s">
        <v>356</v>
      </c>
      <c r="F74" s="141" t="s">
        <v>411</v>
      </c>
      <c r="G74" s="18">
        <v>12304090</v>
      </c>
      <c r="H74" s="18" t="s">
        <v>416</v>
      </c>
      <c r="I74" s="135">
        <v>0</v>
      </c>
      <c r="J74" s="135">
        <v>13634000</v>
      </c>
      <c r="K74" s="18" t="s">
        <v>393</v>
      </c>
      <c r="L74" s="18">
        <v>4</v>
      </c>
      <c r="M74" s="15">
        <v>4</v>
      </c>
      <c r="N74" s="15"/>
      <c r="O74" s="15">
        <v>5</v>
      </c>
      <c r="P74" s="140">
        <v>5</v>
      </c>
      <c r="Q74" s="137" t="s">
        <v>394</v>
      </c>
      <c r="R74" s="139"/>
      <c r="S74" s="139"/>
      <c r="T74" s="139"/>
      <c r="U74" s="139"/>
    </row>
    <row r="75" spans="1:21" ht="105" x14ac:dyDescent="0.25">
      <c r="A75" s="18" t="s">
        <v>55</v>
      </c>
      <c r="B75" s="18" t="s">
        <v>354</v>
      </c>
      <c r="C75" s="18" t="s">
        <v>355</v>
      </c>
      <c r="D75" s="18">
        <v>241110600</v>
      </c>
      <c r="E75" s="18" t="s">
        <v>356</v>
      </c>
      <c r="F75" s="141" t="s">
        <v>417</v>
      </c>
      <c r="G75" s="18">
        <v>13101090</v>
      </c>
      <c r="H75" s="18" t="s">
        <v>418</v>
      </c>
      <c r="I75" s="135">
        <v>71016000</v>
      </c>
      <c r="J75" s="135">
        <v>71016000</v>
      </c>
      <c r="K75" s="18" t="s">
        <v>419</v>
      </c>
      <c r="L75" s="18">
        <v>35000</v>
      </c>
      <c r="M75" s="136">
        <v>35000</v>
      </c>
      <c r="N75" s="15"/>
      <c r="O75" s="137">
        <v>11055</v>
      </c>
      <c r="P75" s="140">
        <v>53024</v>
      </c>
      <c r="Q75" s="137" t="s">
        <v>420</v>
      </c>
      <c r="R75" s="139"/>
      <c r="S75" s="139"/>
      <c r="T75" s="139"/>
      <c r="U75" s="139"/>
    </row>
    <row r="76" spans="1:21" ht="120" x14ac:dyDescent="0.25">
      <c r="A76" s="18" t="s">
        <v>55</v>
      </c>
      <c r="B76" s="18" t="s">
        <v>354</v>
      </c>
      <c r="C76" s="18" t="s">
        <v>355</v>
      </c>
      <c r="D76" s="18">
        <v>241110900</v>
      </c>
      <c r="E76" s="18" t="s">
        <v>356</v>
      </c>
      <c r="F76" s="141" t="s">
        <v>417</v>
      </c>
      <c r="G76" s="18">
        <v>13101001</v>
      </c>
      <c r="H76" s="18" t="s">
        <v>421</v>
      </c>
      <c r="I76" s="135">
        <v>2581941897</v>
      </c>
      <c r="J76" s="135">
        <v>4581941897</v>
      </c>
      <c r="K76" s="18" t="s">
        <v>419</v>
      </c>
      <c r="L76" s="18">
        <v>35000</v>
      </c>
      <c r="M76" s="136">
        <v>35000</v>
      </c>
      <c r="N76" s="15"/>
      <c r="O76" s="137">
        <v>11055</v>
      </c>
      <c r="P76" s="140">
        <v>53024</v>
      </c>
      <c r="Q76" s="137" t="s">
        <v>420</v>
      </c>
      <c r="R76" s="139"/>
      <c r="S76" s="139"/>
      <c r="T76" s="139"/>
      <c r="U76" s="139"/>
    </row>
    <row r="77" spans="1:21" ht="369.75" x14ac:dyDescent="0.25">
      <c r="A77" s="18" t="s">
        <v>55</v>
      </c>
      <c r="B77" s="18" t="s">
        <v>354</v>
      </c>
      <c r="C77" s="18" t="s">
        <v>355</v>
      </c>
      <c r="D77" s="18">
        <v>241110900</v>
      </c>
      <c r="E77" s="18" t="s">
        <v>356</v>
      </c>
      <c r="F77" s="141" t="s">
        <v>422</v>
      </c>
      <c r="G77" s="18">
        <v>18270001</v>
      </c>
      <c r="H77" s="18" t="s">
        <v>423</v>
      </c>
      <c r="I77" s="135">
        <v>0</v>
      </c>
      <c r="J77" s="135">
        <v>0</v>
      </c>
      <c r="K77" s="18" t="s">
        <v>424</v>
      </c>
      <c r="L77" s="18">
        <v>50</v>
      </c>
      <c r="M77" s="136">
        <v>50</v>
      </c>
      <c r="N77" s="15"/>
      <c r="O77" s="15">
        <v>29</v>
      </c>
      <c r="P77" s="140">
        <v>31</v>
      </c>
      <c r="Q77" s="137" t="s">
        <v>425</v>
      </c>
      <c r="R77" s="139"/>
      <c r="S77" s="139"/>
      <c r="T77" s="139"/>
      <c r="U77" s="139"/>
    </row>
    <row r="78" spans="1:21" ht="369.75" x14ac:dyDescent="0.25">
      <c r="A78" s="18" t="s">
        <v>55</v>
      </c>
      <c r="B78" s="18" t="s">
        <v>354</v>
      </c>
      <c r="C78" s="18" t="s">
        <v>355</v>
      </c>
      <c r="D78" s="18">
        <v>241110900</v>
      </c>
      <c r="E78" s="18" t="s">
        <v>356</v>
      </c>
      <c r="F78" s="141" t="s">
        <v>422</v>
      </c>
      <c r="G78" s="18">
        <v>18270002</v>
      </c>
      <c r="H78" s="18" t="s">
        <v>426</v>
      </c>
      <c r="I78" s="135">
        <v>2000000000</v>
      </c>
      <c r="J78" s="135">
        <v>2000000000</v>
      </c>
      <c r="K78" s="18" t="s">
        <v>424</v>
      </c>
      <c r="L78" s="18">
        <v>50</v>
      </c>
      <c r="M78" s="136">
        <v>50</v>
      </c>
      <c r="N78" s="15"/>
      <c r="O78" s="15">
        <v>29</v>
      </c>
      <c r="P78" s="140">
        <v>31</v>
      </c>
      <c r="Q78" s="137" t="s">
        <v>425</v>
      </c>
      <c r="R78" s="139"/>
      <c r="S78" s="139"/>
      <c r="T78" s="139"/>
      <c r="U78" s="139"/>
    </row>
    <row r="79" spans="1:21" ht="369.75" x14ac:dyDescent="0.25">
      <c r="A79" s="18" t="s">
        <v>55</v>
      </c>
      <c r="B79" s="18" t="s">
        <v>354</v>
      </c>
      <c r="C79" s="18" t="s">
        <v>355</v>
      </c>
      <c r="D79" s="18">
        <v>241110900</v>
      </c>
      <c r="E79" s="18" t="s">
        <v>356</v>
      </c>
      <c r="F79" s="141" t="s">
        <v>422</v>
      </c>
      <c r="G79" s="18">
        <v>18270090</v>
      </c>
      <c r="H79" s="18" t="s">
        <v>427</v>
      </c>
      <c r="I79" s="135">
        <v>257851000</v>
      </c>
      <c r="J79" s="135">
        <v>419159000</v>
      </c>
      <c r="K79" s="18" t="s">
        <v>424</v>
      </c>
      <c r="L79" s="18">
        <v>50</v>
      </c>
      <c r="M79" s="136">
        <v>50</v>
      </c>
      <c r="N79" s="15"/>
      <c r="O79" s="15">
        <v>29</v>
      </c>
      <c r="P79" s="140">
        <v>31</v>
      </c>
      <c r="Q79" s="137" t="s">
        <v>425</v>
      </c>
      <c r="R79" s="139"/>
      <c r="S79" s="139"/>
      <c r="T79" s="139"/>
      <c r="U79" s="139"/>
    </row>
    <row r="80" spans="1:21" ht="409.5" x14ac:dyDescent="0.25">
      <c r="A80" s="18" t="s">
        <v>55</v>
      </c>
      <c r="B80" s="18" t="s">
        <v>354</v>
      </c>
      <c r="C80" s="18" t="s">
        <v>355</v>
      </c>
      <c r="D80" s="18">
        <v>241110900</v>
      </c>
      <c r="E80" s="18" t="s">
        <v>356</v>
      </c>
      <c r="F80" s="141" t="s">
        <v>428</v>
      </c>
      <c r="G80" s="18">
        <v>18464090</v>
      </c>
      <c r="H80" s="18" t="s">
        <v>429</v>
      </c>
      <c r="I80" s="135">
        <v>0</v>
      </c>
      <c r="J80" s="135">
        <v>0</v>
      </c>
      <c r="K80" s="18" t="s">
        <v>430</v>
      </c>
      <c r="L80" s="18">
        <v>100</v>
      </c>
      <c r="M80" s="15">
        <v>100</v>
      </c>
      <c r="N80" s="15"/>
      <c r="O80" s="15">
        <v>25</v>
      </c>
      <c r="P80" s="140">
        <v>50</v>
      </c>
      <c r="Q80" s="142" t="s">
        <v>431</v>
      </c>
      <c r="R80" s="139"/>
      <c r="S80" s="139"/>
      <c r="T80" s="139"/>
      <c r="U80" s="139"/>
    </row>
    <row r="81" spans="1:21" ht="409.5" x14ac:dyDescent="0.25">
      <c r="A81" s="18" t="s">
        <v>55</v>
      </c>
      <c r="B81" s="18" t="s">
        <v>354</v>
      </c>
      <c r="C81" s="18" t="s">
        <v>355</v>
      </c>
      <c r="D81" s="18">
        <v>241110900</v>
      </c>
      <c r="E81" s="18" t="s">
        <v>356</v>
      </c>
      <c r="F81" s="141" t="s">
        <v>428</v>
      </c>
      <c r="G81" s="18">
        <v>18464001</v>
      </c>
      <c r="H81" s="18" t="s">
        <v>429</v>
      </c>
      <c r="I81" s="135">
        <v>300000000</v>
      </c>
      <c r="J81" s="135">
        <v>300000000</v>
      </c>
      <c r="K81" s="18" t="s">
        <v>430</v>
      </c>
      <c r="L81" s="18">
        <v>100</v>
      </c>
      <c r="M81" s="15">
        <v>100</v>
      </c>
      <c r="N81" s="15"/>
      <c r="O81" s="15">
        <v>25</v>
      </c>
      <c r="P81" s="140">
        <v>50</v>
      </c>
      <c r="Q81" s="142" t="s">
        <v>431</v>
      </c>
      <c r="R81" s="139"/>
      <c r="S81" s="139"/>
      <c r="T81" s="139"/>
      <c r="U81" s="139"/>
    </row>
    <row r="82" spans="1:21" ht="237.75" customHeight="1" x14ac:dyDescent="0.25">
      <c r="A82" s="18" t="s">
        <v>55</v>
      </c>
      <c r="B82" s="18" t="s">
        <v>354</v>
      </c>
      <c r="C82" s="18" t="s">
        <v>355</v>
      </c>
      <c r="D82" s="18">
        <v>241110900</v>
      </c>
      <c r="E82" s="18" t="s">
        <v>356</v>
      </c>
      <c r="F82" s="141" t="s">
        <v>432</v>
      </c>
      <c r="G82" s="18">
        <v>242176001</v>
      </c>
      <c r="H82" s="18" t="s">
        <v>433</v>
      </c>
      <c r="I82" s="135">
        <v>9051284451</v>
      </c>
      <c r="J82" s="135">
        <v>-6384052549</v>
      </c>
      <c r="K82" s="18" t="s">
        <v>393</v>
      </c>
      <c r="L82" s="18">
        <v>4</v>
      </c>
      <c r="M82" s="137">
        <v>5</v>
      </c>
      <c r="N82" s="15"/>
      <c r="O82" s="137">
        <v>5</v>
      </c>
      <c r="P82" s="140">
        <v>5</v>
      </c>
      <c r="Q82" s="137" t="s">
        <v>394</v>
      </c>
      <c r="R82" s="139"/>
      <c r="S82" s="139"/>
      <c r="T82" s="139"/>
      <c r="U82" s="139"/>
    </row>
    <row r="83" spans="1:21" ht="150" x14ac:dyDescent="0.25">
      <c r="A83" s="18" t="s">
        <v>55</v>
      </c>
      <c r="B83" s="18" t="s">
        <v>354</v>
      </c>
      <c r="C83" s="18" t="s">
        <v>355</v>
      </c>
      <c r="D83" s="18">
        <v>241120600</v>
      </c>
      <c r="E83" s="18" t="s">
        <v>434</v>
      </c>
      <c r="F83" s="141" t="s">
        <v>435</v>
      </c>
      <c r="G83" s="18">
        <v>12010090</v>
      </c>
      <c r="H83" s="18" t="s">
        <v>436</v>
      </c>
      <c r="I83" s="135">
        <v>188400000</v>
      </c>
      <c r="J83" s="135">
        <v>188400000</v>
      </c>
      <c r="K83" s="18" t="s">
        <v>437</v>
      </c>
      <c r="L83" s="18">
        <v>70400</v>
      </c>
      <c r="M83" s="136">
        <v>70400</v>
      </c>
      <c r="N83" s="15"/>
      <c r="O83" s="137">
        <v>70079</v>
      </c>
      <c r="P83" s="140">
        <v>130091</v>
      </c>
      <c r="Q83" s="137" t="s">
        <v>438</v>
      </c>
      <c r="R83" s="139"/>
      <c r="S83" s="139"/>
      <c r="T83" s="139"/>
      <c r="U83" s="139"/>
    </row>
    <row r="84" spans="1:21" ht="150" x14ac:dyDescent="0.25">
      <c r="A84" s="18" t="s">
        <v>55</v>
      </c>
      <c r="B84" s="18" t="s">
        <v>354</v>
      </c>
      <c r="C84" s="18" t="s">
        <v>355</v>
      </c>
      <c r="D84" s="18">
        <v>241120600</v>
      </c>
      <c r="E84" s="18" t="s">
        <v>434</v>
      </c>
      <c r="F84" s="141" t="s">
        <v>435</v>
      </c>
      <c r="G84" s="18">
        <v>12010001</v>
      </c>
      <c r="H84" s="18" t="s">
        <v>436</v>
      </c>
      <c r="I84" s="18">
        <v>265689606</v>
      </c>
      <c r="J84" s="135">
        <v>265689606</v>
      </c>
      <c r="K84" s="18" t="s">
        <v>437</v>
      </c>
      <c r="L84" s="18">
        <v>70400</v>
      </c>
      <c r="M84" s="136">
        <v>70400</v>
      </c>
      <c r="N84" s="15"/>
      <c r="O84" s="137">
        <v>70079</v>
      </c>
      <c r="P84" s="140">
        <v>130091</v>
      </c>
      <c r="Q84" s="137" t="s">
        <v>438</v>
      </c>
      <c r="R84" s="139"/>
      <c r="S84" s="139"/>
      <c r="T84" s="139"/>
      <c r="U84" s="139"/>
    </row>
    <row r="85" spans="1:21" ht="357" x14ac:dyDescent="0.25">
      <c r="A85" s="18" t="s">
        <v>55</v>
      </c>
      <c r="B85" s="18" t="s">
        <v>354</v>
      </c>
      <c r="C85" s="18" t="s">
        <v>355</v>
      </c>
      <c r="D85" s="18">
        <v>241120600</v>
      </c>
      <c r="E85" s="18" t="s">
        <v>434</v>
      </c>
      <c r="F85" s="141" t="s">
        <v>439</v>
      </c>
      <c r="G85" s="18">
        <v>12260001</v>
      </c>
      <c r="H85" s="18" t="s">
        <v>440</v>
      </c>
      <c r="I85" s="18"/>
      <c r="J85" s="135">
        <v>-18000000</v>
      </c>
      <c r="K85" s="137" t="s">
        <v>441</v>
      </c>
      <c r="L85" s="18">
        <v>100</v>
      </c>
      <c r="M85" s="136">
        <v>100</v>
      </c>
      <c r="N85" s="15"/>
      <c r="O85" s="15">
        <v>0</v>
      </c>
      <c r="P85" s="140">
        <v>0.8</v>
      </c>
      <c r="Q85" s="137" t="s">
        <v>442</v>
      </c>
      <c r="R85" s="139"/>
      <c r="S85" s="139"/>
      <c r="T85" s="139"/>
      <c r="U85" s="139"/>
    </row>
    <row r="86" spans="1:21" ht="357" x14ac:dyDescent="0.25">
      <c r="A86" s="18" t="s">
        <v>55</v>
      </c>
      <c r="B86" s="18" t="s">
        <v>354</v>
      </c>
      <c r="C86" s="18" t="s">
        <v>355</v>
      </c>
      <c r="D86" s="18">
        <v>241120600</v>
      </c>
      <c r="E86" s="18" t="s">
        <v>434</v>
      </c>
      <c r="F86" s="141" t="s">
        <v>439</v>
      </c>
      <c r="G86" s="18">
        <v>12260090</v>
      </c>
      <c r="H86" s="18" t="s">
        <v>443</v>
      </c>
      <c r="I86" s="135">
        <v>8285000</v>
      </c>
      <c r="J86" s="135">
        <v>8285000</v>
      </c>
      <c r="K86" s="137" t="s">
        <v>441</v>
      </c>
      <c r="L86" s="18">
        <v>100</v>
      </c>
      <c r="M86" s="136">
        <v>100</v>
      </c>
      <c r="N86" s="15"/>
      <c r="O86" s="15">
        <v>0</v>
      </c>
      <c r="P86" s="140">
        <v>0.8</v>
      </c>
      <c r="Q86" s="137" t="s">
        <v>442</v>
      </c>
      <c r="R86" s="139"/>
      <c r="S86" s="139"/>
      <c r="T86" s="139"/>
      <c r="U86" s="139"/>
    </row>
    <row r="87" spans="1:21" ht="357" x14ac:dyDescent="0.25">
      <c r="A87" s="18" t="s">
        <v>55</v>
      </c>
      <c r="B87" s="18" t="s">
        <v>354</v>
      </c>
      <c r="C87" s="18" t="s">
        <v>355</v>
      </c>
      <c r="D87" s="18">
        <v>241120600</v>
      </c>
      <c r="E87" s="18" t="s">
        <v>434</v>
      </c>
      <c r="F87" s="141" t="s">
        <v>439</v>
      </c>
      <c r="G87" s="18">
        <v>12260001</v>
      </c>
      <c r="H87" s="18" t="s">
        <v>443</v>
      </c>
      <c r="I87" s="18">
        <v>0</v>
      </c>
      <c r="J87" s="135"/>
      <c r="K87" s="137" t="s">
        <v>441</v>
      </c>
      <c r="L87" s="18">
        <v>100</v>
      </c>
      <c r="M87" s="136">
        <v>100</v>
      </c>
      <c r="N87" s="15">
        <v>4</v>
      </c>
      <c r="O87" s="15">
        <v>0</v>
      </c>
      <c r="P87" s="140">
        <v>0.8</v>
      </c>
      <c r="Q87" s="137" t="s">
        <v>442</v>
      </c>
      <c r="R87" s="139"/>
      <c r="S87" s="139"/>
      <c r="T87" s="139"/>
      <c r="U87" s="139"/>
    </row>
    <row r="88" spans="1:21" ht="255" x14ac:dyDescent="0.25">
      <c r="A88" s="18" t="s">
        <v>55</v>
      </c>
      <c r="B88" s="18" t="s">
        <v>354</v>
      </c>
      <c r="C88" s="18" t="s">
        <v>355</v>
      </c>
      <c r="D88" s="18">
        <v>241120600</v>
      </c>
      <c r="E88" s="18" t="s">
        <v>434</v>
      </c>
      <c r="F88" s="141" t="s">
        <v>444</v>
      </c>
      <c r="G88" s="18">
        <v>12261001</v>
      </c>
      <c r="H88" s="18" t="s">
        <v>445</v>
      </c>
      <c r="I88" s="135">
        <v>882000000</v>
      </c>
      <c r="J88" s="135">
        <v>784780800</v>
      </c>
      <c r="K88" s="18" t="s">
        <v>446</v>
      </c>
      <c r="L88" s="18">
        <v>382368</v>
      </c>
      <c r="M88" s="136">
        <v>382368</v>
      </c>
      <c r="N88" s="15"/>
      <c r="O88" s="137">
        <v>184099</v>
      </c>
      <c r="P88" s="140">
        <v>352312</v>
      </c>
      <c r="Q88" s="143" t="s">
        <v>447</v>
      </c>
      <c r="R88" s="139"/>
      <c r="S88" s="139"/>
      <c r="T88" s="139"/>
      <c r="U88" s="139"/>
    </row>
    <row r="89" spans="1:21" ht="255" x14ac:dyDescent="0.25">
      <c r="A89" s="18" t="s">
        <v>55</v>
      </c>
      <c r="B89" s="18" t="s">
        <v>354</v>
      </c>
      <c r="C89" s="18" t="s">
        <v>355</v>
      </c>
      <c r="D89" s="18">
        <v>241120600</v>
      </c>
      <c r="E89" s="18" t="s">
        <v>434</v>
      </c>
      <c r="F89" s="141" t="s">
        <v>444</v>
      </c>
      <c r="G89" s="18">
        <v>12261090</v>
      </c>
      <c r="H89" s="18" t="s">
        <v>448</v>
      </c>
      <c r="I89" s="135">
        <v>13577000</v>
      </c>
      <c r="J89" s="135">
        <v>13577000</v>
      </c>
      <c r="K89" s="18" t="s">
        <v>446</v>
      </c>
      <c r="L89" s="18">
        <v>382368</v>
      </c>
      <c r="M89" s="136">
        <v>382368</v>
      </c>
      <c r="N89" s="15"/>
      <c r="O89" s="137">
        <v>184099</v>
      </c>
      <c r="P89" s="140">
        <v>352312</v>
      </c>
      <c r="Q89" s="143" t="s">
        <v>447</v>
      </c>
      <c r="R89" s="139"/>
      <c r="S89" s="139"/>
      <c r="T89" s="139"/>
      <c r="U89" s="139"/>
    </row>
    <row r="90" spans="1:21" ht="216.75" x14ac:dyDescent="0.25">
      <c r="A90" s="18" t="s">
        <v>55</v>
      </c>
      <c r="B90" s="18" t="s">
        <v>354</v>
      </c>
      <c r="C90" s="18" t="s">
        <v>355</v>
      </c>
      <c r="D90" s="18">
        <v>241120600</v>
      </c>
      <c r="E90" s="18" t="s">
        <v>434</v>
      </c>
      <c r="F90" s="141" t="s">
        <v>449</v>
      </c>
      <c r="G90" s="18">
        <v>12263001</v>
      </c>
      <c r="H90" s="18" t="s">
        <v>450</v>
      </c>
      <c r="I90" s="135">
        <v>4156821810</v>
      </c>
      <c r="J90" s="135">
        <v>3259426903</v>
      </c>
      <c r="K90" s="18" t="s">
        <v>451</v>
      </c>
      <c r="L90" s="18">
        <v>104421</v>
      </c>
      <c r="M90" s="136">
        <v>104421</v>
      </c>
      <c r="N90" s="15"/>
      <c r="O90" s="137">
        <v>83727</v>
      </c>
      <c r="P90" s="140">
        <v>159662</v>
      </c>
      <c r="Q90" s="137" t="s">
        <v>452</v>
      </c>
      <c r="R90" s="139"/>
      <c r="S90" s="139"/>
      <c r="T90" s="139"/>
      <c r="U90" s="139"/>
    </row>
    <row r="91" spans="1:21" ht="216.75" x14ac:dyDescent="0.25">
      <c r="A91" s="18" t="s">
        <v>55</v>
      </c>
      <c r="B91" s="18" t="s">
        <v>354</v>
      </c>
      <c r="C91" s="18" t="s">
        <v>355</v>
      </c>
      <c r="D91" s="18">
        <v>241120600</v>
      </c>
      <c r="E91" s="18" t="s">
        <v>434</v>
      </c>
      <c r="F91" s="141" t="s">
        <v>449</v>
      </c>
      <c r="G91" s="18">
        <v>12263090</v>
      </c>
      <c r="H91" s="18" t="s">
        <v>453</v>
      </c>
      <c r="I91" s="135">
        <v>-119280000</v>
      </c>
      <c r="J91" s="135">
        <v>12000000</v>
      </c>
      <c r="K91" s="18" t="s">
        <v>451</v>
      </c>
      <c r="L91" s="18">
        <v>104421</v>
      </c>
      <c r="M91" s="136">
        <v>104421</v>
      </c>
      <c r="N91" s="15"/>
      <c r="O91" s="137">
        <v>83727</v>
      </c>
      <c r="P91" s="140">
        <v>159662</v>
      </c>
      <c r="Q91" s="137" t="s">
        <v>452</v>
      </c>
      <c r="R91" s="139"/>
      <c r="S91" s="139"/>
      <c r="T91" s="139"/>
      <c r="U91" s="139"/>
    </row>
    <row r="92" spans="1:21" ht="90" x14ac:dyDescent="0.25">
      <c r="A92" s="18" t="s">
        <v>55</v>
      </c>
      <c r="B92" s="18" t="s">
        <v>354</v>
      </c>
      <c r="C92" s="18" t="s">
        <v>355</v>
      </c>
      <c r="D92" s="18">
        <v>241120600</v>
      </c>
      <c r="E92" s="18" t="s">
        <v>434</v>
      </c>
      <c r="F92" s="141" t="s">
        <v>454</v>
      </c>
      <c r="G92" s="18">
        <v>12264002</v>
      </c>
      <c r="H92" s="18" t="s">
        <v>455</v>
      </c>
      <c r="I92" s="135">
        <v>154137100</v>
      </c>
      <c r="J92" s="135">
        <v>154137100</v>
      </c>
      <c r="K92" s="137" t="s">
        <v>437</v>
      </c>
      <c r="L92" s="18">
        <v>70400</v>
      </c>
      <c r="M92" s="136">
        <v>70400</v>
      </c>
      <c r="N92" s="15"/>
      <c r="O92" s="137">
        <v>70079</v>
      </c>
      <c r="P92" s="140">
        <v>130091</v>
      </c>
      <c r="Q92" s="137" t="s">
        <v>438</v>
      </c>
      <c r="R92" s="139"/>
      <c r="S92" s="139"/>
      <c r="T92" s="139"/>
      <c r="U92" s="139"/>
    </row>
    <row r="93" spans="1:21" ht="105" x14ac:dyDescent="0.25">
      <c r="A93" s="18" t="s">
        <v>55</v>
      </c>
      <c r="B93" s="18" t="s">
        <v>354</v>
      </c>
      <c r="C93" s="18" t="s">
        <v>355</v>
      </c>
      <c r="D93" s="18">
        <v>241120600</v>
      </c>
      <c r="E93" s="18" t="s">
        <v>434</v>
      </c>
      <c r="F93" s="141" t="s">
        <v>454</v>
      </c>
      <c r="G93" s="18">
        <v>12264001</v>
      </c>
      <c r="H93" s="18" t="s">
        <v>456</v>
      </c>
      <c r="I93" s="135">
        <v>143037900</v>
      </c>
      <c r="J93" s="135">
        <v>143037900</v>
      </c>
      <c r="K93" s="137" t="s">
        <v>437</v>
      </c>
      <c r="L93" s="18">
        <v>70400</v>
      </c>
      <c r="M93" s="136">
        <v>70400</v>
      </c>
      <c r="N93" s="15"/>
      <c r="O93" s="137">
        <v>70079</v>
      </c>
      <c r="P93" s="140">
        <v>130091</v>
      </c>
      <c r="Q93" s="137" t="s">
        <v>438</v>
      </c>
      <c r="R93" s="139"/>
      <c r="S93" s="139"/>
      <c r="T93" s="139"/>
      <c r="U93" s="139"/>
    </row>
    <row r="94" spans="1:21" ht="105" x14ac:dyDescent="0.25">
      <c r="A94" s="18" t="s">
        <v>55</v>
      </c>
      <c r="B94" s="18" t="s">
        <v>354</v>
      </c>
      <c r="C94" s="18" t="s">
        <v>355</v>
      </c>
      <c r="D94" s="18">
        <v>241120600</v>
      </c>
      <c r="E94" s="18" t="s">
        <v>434</v>
      </c>
      <c r="F94" s="141" t="s">
        <v>454</v>
      </c>
      <c r="G94" s="18">
        <v>12264003</v>
      </c>
      <c r="H94" s="18" t="s">
        <v>456</v>
      </c>
      <c r="I94" s="135">
        <v>76959018</v>
      </c>
      <c r="J94" s="135">
        <v>76959018</v>
      </c>
      <c r="K94" s="137" t="s">
        <v>437</v>
      </c>
      <c r="L94" s="18">
        <v>70400</v>
      </c>
      <c r="M94" s="136">
        <v>70400</v>
      </c>
      <c r="N94" s="15"/>
      <c r="O94" s="137">
        <v>70079</v>
      </c>
      <c r="P94" s="140">
        <v>130091</v>
      </c>
      <c r="Q94" s="137" t="s">
        <v>438</v>
      </c>
      <c r="R94" s="139"/>
      <c r="S94" s="139"/>
      <c r="T94" s="139"/>
      <c r="U94" s="139"/>
    </row>
    <row r="95" spans="1:21" ht="105" x14ac:dyDescent="0.25">
      <c r="A95" s="18" t="s">
        <v>55</v>
      </c>
      <c r="B95" s="18" t="s">
        <v>354</v>
      </c>
      <c r="C95" s="18" t="s">
        <v>355</v>
      </c>
      <c r="D95" s="18">
        <v>241120600</v>
      </c>
      <c r="E95" s="18" t="s">
        <v>434</v>
      </c>
      <c r="F95" s="141" t="s">
        <v>454</v>
      </c>
      <c r="G95" s="18">
        <v>12264004</v>
      </c>
      <c r="H95" s="18" t="s">
        <v>456</v>
      </c>
      <c r="I95" s="135">
        <v>0</v>
      </c>
      <c r="J95" s="135">
        <v>0</v>
      </c>
      <c r="K95" s="137" t="s">
        <v>437</v>
      </c>
      <c r="L95" s="18">
        <v>70400</v>
      </c>
      <c r="M95" s="136">
        <v>70400</v>
      </c>
      <c r="N95" s="15"/>
      <c r="O95" s="137">
        <v>70079</v>
      </c>
      <c r="P95" s="140">
        <v>130091</v>
      </c>
      <c r="Q95" s="137" t="s">
        <v>438</v>
      </c>
      <c r="R95" s="139"/>
      <c r="S95" s="139"/>
      <c r="T95" s="139"/>
      <c r="U95" s="139"/>
    </row>
    <row r="96" spans="1:21" ht="105" x14ac:dyDescent="0.25">
      <c r="A96" s="18" t="s">
        <v>55</v>
      </c>
      <c r="B96" s="18" t="s">
        <v>354</v>
      </c>
      <c r="C96" s="18" t="s">
        <v>355</v>
      </c>
      <c r="D96" s="18">
        <v>241120600</v>
      </c>
      <c r="E96" s="18" t="s">
        <v>434</v>
      </c>
      <c r="F96" s="141" t="s">
        <v>454</v>
      </c>
      <c r="G96" s="18">
        <v>12264005</v>
      </c>
      <c r="H96" s="18" t="s">
        <v>456</v>
      </c>
      <c r="I96" s="135">
        <v>50000000</v>
      </c>
      <c r="J96" s="135">
        <v>50000000</v>
      </c>
      <c r="K96" s="137" t="s">
        <v>437</v>
      </c>
      <c r="L96" s="18">
        <v>70400</v>
      </c>
      <c r="M96" s="136">
        <v>70400</v>
      </c>
      <c r="N96" s="15"/>
      <c r="O96" s="137">
        <v>70079</v>
      </c>
      <c r="P96" s="140">
        <v>130091</v>
      </c>
      <c r="Q96" s="137" t="s">
        <v>438</v>
      </c>
      <c r="R96" s="139"/>
      <c r="S96" s="139"/>
      <c r="T96" s="139"/>
      <c r="U96" s="139"/>
    </row>
    <row r="97" spans="1:21" ht="105" x14ac:dyDescent="0.25">
      <c r="A97" s="18" t="s">
        <v>55</v>
      </c>
      <c r="B97" s="18" t="s">
        <v>354</v>
      </c>
      <c r="C97" s="18" t="s">
        <v>355</v>
      </c>
      <c r="D97" s="18">
        <v>241120600</v>
      </c>
      <c r="E97" s="18" t="s">
        <v>434</v>
      </c>
      <c r="F97" s="141" t="s">
        <v>454</v>
      </c>
      <c r="G97" s="18">
        <v>12264006</v>
      </c>
      <c r="H97" s="18" t="s">
        <v>456</v>
      </c>
      <c r="I97" s="135">
        <v>9905000</v>
      </c>
      <c r="J97" s="135">
        <v>9905000</v>
      </c>
      <c r="K97" s="137" t="s">
        <v>437</v>
      </c>
      <c r="L97" s="18">
        <v>70400</v>
      </c>
      <c r="M97" s="136">
        <v>70400</v>
      </c>
      <c r="N97" s="15"/>
      <c r="O97" s="137">
        <v>70079</v>
      </c>
      <c r="P97" s="140">
        <v>130091</v>
      </c>
      <c r="Q97" s="137" t="s">
        <v>438</v>
      </c>
      <c r="R97" s="139"/>
      <c r="S97" s="139"/>
      <c r="T97" s="139"/>
      <c r="U97" s="139"/>
    </row>
    <row r="98" spans="1:21" ht="105" x14ac:dyDescent="0.25">
      <c r="A98" s="18" t="s">
        <v>55</v>
      </c>
      <c r="B98" s="18" t="s">
        <v>354</v>
      </c>
      <c r="C98" s="18" t="s">
        <v>355</v>
      </c>
      <c r="D98" s="18">
        <v>241120600</v>
      </c>
      <c r="E98" s="18" t="s">
        <v>434</v>
      </c>
      <c r="F98" s="141" t="s">
        <v>454</v>
      </c>
      <c r="G98" s="18">
        <v>12264007</v>
      </c>
      <c r="H98" s="18" t="s">
        <v>456</v>
      </c>
      <c r="I98" s="135">
        <v>25498500</v>
      </c>
      <c r="J98" s="135">
        <v>25498500</v>
      </c>
      <c r="K98" s="137" t="s">
        <v>437</v>
      </c>
      <c r="L98" s="18">
        <v>70400</v>
      </c>
      <c r="M98" s="136">
        <v>70400</v>
      </c>
      <c r="N98" s="15"/>
      <c r="O98" s="137">
        <v>70079</v>
      </c>
      <c r="P98" s="140">
        <v>130091</v>
      </c>
      <c r="Q98" s="137" t="s">
        <v>438</v>
      </c>
      <c r="R98" s="139"/>
      <c r="S98" s="139"/>
      <c r="T98" s="139"/>
      <c r="U98" s="139"/>
    </row>
    <row r="99" spans="1:21" ht="105" x14ac:dyDescent="0.25">
      <c r="A99" s="18" t="s">
        <v>55</v>
      </c>
      <c r="B99" s="18" t="s">
        <v>354</v>
      </c>
      <c r="C99" s="18" t="s">
        <v>355</v>
      </c>
      <c r="D99" s="18">
        <v>241120600</v>
      </c>
      <c r="E99" s="18" t="s">
        <v>434</v>
      </c>
      <c r="F99" s="141" t="s">
        <v>454</v>
      </c>
      <c r="G99" s="18">
        <v>12264008</v>
      </c>
      <c r="H99" s="18" t="s">
        <v>456</v>
      </c>
      <c r="I99" s="135">
        <v>0</v>
      </c>
      <c r="J99" s="135">
        <v>461166000</v>
      </c>
      <c r="K99" s="137" t="s">
        <v>437</v>
      </c>
      <c r="L99" s="18">
        <v>70400</v>
      </c>
      <c r="M99" s="136">
        <v>70400</v>
      </c>
      <c r="N99" s="15"/>
      <c r="O99" s="137">
        <v>70079</v>
      </c>
      <c r="P99" s="140">
        <v>130091</v>
      </c>
      <c r="Q99" s="137" t="s">
        <v>438</v>
      </c>
      <c r="R99" s="139"/>
      <c r="S99" s="139"/>
      <c r="T99" s="139"/>
      <c r="U99" s="139"/>
    </row>
    <row r="100" spans="1:21" ht="105" x14ac:dyDescent="0.25">
      <c r="A100" s="18" t="s">
        <v>55</v>
      </c>
      <c r="B100" s="18" t="s">
        <v>354</v>
      </c>
      <c r="C100" s="18" t="s">
        <v>355</v>
      </c>
      <c r="D100" s="18">
        <v>241120600</v>
      </c>
      <c r="E100" s="18" t="s">
        <v>434</v>
      </c>
      <c r="F100" s="141" t="s">
        <v>454</v>
      </c>
      <c r="G100" s="18">
        <v>12264090</v>
      </c>
      <c r="H100" s="18" t="s">
        <v>456</v>
      </c>
      <c r="I100" s="135">
        <v>92938000</v>
      </c>
      <c r="J100" s="135">
        <v>92938000</v>
      </c>
      <c r="K100" s="137" t="s">
        <v>437</v>
      </c>
      <c r="L100" s="18">
        <v>70400</v>
      </c>
      <c r="M100" s="136">
        <v>70400</v>
      </c>
      <c r="N100" s="15"/>
      <c r="O100" s="137">
        <v>70079</v>
      </c>
      <c r="P100" s="140">
        <v>130091</v>
      </c>
      <c r="Q100" s="137" t="s">
        <v>438</v>
      </c>
      <c r="R100" s="139"/>
      <c r="S100" s="139"/>
      <c r="T100" s="139"/>
      <c r="U100" s="139"/>
    </row>
    <row r="101" spans="1:21" ht="114.75" x14ac:dyDescent="0.25">
      <c r="A101" s="18" t="s">
        <v>55</v>
      </c>
      <c r="B101" s="18" t="s">
        <v>354</v>
      </c>
      <c r="C101" s="18" t="s">
        <v>355</v>
      </c>
      <c r="D101" s="18">
        <v>241120600</v>
      </c>
      <c r="E101" s="18" t="s">
        <v>434</v>
      </c>
      <c r="F101" s="141" t="s">
        <v>457</v>
      </c>
      <c r="G101" s="18">
        <v>12265001</v>
      </c>
      <c r="H101" s="18" t="s">
        <v>458</v>
      </c>
      <c r="I101" s="135">
        <v>60000000</v>
      </c>
      <c r="J101" s="135">
        <v>60000000</v>
      </c>
      <c r="K101" s="137" t="s">
        <v>459</v>
      </c>
      <c r="L101" s="18">
        <v>16</v>
      </c>
      <c r="M101" s="136">
        <v>16</v>
      </c>
      <c r="N101" s="15"/>
      <c r="O101" s="137">
        <v>12.9</v>
      </c>
      <c r="P101" s="140">
        <v>16.600000000000001</v>
      </c>
      <c r="Q101" s="137" t="s">
        <v>460</v>
      </c>
      <c r="R101" s="139"/>
      <c r="S101" s="139"/>
      <c r="T101" s="139"/>
      <c r="U101" s="139"/>
    </row>
    <row r="102" spans="1:21" ht="114.75" x14ac:dyDescent="0.25">
      <c r="A102" s="18" t="s">
        <v>55</v>
      </c>
      <c r="B102" s="18" t="s">
        <v>354</v>
      </c>
      <c r="C102" s="18" t="s">
        <v>355</v>
      </c>
      <c r="D102" s="18">
        <v>241120600</v>
      </c>
      <c r="E102" s="18" t="s">
        <v>434</v>
      </c>
      <c r="F102" s="141" t="s">
        <v>457</v>
      </c>
      <c r="G102" s="18">
        <v>12265090</v>
      </c>
      <c r="H102" s="18" t="s">
        <v>461</v>
      </c>
      <c r="I102" s="135">
        <v>0</v>
      </c>
      <c r="J102" s="135">
        <v>0</v>
      </c>
      <c r="K102" s="137" t="s">
        <v>459</v>
      </c>
      <c r="L102" s="18">
        <v>16</v>
      </c>
      <c r="M102" s="136">
        <v>16</v>
      </c>
      <c r="N102" s="15"/>
      <c r="O102" s="137">
        <v>12.9</v>
      </c>
      <c r="P102" s="140">
        <v>16.600000000000001</v>
      </c>
      <c r="Q102" s="137" t="s">
        <v>460</v>
      </c>
      <c r="R102" s="139"/>
      <c r="S102" s="139"/>
      <c r="T102" s="139"/>
      <c r="U102" s="139"/>
    </row>
    <row r="103" spans="1:21" ht="150" x14ac:dyDescent="0.25">
      <c r="A103" s="18" t="s">
        <v>55</v>
      </c>
      <c r="B103" s="18" t="s">
        <v>354</v>
      </c>
      <c r="C103" s="18" t="s">
        <v>355</v>
      </c>
      <c r="D103" s="18">
        <v>241120600</v>
      </c>
      <c r="E103" s="18" t="s">
        <v>434</v>
      </c>
      <c r="F103" s="141" t="s">
        <v>462</v>
      </c>
      <c r="G103" s="18">
        <v>12267001</v>
      </c>
      <c r="H103" s="18" t="s">
        <v>463</v>
      </c>
      <c r="I103" s="135">
        <v>1744215500</v>
      </c>
      <c r="J103" s="135">
        <v>1744215500</v>
      </c>
      <c r="K103" s="18" t="s">
        <v>464</v>
      </c>
      <c r="L103" s="18">
        <v>225000</v>
      </c>
      <c r="M103" s="136">
        <v>367816</v>
      </c>
      <c r="N103" s="15"/>
      <c r="O103" s="136">
        <v>367816</v>
      </c>
      <c r="P103" s="15"/>
      <c r="Q103" s="15" t="s">
        <v>465</v>
      </c>
      <c r="R103" s="139"/>
      <c r="S103" s="139"/>
      <c r="T103" s="139"/>
      <c r="U103" s="139"/>
    </row>
    <row r="104" spans="1:21" ht="120" x14ac:dyDescent="0.25">
      <c r="A104" s="18" t="s">
        <v>55</v>
      </c>
      <c r="B104" s="18" t="s">
        <v>354</v>
      </c>
      <c r="C104" s="18" t="s">
        <v>355</v>
      </c>
      <c r="D104" s="18">
        <v>241120600</v>
      </c>
      <c r="E104" s="18" t="s">
        <v>434</v>
      </c>
      <c r="F104" s="141" t="s">
        <v>462</v>
      </c>
      <c r="G104" s="18">
        <v>12267090</v>
      </c>
      <c r="H104" s="18" t="s">
        <v>466</v>
      </c>
      <c r="I104" s="135">
        <v>-344815000</v>
      </c>
      <c r="J104" s="135">
        <v>379852000</v>
      </c>
      <c r="K104" s="18" t="s">
        <v>464</v>
      </c>
      <c r="L104" s="18">
        <v>225000</v>
      </c>
      <c r="M104" s="136">
        <v>367816</v>
      </c>
      <c r="N104" s="15"/>
      <c r="O104" s="136">
        <v>367816</v>
      </c>
      <c r="P104" s="15"/>
      <c r="Q104" s="15"/>
      <c r="R104" s="139"/>
      <c r="S104" s="139"/>
      <c r="T104" s="139"/>
      <c r="U104" s="139"/>
    </row>
    <row r="105" spans="1:21" ht="114.75" x14ac:dyDescent="0.25">
      <c r="A105" s="18" t="s">
        <v>55</v>
      </c>
      <c r="B105" s="18" t="s">
        <v>354</v>
      </c>
      <c r="C105" s="18" t="s">
        <v>355</v>
      </c>
      <c r="D105" s="18">
        <v>241120600</v>
      </c>
      <c r="E105" s="18" t="s">
        <v>434</v>
      </c>
      <c r="F105" s="141" t="s">
        <v>467</v>
      </c>
      <c r="G105" s="18">
        <v>12268001</v>
      </c>
      <c r="H105" s="18" t="s">
        <v>468</v>
      </c>
      <c r="I105" s="135">
        <v>25000000</v>
      </c>
      <c r="J105" s="135">
        <v>-248346000</v>
      </c>
      <c r="K105" s="137" t="s">
        <v>459</v>
      </c>
      <c r="L105" s="136">
        <v>16</v>
      </c>
      <c r="M105" s="136">
        <v>16</v>
      </c>
      <c r="N105" s="15"/>
      <c r="O105" s="137">
        <v>12.9</v>
      </c>
      <c r="P105" s="140">
        <v>16.600000000000001</v>
      </c>
      <c r="Q105" s="137" t="s">
        <v>460</v>
      </c>
      <c r="R105" s="139"/>
      <c r="S105" s="139"/>
      <c r="T105" s="139"/>
      <c r="U105" s="139"/>
    </row>
    <row r="106" spans="1:21" ht="114.75" x14ac:dyDescent="0.25">
      <c r="A106" s="18" t="s">
        <v>55</v>
      </c>
      <c r="B106" s="18" t="s">
        <v>354</v>
      </c>
      <c r="C106" s="18" t="s">
        <v>355</v>
      </c>
      <c r="D106" s="18">
        <v>241120600</v>
      </c>
      <c r="E106" s="18" t="s">
        <v>434</v>
      </c>
      <c r="F106" s="141" t="s">
        <v>467</v>
      </c>
      <c r="G106" s="18">
        <v>12268090</v>
      </c>
      <c r="H106" s="18" t="s">
        <v>469</v>
      </c>
      <c r="I106" s="135">
        <v>20000000</v>
      </c>
      <c r="J106" s="135">
        <v>20000000</v>
      </c>
      <c r="K106" s="137" t="s">
        <v>459</v>
      </c>
      <c r="L106" s="136">
        <v>16</v>
      </c>
      <c r="M106" s="136">
        <v>16</v>
      </c>
      <c r="N106" s="15"/>
      <c r="O106" s="137">
        <v>12.9</v>
      </c>
      <c r="P106" s="140">
        <v>16.600000000000001</v>
      </c>
      <c r="Q106" s="137" t="s">
        <v>460</v>
      </c>
      <c r="R106" s="139"/>
      <c r="S106" s="139"/>
      <c r="T106" s="139"/>
      <c r="U106" s="139"/>
    </row>
    <row r="107" spans="1:21" ht="357" x14ac:dyDescent="0.25">
      <c r="A107" s="18" t="s">
        <v>55</v>
      </c>
      <c r="B107" s="18" t="s">
        <v>354</v>
      </c>
      <c r="C107" s="18" t="s">
        <v>355</v>
      </c>
      <c r="D107" s="18">
        <v>241120600</v>
      </c>
      <c r="E107" s="18" t="s">
        <v>434</v>
      </c>
      <c r="F107" s="141" t="s">
        <v>470</v>
      </c>
      <c r="G107" s="18">
        <v>12269001</v>
      </c>
      <c r="H107" s="18" t="s">
        <v>471</v>
      </c>
      <c r="I107" s="135">
        <v>925945542</v>
      </c>
      <c r="J107" s="135">
        <v>871878142</v>
      </c>
      <c r="K107" s="137" t="s">
        <v>441</v>
      </c>
      <c r="L107" s="18">
        <v>100</v>
      </c>
      <c r="M107" s="15">
        <v>100</v>
      </c>
      <c r="N107" s="15"/>
      <c r="O107" s="15">
        <v>0</v>
      </c>
      <c r="P107" s="140">
        <v>0.8</v>
      </c>
      <c r="Q107" s="137" t="s">
        <v>442</v>
      </c>
      <c r="R107" s="139"/>
      <c r="S107" s="139"/>
      <c r="T107" s="139"/>
      <c r="U107" s="139"/>
    </row>
    <row r="108" spans="1:21" ht="357" x14ac:dyDescent="0.25">
      <c r="A108" s="18" t="s">
        <v>55</v>
      </c>
      <c r="B108" s="18" t="s">
        <v>354</v>
      </c>
      <c r="C108" s="18" t="s">
        <v>355</v>
      </c>
      <c r="D108" s="18">
        <v>241120600</v>
      </c>
      <c r="E108" s="18" t="s">
        <v>434</v>
      </c>
      <c r="F108" s="141" t="s">
        <v>470</v>
      </c>
      <c r="G108" s="18">
        <v>12269090</v>
      </c>
      <c r="H108" s="18" t="s">
        <v>472</v>
      </c>
      <c r="I108" s="135">
        <v>26000000</v>
      </c>
      <c r="J108" s="135">
        <v>26000000</v>
      </c>
      <c r="K108" s="137" t="s">
        <v>441</v>
      </c>
      <c r="L108" s="18">
        <v>100</v>
      </c>
      <c r="M108" s="15">
        <v>100</v>
      </c>
      <c r="N108" s="15"/>
      <c r="O108" s="15">
        <v>0</v>
      </c>
      <c r="P108" s="140">
        <v>0.8</v>
      </c>
      <c r="Q108" s="137" t="s">
        <v>442</v>
      </c>
      <c r="R108" s="139"/>
      <c r="S108" s="139"/>
      <c r="T108" s="139"/>
      <c r="U108" s="139"/>
    </row>
    <row r="109" spans="1:21" ht="357" x14ac:dyDescent="0.25">
      <c r="A109" s="18" t="s">
        <v>55</v>
      </c>
      <c r="B109" s="18" t="s">
        <v>354</v>
      </c>
      <c r="C109" s="18" t="s">
        <v>355</v>
      </c>
      <c r="D109" s="18">
        <v>241120600</v>
      </c>
      <c r="E109" s="18" t="s">
        <v>434</v>
      </c>
      <c r="F109" s="141" t="s">
        <v>473</v>
      </c>
      <c r="G109" s="18">
        <v>12270001</v>
      </c>
      <c r="H109" s="18" t="s">
        <v>474</v>
      </c>
      <c r="I109" s="135">
        <v>401461907</v>
      </c>
      <c r="J109" s="135">
        <v>401461907</v>
      </c>
      <c r="K109" s="137" t="s">
        <v>441</v>
      </c>
      <c r="L109" s="18">
        <v>100</v>
      </c>
      <c r="M109" s="15">
        <v>100</v>
      </c>
      <c r="N109" s="15"/>
      <c r="O109" s="15">
        <v>0</v>
      </c>
      <c r="P109" s="140">
        <v>0.8</v>
      </c>
      <c r="Q109" s="137" t="s">
        <v>442</v>
      </c>
      <c r="R109" s="139"/>
      <c r="S109" s="139"/>
      <c r="T109" s="139"/>
      <c r="U109" s="139"/>
    </row>
    <row r="110" spans="1:21" ht="344.25" x14ac:dyDescent="0.25">
      <c r="A110" s="18" t="s">
        <v>55</v>
      </c>
      <c r="B110" s="18" t="s">
        <v>354</v>
      </c>
      <c r="C110" s="18" t="s">
        <v>355</v>
      </c>
      <c r="D110" s="18">
        <v>241120600</v>
      </c>
      <c r="E110" s="18" t="s">
        <v>434</v>
      </c>
      <c r="F110" s="141" t="s">
        <v>473</v>
      </c>
      <c r="G110" s="18">
        <v>12270002</v>
      </c>
      <c r="H110" s="18" t="s">
        <v>474</v>
      </c>
      <c r="I110" s="135">
        <v>51305342</v>
      </c>
      <c r="J110" s="135">
        <v>51305342</v>
      </c>
      <c r="K110" s="137" t="s">
        <v>441</v>
      </c>
      <c r="L110" s="18">
        <v>100</v>
      </c>
      <c r="M110" s="15">
        <v>100</v>
      </c>
      <c r="N110" s="15"/>
      <c r="O110" s="15">
        <v>0</v>
      </c>
      <c r="P110" s="140">
        <v>0.8</v>
      </c>
      <c r="Q110" s="137" t="s">
        <v>475</v>
      </c>
      <c r="R110" s="139"/>
      <c r="S110" s="139"/>
      <c r="T110" s="139"/>
      <c r="U110" s="139"/>
    </row>
    <row r="111" spans="1:21" ht="357" x14ac:dyDescent="0.25">
      <c r="A111" s="18" t="s">
        <v>55</v>
      </c>
      <c r="B111" s="18" t="s">
        <v>354</v>
      </c>
      <c r="C111" s="18" t="s">
        <v>355</v>
      </c>
      <c r="D111" s="18">
        <v>241120600</v>
      </c>
      <c r="E111" s="18" t="s">
        <v>434</v>
      </c>
      <c r="F111" s="141" t="s">
        <v>473</v>
      </c>
      <c r="G111" s="18">
        <v>12270003</v>
      </c>
      <c r="H111" s="18" t="s">
        <v>476</v>
      </c>
      <c r="I111" s="144">
        <v>447882736</v>
      </c>
      <c r="J111" s="135">
        <v>447882736</v>
      </c>
      <c r="K111" s="137" t="s">
        <v>441</v>
      </c>
      <c r="L111" s="18">
        <v>100</v>
      </c>
      <c r="M111" s="15">
        <v>100</v>
      </c>
      <c r="N111" s="15"/>
      <c r="O111" s="15">
        <v>0</v>
      </c>
      <c r="P111" s="140">
        <v>0.8</v>
      </c>
      <c r="Q111" s="137" t="s">
        <v>477</v>
      </c>
      <c r="R111" s="139"/>
      <c r="S111" s="139"/>
      <c r="T111" s="139"/>
      <c r="U111" s="139"/>
    </row>
    <row r="112" spans="1:21" ht="357" x14ac:dyDescent="0.25">
      <c r="A112" s="18" t="s">
        <v>55</v>
      </c>
      <c r="B112" s="18" t="s">
        <v>354</v>
      </c>
      <c r="C112" s="18" t="s">
        <v>355</v>
      </c>
      <c r="D112" s="18">
        <v>241120600</v>
      </c>
      <c r="E112" s="18" t="s">
        <v>434</v>
      </c>
      <c r="F112" s="141" t="s">
        <v>473</v>
      </c>
      <c r="G112" s="18">
        <v>12270090</v>
      </c>
      <c r="H112" s="18" t="s">
        <v>476</v>
      </c>
      <c r="I112" s="135">
        <v>263277000</v>
      </c>
      <c r="J112" s="135">
        <v>263277000</v>
      </c>
      <c r="K112" s="137" t="s">
        <v>441</v>
      </c>
      <c r="L112" s="18">
        <v>100</v>
      </c>
      <c r="M112" s="15">
        <v>100</v>
      </c>
      <c r="N112" s="15"/>
      <c r="O112" s="15">
        <v>0</v>
      </c>
      <c r="P112" s="140">
        <v>0.8</v>
      </c>
      <c r="Q112" s="137" t="s">
        <v>442</v>
      </c>
      <c r="R112" s="139"/>
      <c r="S112" s="139"/>
      <c r="T112" s="139"/>
      <c r="U112" s="139"/>
    </row>
    <row r="113" spans="1:21" ht="357" x14ac:dyDescent="0.25">
      <c r="A113" s="18" t="s">
        <v>55</v>
      </c>
      <c r="B113" s="18" t="s">
        <v>354</v>
      </c>
      <c r="C113" s="18" t="s">
        <v>355</v>
      </c>
      <c r="D113" s="18">
        <v>241120600</v>
      </c>
      <c r="E113" s="18" t="s">
        <v>434</v>
      </c>
      <c r="F113" s="141" t="s">
        <v>478</v>
      </c>
      <c r="G113" s="18">
        <v>12272090</v>
      </c>
      <c r="H113" s="18" t="s">
        <v>479</v>
      </c>
      <c r="I113" s="135">
        <v>479720000</v>
      </c>
      <c r="J113" s="135">
        <v>479720000</v>
      </c>
      <c r="K113" s="137" t="s">
        <v>441</v>
      </c>
      <c r="L113" s="18">
        <v>100</v>
      </c>
      <c r="M113" s="15">
        <v>100</v>
      </c>
      <c r="N113" s="15"/>
      <c r="O113" s="15">
        <v>0</v>
      </c>
      <c r="P113" s="140">
        <v>0.8</v>
      </c>
      <c r="Q113" s="137" t="s">
        <v>442</v>
      </c>
      <c r="R113" s="139"/>
      <c r="S113" s="139"/>
      <c r="T113" s="139"/>
      <c r="U113" s="139"/>
    </row>
    <row r="114" spans="1:21" ht="357" x14ac:dyDescent="0.25">
      <c r="A114" s="18" t="s">
        <v>55</v>
      </c>
      <c r="B114" s="18" t="s">
        <v>354</v>
      </c>
      <c r="C114" s="18" t="s">
        <v>355</v>
      </c>
      <c r="D114" s="18">
        <v>241120600</v>
      </c>
      <c r="E114" s="18" t="s">
        <v>434</v>
      </c>
      <c r="F114" s="141" t="s">
        <v>478</v>
      </c>
      <c r="G114" s="18">
        <v>12272001</v>
      </c>
      <c r="H114" s="18" t="s">
        <v>479</v>
      </c>
      <c r="I114" s="135">
        <v>4427479948</v>
      </c>
      <c r="J114" s="135">
        <v>5632300692</v>
      </c>
      <c r="K114" s="137" t="s">
        <v>441</v>
      </c>
      <c r="L114" s="18">
        <v>100</v>
      </c>
      <c r="M114" s="15">
        <v>100</v>
      </c>
      <c r="N114" s="15"/>
      <c r="O114" s="15">
        <v>0</v>
      </c>
      <c r="P114" s="140">
        <v>0.8</v>
      </c>
      <c r="Q114" s="137" t="s">
        <v>442</v>
      </c>
      <c r="R114" s="139"/>
      <c r="S114" s="139"/>
      <c r="T114" s="139"/>
      <c r="U114" s="139"/>
    </row>
    <row r="115" spans="1:21" ht="168.75" customHeight="1" x14ac:dyDescent="0.25">
      <c r="A115" s="18" t="s">
        <v>55</v>
      </c>
      <c r="B115" s="18" t="s">
        <v>354</v>
      </c>
      <c r="C115" s="18" t="s">
        <v>355</v>
      </c>
      <c r="D115" s="18">
        <v>241120600</v>
      </c>
      <c r="E115" s="18" t="s">
        <v>434</v>
      </c>
      <c r="F115" s="141" t="s">
        <v>480</v>
      </c>
      <c r="G115" s="18">
        <v>12273001</v>
      </c>
      <c r="H115" s="18" t="s">
        <v>481</v>
      </c>
      <c r="I115" s="135">
        <v>1053048189</v>
      </c>
      <c r="J115" s="135">
        <v>853048189</v>
      </c>
      <c r="K115" s="18" t="s">
        <v>482</v>
      </c>
      <c r="L115" s="18">
        <v>70</v>
      </c>
      <c r="M115" s="136">
        <v>70</v>
      </c>
      <c r="N115" s="15"/>
      <c r="O115" s="15">
        <v>0</v>
      </c>
      <c r="P115" s="140">
        <v>22.5</v>
      </c>
      <c r="Q115" s="137" t="s">
        <v>483</v>
      </c>
      <c r="R115" s="139"/>
      <c r="S115" s="139"/>
      <c r="T115" s="139"/>
      <c r="U115" s="139"/>
    </row>
    <row r="116" spans="1:21" ht="409.5" x14ac:dyDescent="0.25">
      <c r="A116" s="18" t="s">
        <v>55</v>
      </c>
      <c r="B116" s="18" t="s">
        <v>354</v>
      </c>
      <c r="C116" s="18" t="s">
        <v>355</v>
      </c>
      <c r="D116" s="18">
        <v>241120600</v>
      </c>
      <c r="E116" s="18" t="s">
        <v>434</v>
      </c>
      <c r="F116" s="141" t="s">
        <v>480</v>
      </c>
      <c r="G116" s="18">
        <v>12273001</v>
      </c>
      <c r="H116" s="18" t="s">
        <v>481</v>
      </c>
      <c r="I116" s="43">
        <v>1053048189</v>
      </c>
      <c r="J116" s="18"/>
      <c r="K116" s="18" t="s">
        <v>484</v>
      </c>
      <c r="L116" s="18">
        <v>67.400000000000006</v>
      </c>
      <c r="M116" s="136">
        <v>67.400000000000006</v>
      </c>
      <c r="N116" s="15"/>
      <c r="O116" s="137">
        <v>32.81</v>
      </c>
      <c r="P116" s="140">
        <v>72.2</v>
      </c>
      <c r="Q116" s="145" t="s">
        <v>485</v>
      </c>
      <c r="R116" s="139"/>
      <c r="S116" s="139"/>
      <c r="T116" s="139"/>
      <c r="U116" s="139"/>
    </row>
    <row r="117" spans="1:21" ht="369.75" x14ac:dyDescent="0.25">
      <c r="A117" s="18" t="s">
        <v>55</v>
      </c>
      <c r="B117" s="18" t="s">
        <v>354</v>
      </c>
      <c r="C117" s="18" t="s">
        <v>355</v>
      </c>
      <c r="D117" s="18">
        <v>241120600</v>
      </c>
      <c r="E117" s="18" t="s">
        <v>434</v>
      </c>
      <c r="F117" s="141" t="s">
        <v>480</v>
      </c>
      <c r="G117" s="18">
        <v>12273001</v>
      </c>
      <c r="H117" s="18" t="s">
        <v>481</v>
      </c>
      <c r="I117" s="43">
        <v>1053048189</v>
      </c>
      <c r="J117" s="18"/>
      <c r="K117" s="18" t="s">
        <v>486</v>
      </c>
      <c r="L117" s="18">
        <v>3.4</v>
      </c>
      <c r="M117" s="136">
        <v>3.4</v>
      </c>
      <c r="N117" s="15"/>
      <c r="O117" s="137">
        <v>1.81</v>
      </c>
      <c r="P117" s="15">
        <v>4.2</v>
      </c>
      <c r="Q117" s="145" t="s">
        <v>487</v>
      </c>
      <c r="R117" s="139"/>
      <c r="S117" s="139"/>
      <c r="T117" s="139"/>
      <c r="U117" s="139"/>
    </row>
    <row r="118" spans="1:21" ht="382.5" x14ac:dyDescent="0.25">
      <c r="A118" s="18" t="s">
        <v>55</v>
      </c>
      <c r="B118" s="18" t="s">
        <v>354</v>
      </c>
      <c r="C118" s="18" t="s">
        <v>355</v>
      </c>
      <c r="D118" s="18">
        <v>241120600</v>
      </c>
      <c r="E118" s="18" t="s">
        <v>434</v>
      </c>
      <c r="F118" s="141" t="s">
        <v>480</v>
      </c>
      <c r="G118" s="15">
        <v>12273001</v>
      </c>
      <c r="H118" s="15" t="s">
        <v>481</v>
      </c>
      <c r="I118" s="135">
        <v>1053048189</v>
      </c>
      <c r="J118" s="18"/>
      <c r="K118" s="18" t="s">
        <v>488</v>
      </c>
      <c r="L118" s="18">
        <v>25</v>
      </c>
      <c r="M118" s="136">
        <v>25</v>
      </c>
      <c r="N118" s="15"/>
      <c r="O118" s="137">
        <v>10.4</v>
      </c>
      <c r="P118" s="140">
        <v>11.3</v>
      </c>
      <c r="Q118" s="137" t="s">
        <v>489</v>
      </c>
      <c r="R118" s="139"/>
      <c r="S118" s="139"/>
      <c r="T118" s="139"/>
      <c r="U118" s="139"/>
    </row>
    <row r="119" spans="1:21" ht="140.25" x14ac:dyDescent="0.25">
      <c r="A119" s="18" t="s">
        <v>55</v>
      </c>
      <c r="B119" s="18" t="s">
        <v>354</v>
      </c>
      <c r="C119" s="18" t="s">
        <v>355</v>
      </c>
      <c r="D119" s="18">
        <v>241120600</v>
      </c>
      <c r="E119" s="18" t="s">
        <v>434</v>
      </c>
      <c r="F119" s="141" t="s">
        <v>480</v>
      </c>
      <c r="G119" s="18">
        <v>12273090</v>
      </c>
      <c r="H119" s="18" t="s">
        <v>490</v>
      </c>
      <c r="I119" s="135">
        <v>0</v>
      </c>
      <c r="J119" s="135">
        <v>0</v>
      </c>
      <c r="K119" s="18" t="s">
        <v>482</v>
      </c>
      <c r="L119" s="18">
        <v>70</v>
      </c>
      <c r="M119" s="136">
        <v>70</v>
      </c>
      <c r="N119" s="15"/>
      <c r="O119" s="15">
        <v>0</v>
      </c>
      <c r="P119" s="140">
        <v>22.5</v>
      </c>
      <c r="Q119" s="137" t="s">
        <v>483</v>
      </c>
      <c r="R119" s="139"/>
      <c r="S119" s="139"/>
      <c r="T119" s="139"/>
      <c r="U119" s="139"/>
    </row>
    <row r="120" spans="1:21" ht="409.5" x14ac:dyDescent="0.25">
      <c r="A120" s="18" t="s">
        <v>55</v>
      </c>
      <c r="B120" s="18" t="s">
        <v>354</v>
      </c>
      <c r="C120" s="18" t="s">
        <v>355</v>
      </c>
      <c r="D120" s="18">
        <v>241120600</v>
      </c>
      <c r="E120" s="18" t="s">
        <v>434</v>
      </c>
      <c r="F120" s="141" t="s">
        <v>480</v>
      </c>
      <c r="G120" s="18">
        <v>12273090</v>
      </c>
      <c r="H120" s="18" t="s">
        <v>490</v>
      </c>
      <c r="I120" s="18">
        <v>0</v>
      </c>
      <c r="J120" s="18"/>
      <c r="K120" s="18" t="s">
        <v>484</v>
      </c>
      <c r="L120" s="18">
        <v>67.400000000000006</v>
      </c>
      <c r="M120" s="136">
        <v>67.400000000000006</v>
      </c>
      <c r="N120" s="15"/>
      <c r="O120" s="137">
        <v>32.81</v>
      </c>
      <c r="P120" s="140">
        <v>72.2</v>
      </c>
      <c r="Q120" s="145" t="s">
        <v>485</v>
      </c>
      <c r="R120" s="139"/>
      <c r="S120" s="139"/>
      <c r="T120" s="139"/>
      <c r="U120" s="139"/>
    </row>
    <row r="121" spans="1:21" ht="369.75" x14ac:dyDescent="0.25">
      <c r="A121" s="18" t="s">
        <v>55</v>
      </c>
      <c r="B121" s="18" t="s">
        <v>354</v>
      </c>
      <c r="C121" s="18" t="s">
        <v>355</v>
      </c>
      <c r="D121" s="18">
        <v>241120600</v>
      </c>
      <c r="E121" s="18" t="s">
        <v>434</v>
      </c>
      <c r="F121" s="141" t="s">
        <v>480</v>
      </c>
      <c r="G121" s="18">
        <v>12273090</v>
      </c>
      <c r="H121" s="18" t="s">
        <v>490</v>
      </c>
      <c r="I121" s="18">
        <v>0</v>
      </c>
      <c r="J121" s="18"/>
      <c r="K121" s="18" t="s">
        <v>486</v>
      </c>
      <c r="L121" s="18">
        <v>3.4</v>
      </c>
      <c r="M121" s="136">
        <v>3.4</v>
      </c>
      <c r="N121" s="15"/>
      <c r="O121" s="137">
        <v>1.81</v>
      </c>
      <c r="P121" s="15">
        <v>4.2</v>
      </c>
      <c r="Q121" s="145" t="s">
        <v>487</v>
      </c>
      <c r="R121" s="139"/>
      <c r="S121" s="139"/>
      <c r="T121" s="139"/>
      <c r="U121" s="139"/>
    </row>
    <row r="122" spans="1:21" ht="382.5" x14ac:dyDescent="0.25">
      <c r="A122" s="18" t="s">
        <v>55</v>
      </c>
      <c r="B122" s="18" t="s">
        <v>354</v>
      </c>
      <c r="C122" s="18" t="s">
        <v>355</v>
      </c>
      <c r="D122" s="18">
        <v>241120600</v>
      </c>
      <c r="E122" s="18" t="s">
        <v>434</v>
      </c>
      <c r="F122" s="141" t="s">
        <v>480</v>
      </c>
      <c r="G122" s="18">
        <v>12273090</v>
      </c>
      <c r="H122" s="18" t="s">
        <v>490</v>
      </c>
      <c r="I122" s="18">
        <v>0</v>
      </c>
      <c r="J122" s="18"/>
      <c r="K122" s="18" t="s">
        <v>488</v>
      </c>
      <c r="L122" s="18">
        <v>25</v>
      </c>
      <c r="M122" s="136">
        <v>25</v>
      </c>
      <c r="N122" s="15"/>
      <c r="O122" s="137">
        <v>10.4</v>
      </c>
      <c r="P122" s="140">
        <v>11.3</v>
      </c>
      <c r="Q122" s="137" t="s">
        <v>489</v>
      </c>
      <c r="R122" s="139"/>
      <c r="S122" s="139"/>
      <c r="T122" s="139"/>
      <c r="U122" s="139"/>
    </row>
    <row r="123" spans="1:21" ht="357" x14ac:dyDescent="0.25">
      <c r="A123" s="18" t="s">
        <v>55</v>
      </c>
      <c r="B123" s="18" t="s">
        <v>354</v>
      </c>
      <c r="C123" s="18" t="s">
        <v>355</v>
      </c>
      <c r="D123" s="18">
        <v>241120600</v>
      </c>
      <c r="E123" s="18" t="s">
        <v>434</v>
      </c>
      <c r="F123" s="141" t="s">
        <v>491</v>
      </c>
      <c r="G123" s="18">
        <v>12298001</v>
      </c>
      <c r="H123" s="18" t="s">
        <v>492</v>
      </c>
      <c r="I123" s="135">
        <v>1636577000</v>
      </c>
      <c r="J123" s="135">
        <v>1636577000</v>
      </c>
      <c r="K123" s="18" t="s">
        <v>441</v>
      </c>
      <c r="L123" s="18">
        <v>100</v>
      </c>
      <c r="M123" s="15">
        <v>100</v>
      </c>
      <c r="N123" s="15"/>
      <c r="O123" s="15">
        <v>0</v>
      </c>
      <c r="P123" s="140">
        <v>0.8</v>
      </c>
      <c r="Q123" s="137" t="s">
        <v>442</v>
      </c>
      <c r="R123" s="139"/>
      <c r="S123" s="139"/>
      <c r="T123" s="139"/>
      <c r="U123" s="139"/>
    </row>
    <row r="124" spans="1:21" ht="357" x14ac:dyDescent="0.25">
      <c r="A124" s="18" t="s">
        <v>55</v>
      </c>
      <c r="B124" s="18" t="s">
        <v>354</v>
      </c>
      <c r="C124" s="18" t="s">
        <v>355</v>
      </c>
      <c r="D124" s="18">
        <v>241120600</v>
      </c>
      <c r="E124" s="18" t="s">
        <v>434</v>
      </c>
      <c r="F124" s="141" t="s">
        <v>491</v>
      </c>
      <c r="G124" s="18">
        <v>12298090</v>
      </c>
      <c r="H124" s="18" t="s">
        <v>492</v>
      </c>
      <c r="I124" s="135">
        <v>129061000</v>
      </c>
      <c r="J124" s="135">
        <v>129061000</v>
      </c>
      <c r="K124" s="18" t="s">
        <v>441</v>
      </c>
      <c r="L124" s="18">
        <v>100</v>
      </c>
      <c r="M124" s="15">
        <v>100</v>
      </c>
      <c r="N124" s="15"/>
      <c r="O124" s="15">
        <v>0</v>
      </c>
      <c r="P124" s="140">
        <v>0.8</v>
      </c>
      <c r="Q124" s="137" t="s">
        <v>442</v>
      </c>
      <c r="R124" s="139"/>
      <c r="S124" s="139"/>
      <c r="T124" s="139"/>
      <c r="U124" s="139"/>
    </row>
    <row r="125" spans="1:21" ht="357" x14ac:dyDescent="0.25">
      <c r="A125" s="18" t="s">
        <v>55</v>
      </c>
      <c r="B125" s="18" t="s">
        <v>354</v>
      </c>
      <c r="C125" s="18" t="s">
        <v>355</v>
      </c>
      <c r="D125" s="18">
        <v>241120600</v>
      </c>
      <c r="E125" s="18" t="s">
        <v>434</v>
      </c>
      <c r="F125" s="141" t="s">
        <v>493</v>
      </c>
      <c r="G125" s="18">
        <v>12299001</v>
      </c>
      <c r="H125" s="18" t="s">
        <v>494</v>
      </c>
      <c r="I125" s="135">
        <v>17380410</v>
      </c>
      <c r="J125" s="135"/>
      <c r="K125" s="18" t="s">
        <v>495</v>
      </c>
      <c r="L125" s="18">
        <v>95</v>
      </c>
      <c r="M125" s="15">
        <v>95</v>
      </c>
      <c r="N125" s="15"/>
      <c r="O125" s="137">
        <v>93.5</v>
      </c>
      <c r="P125" s="140">
        <v>83</v>
      </c>
      <c r="Q125" s="145" t="s">
        <v>496</v>
      </c>
      <c r="R125" s="139"/>
      <c r="S125" s="139"/>
      <c r="T125" s="139"/>
      <c r="U125" s="139"/>
    </row>
    <row r="126" spans="1:21" ht="318.75" x14ac:dyDescent="0.25">
      <c r="A126" s="18" t="s">
        <v>55</v>
      </c>
      <c r="B126" s="18" t="s">
        <v>354</v>
      </c>
      <c r="C126" s="18" t="s">
        <v>355</v>
      </c>
      <c r="D126" s="18">
        <v>241120600</v>
      </c>
      <c r="E126" s="18" t="s">
        <v>434</v>
      </c>
      <c r="F126" s="141" t="s">
        <v>493</v>
      </c>
      <c r="G126" s="18">
        <v>12299002</v>
      </c>
      <c r="H126" s="18" t="s">
        <v>497</v>
      </c>
      <c r="I126" s="135">
        <v>340429973</v>
      </c>
      <c r="J126" s="135">
        <v>80429973</v>
      </c>
      <c r="K126" s="18" t="s">
        <v>498</v>
      </c>
      <c r="L126" s="18">
        <v>85</v>
      </c>
      <c r="M126" s="136">
        <v>85</v>
      </c>
      <c r="N126" s="15"/>
      <c r="O126" s="137">
        <v>64</v>
      </c>
      <c r="P126" s="140">
        <v>76</v>
      </c>
      <c r="Q126" s="145" t="s">
        <v>499</v>
      </c>
      <c r="R126" s="139"/>
      <c r="S126" s="139"/>
      <c r="T126" s="139"/>
      <c r="U126" s="139"/>
    </row>
    <row r="127" spans="1:21" ht="45" x14ac:dyDescent="0.25">
      <c r="A127" s="18"/>
      <c r="B127" s="18"/>
      <c r="C127" s="18"/>
      <c r="D127" s="18"/>
      <c r="E127" s="18"/>
      <c r="F127" s="141"/>
      <c r="G127" s="18"/>
      <c r="H127" s="18"/>
      <c r="I127" s="135"/>
      <c r="J127" s="18"/>
      <c r="K127" s="18" t="s">
        <v>495</v>
      </c>
      <c r="L127" s="18">
        <v>95</v>
      </c>
      <c r="M127" s="136">
        <v>93.5</v>
      </c>
      <c r="N127" s="15"/>
      <c r="O127" s="137">
        <v>93.5</v>
      </c>
      <c r="P127" s="140">
        <v>83</v>
      </c>
      <c r="Q127" s="15"/>
      <c r="R127" s="139"/>
      <c r="S127" s="139"/>
      <c r="T127" s="139"/>
      <c r="U127" s="139"/>
    </row>
    <row r="128" spans="1:21" ht="318.75" x14ac:dyDescent="0.25">
      <c r="A128" s="18" t="s">
        <v>55</v>
      </c>
      <c r="B128" s="18" t="s">
        <v>354</v>
      </c>
      <c r="C128" s="18" t="s">
        <v>355</v>
      </c>
      <c r="D128" s="18">
        <v>241120600</v>
      </c>
      <c r="E128" s="18" t="s">
        <v>434</v>
      </c>
      <c r="F128" s="141" t="s">
        <v>493</v>
      </c>
      <c r="G128" s="18">
        <v>12299001</v>
      </c>
      <c r="H128" s="18" t="s">
        <v>497</v>
      </c>
      <c r="I128" s="135">
        <v>2427739504</v>
      </c>
      <c r="J128" s="135">
        <v>2427739504</v>
      </c>
      <c r="K128" s="18" t="s">
        <v>498</v>
      </c>
      <c r="L128" s="18">
        <v>85</v>
      </c>
      <c r="M128" s="136">
        <v>85</v>
      </c>
      <c r="N128" s="15"/>
      <c r="O128" s="137">
        <v>64</v>
      </c>
      <c r="P128" s="140">
        <v>76</v>
      </c>
      <c r="Q128" s="145" t="s">
        <v>499</v>
      </c>
      <c r="R128" s="139"/>
      <c r="S128" s="139"/>
      <c r="T128" s="139"/>
      <c r="U128" s="139"/>
    </row>
    <row r="129" spans="1:21" ht="318.75" x14ac:dyDescent="0.25">
      <c r="A129" s="18" t="s">
        <v>55</v>
      </c>
      <c r="B129" s="18" t="s">
        <v>354</v>
      </c>
      <c r="C129" s="18" t="s">
        <v>355</v>
      </c>
      <c r="D129" s="18">
        <v>241120600</v>
      </c>
      <c r="E129" s="18" t="s">
        <v>434</v>
      </c>
      <c r="F129" s="141" t="s">
        <v>493</v>
      </c>
      <c r="G129" s="18">
        <v>12299003</v>
      </c>
      <c r="H129" s="18" t="s">
        <v>500</v>
      </c>
      <c r="I129" s="135">
        <v>48380410</v>
      </c>
      <c r="J129" s="135">
        <v>17380410</v>
      </c>
      <c r="K129" s="18" t="s">
        <v>498</v>
      </c>
      <c r="L129" s="18">
        <v>85</v>
      </c>
      <c r="M129" s="136">
        <v>85</v>
      </c>
      <c r="N129" s="15"/>
      <c r="O129" s="137">
        <v>64</v>
      </c>
      <c r="P129" s="140">
        <v>76</v>
      </c>
      <c r="Q129" s="145" t="s">
        <v>499</v>
      </c>
      <c r="R129" s="139"/>
      <c r="S129" s="139"/>
      <c r="T129" s="139"/>
      <c r="U129" s="139"/>
    </row>
    <row r="130" spans="1:21" ht="45" x14ac:dyDescent="0.25">
      <c r="A130" s="18"/>
      <c r="B130" s="18"/>
      <c r="C130" s="18"/>
      <c r="D130" s="18"/>
      <c r="E130" s="18"/>
      <c r="F130" s="141"/>
      <c r="G130" s="18"/>
      <c r="H130" s="18"/>
      <c r="I130" s="135"/>
      <c r="J130" s="18"/>
      <c r="K130" s="18" t="s">
        <v>495</v>
      </c>
      <c r="L130" s="18">
        <v>95</v>
      </c>
      <c r="M130" s="136">
        <v>93.5</v>
      </c>
      <c r="N130" s="15"/>
      <c r="O130" s="136">
        <v>93.5</v>
      </c>
      <c r="P130" s="140">
        <v>83</v>
      </c>
      <c r="Q130" s="15"/>
      <c r="R130" s="139"/>
      <c r="S130" s="139"/>
      <c r="T130" s="139"/>
      <c r="U130" s="139"/>
    </row>
    <row r="131" spans="1:21" ht="318.75" x14ac:dyDescent="0.25">
      <c r="A131" s="18" t="s">
        <v>55</v>
      </c>
      <c r="B131" s="18" t="s">
        <v>354</v>
      </c>
      <c r="C131" s="18" t="s">
        <v>355</v>
      </c>
      <c r="D131" s="18">
        <v>241120600</v>
      </c>
      <c r="E131" s="18" t="s">
        <v>434</v>
      </c>
      <c r="F131" s="141" t="s">
        <v>493</v>
      </c>
      <c r="G131" s="18">
        <v>12299090</v>
      </c>
      <c r="H131" s="18" t="s">
        <v>501</v>
      </c>
      <c r="I131" s="135">
        <v>192547000</v>
      </c>
      <c r="J131" s="135">
        <v>192547000</v>
      </c>
      <c r="K131" s="18" t="s">
        <v>498</v>
      </c>
      <c r="L131" s="18">
        <v>85</v>
      </c>
      <c r="M131" s="136">
        <v>85</v>
      </c>
      <c r="N131" s="15"/>
      <c r="O131" s="137">
        <v>64</v>
      </c>
      <c r="P131" s="140">
        <v>76</v>
      </c>
      <c r="Q131" s="145" t="s">
        <v>499</v>
      </c>
      <c r="R131" s="139"/>
      <c r="S131" s="139"/>
      <c r="T131" s="139"/>
      <c r="U131" s="139"/>
    </row>
    <row r="132" spans="1:21" ht="45" x14ac:dyDescent="0.25">
      <c r="A132" s="18"/>
      <c r="B132" s="18"/>
      <c r="C132" s="18"/>
      <c r="D132" s="18"/>
      <c r="E132" s="18"/>
      <c r="F132" s="141"/>
      <c r="G132" s="18"/>
      <c r="H132" s="18"/>
      <c r="I132" s="18"/>
      <c r="J132" s="18"/>
      <c r="K132" s="18" t="s">
        <v>495</v>
      </c>
      <c r="L132" s="18">
        <v>95</v>
      </c>
      <c r="M132" s="136">
        <v>93.5</v>
      </c>
      <c r="N132" s="15"/>
      <c r="O132" s="136">
        <v>93.5</v>
      </c>
      <c r="P132" s="146">
        <v>83</v>
      </c>
      <c r="Q132" s="15"/>
      <c r="R132" s="139"/>
      <c r="S132" s="139"/>
      <c r="T132" s="139"/>
      <c r="U132" s="139"/>
    </row>
    <row r="133" spans="1:21" ht="114.75" x14ac:dyDescent="0.25">
      <c r="A133" s="18" t="s">
        <v>55</v>
      </c>
      <c r="B133" s="18" t="s">
        <v>354</v>
      </c>
      <c r="C133" s="18" t="s">
        <v>355</v>
      </c>
      <c r="D133" s="18">
        <v>241120600</v>
      </c>
      <c r="E133" s="18" t="s">
        <v>434</v>
      </c>
      <c r="F133" s="141" t="s">
        <v>502</v>
      </c>
      <c r="G133" s="18">
        <v>12724001</v>
      </c>
      <c r="H133" s="18" t="s">
        <v>503</v>
      </c>
      <c r="I133" s="135">
        <v>4533941587</v>
      </c>
      <c r="J133" s="135">
        <v>4533941587</v>
      </c>
      <c r="K133" s="18" t="s">
        <v>459</v>
      </c>
      <c r="L133" s="18">
        <v>16</v>
      </c>
      <c r="M133" s="136">
        <v>16</v>
      </c>
      <c r="N133" s="15"/>
      <c r="O133" s="137">
        <v>12.9</v>
      </c>
      <c r="P133" s="146">
        <v>16.600000000000001</v>
      </c>
      <c r="Q133" s="137" t="s">
        <v>460</v>
      </c>
      <c r="R133" s="139"/>
      <c r="S133" s="139"/>
      <c r="T133" s="139"/>
      <c r="U133" s="139"/>
    </row>
    <row r="134" spans="1:21" ht="114.75" x14ac:dyDescent="0.25">
      <c r="A134" s="18" t="s">
        <v>55</v>
      </c>
      <c r="B134" s="18" t="s">
        <v>354</v>
      </c>
      <c r="C134" s="18" t="s">
        <v>355</v>
      </c>
      <c r="D134" s="18">
        <v>241120600</v>
      </c>
      <c r="E134" s="18" t="s">
        <v>434</v>
      </c>
      <c r="F134" s="141" t="s">
        <v>502</v>
      </c>
      <c r="G134" s="18">
        <v>12724090</v>
      </c>
      <c r="H134" s="18" t="s">
        <v>504</v>
      </c>
      <c r="I134" s="135">
        <v>321889000</v>
      </c>
      <c r="J134" s="135">
        <v>321889000</v>
      </c>
      <c r="K134" s="18" t="s">
        <v>459</v>
      </c>
      <c r="L134" s="18">
        <v>16</v>
      </c>
      <c r="M134" s="136">
        <v>16</v>
      </c>
      <c r="N134" s="15"/>
      <c r="O134" s="137">
        <v>12.9</v>
      </c>
      <c r="P134" s="146">
        <v>16.600000000000001</v>
      </c>
      <c r="Q134" s="137" t="s">
        <v>460</v>
      </c>
      <c r="R134" s="139"/>
      <c r="S134" s="139"/>
      <c r="T134" s="139"/>
      <c r="U134" s="139"/>
    </row>
    <row r="135" spans="1:21" ht="357" x14ac:dyDescent="0.25">
      <c r="A135" s="18" t="s">
        <v>55</v>
      </c>
      <c r="B135" s="18" t="s">
        <v>354</v>
      </c>
      <c r="C135" s="18" t="s">
        <v>355</v>
      </c>
      <c r="D135" s="18">
        <v>241120600</v>
      </c>
      <c r="E135" s="18" t="s">
        <v>434</v>
      </c>
      <c r="F135" s="141" t="s">
        <v>505</v>
      </c>
      <c r="G135" s="18">
        <v>12851090</v>
      </c>
      <c r="H135" s="18" t="s">
        <v>506</v>
      </c>
      <c r="I135" s="135">
        <v>1400000000</v>
      </c>
      <c r="J135" s="135">
        <v>1338514337</v>
      </c>
      <c r="K135" s="18" t="s">
        <v>441</v>
      </c>
      <c r="L135" s="18">
        <v>100</v>
      </c>
      <c r="M135" s="15">
        <v>100</v>
      </c>
      <c r="N135" s="15"/>
      <c r="O135" s="15">
        <v>0</v>
      </c>
      <c r="P135" s="140">
        <v>0.8</v>
      </c>
      <c r="Q135" s="137" t="s">
        <v>442</v>
      </c>
      <c r="R135" s="139"/>
      <c r="S135" s="139"/>
      <c r="T135" s="139"/>
      <c r="U135" s="139"/>
    </row>
    <row r="136" spans="1:21" ht="357" x14ac:dyDescent="0.25">
      <c r="A136" s="18" t="s">
        <v>55</v>
      </c>
      <c r="B136" s="18" t="s">
        <v>354</v>
      </c>
      <c r="C136" s="18" t="s">
        <v>355</v>
      </c>
      <c r="D136" s="18">
        <v>241120600</v>
      </c>
      <c r="E136" s="74" t="s">
        <v>434</v>
      </c>
      <c r="F136" s="35" t="s">
        <v>505</v>
      </c>
      <c r="G136" s="35">
        <v>12851001</v>
      </c>
      <c r="H136" s="34" t="s">
        <v>506</v>
      </c>
      <c r="I136" s="135">
        <v>1536943472</v>
      </c>
      <c r="J136" s="135">
        <v>208950000</v>
      </c>
      <c r="K136" s="18" t="s">
        <v>441</v>
      </c>
      <c r="L136" s="18">
        <v>100</v>
      </c>
      <c r="M136" s="15">
        <v>100</v>
      </c>
      <c r="N136" s="15"/>
      <c r="O136" s="15">
        <v>0</v>
      </c>
      <c r="P136" s="140">
        <v>0.8</v>
      </c>
      <c r="Q136" s="137" t="s">
        <v>442</v>
      </c>
      <c r="R136" s="139"/>
      <c r="S136" s="139"/>
      <c r="T136" s="139"/>
      <c r="U136" s="139"/>
    </row>
    <row r="137" spans="1:21" ht="357" x14ac:dyDescent="0.25">
      <c r="A137" s="18" t="s">
        <v>55</v>
      </c>
      <c r="B137" s="18" t="s">
        <v>354</v>
      </c>
      <c r="C137" s="18" t="s">
        <v>355</v>
      </c>
      <c r="D137" s="18">
        <v>241120600</v>
      </c>
      <c r="E137" s="18" t="s">
        <v>434</v>
      </c>
      <c r="F137" s="141" t="s">
        <v>507</v>
      </c>
      <c r="G137" s="18">
        <v>12863001</v>
      </c>
      <c r="H137" s="18" t="s">
        <v>508</v>
      </c>
      <c r="I137" s="135">
        <v>208950000</v>
      </c>
      <c r="J137" s="135">
        <v>208950000</v>
      </c>
      <c r="K137" s="18" t="s">
        <v>441</v>
      </c>
      <c r="L137" s="18">
        <v>100</v>
      </c>
      <c r="M137" s="15">
        <v>100</v>
      </c>
      <c r="N137" s="15"/>
      <c r="O137" s="15">
        <v>0</v>
      </c>
      <c r="P137" s="140">
        <v>0.8</v>
      </c>
      <c r="Q137" s="137" t="s">
        <v>442</v>
      </c>
      <c r="R137" s="139"/>
      <c r="S137" s="139"/>
      <c r="T137" s="139"/>
      <c r="U137" s="139"/>
    </row>
    <row r="138" spans="1:21" ht="357" x14ac:dyDescent="0.25">
      <c r="A138" s="18" t="s">
        <v>55</v>
      </c>
      <c r="B138" s="18" t="s">
        <v>354</v>
      </c>
      <c r="C138" s="18" t="s">
        <v>355</v>
      </c>
      <c r="D138" s="18">
        <v>241120600</v>
      </c>
      <c r="E138" s="18" t="s">
        <v>434</v>
      </c>
      <c r="F138" s="141" t="s">
        <v>507</v>
      </c>
      <c r="G138" s="18">
        <v>12863090</v>
      </c>
      <c r="H138" s="18" t="s">
        <v>509</v>
      </c>
      <c r="I138" s="135">
        <v>9500000</v>
      </c>
      <c r="J138" s="135">
        <v>19500000</v>
      </c>
      <c r="K138" s="18" t="s">
        <v>441</v>
      </c>
      <c r="L138" s="18">
        <v>100</v>
      </c>
      <c r="M138" s="15">
        <v>100</v>
      </c>
      <c r="N138" s="15"/>
      <c r="O138" s="15">
        <v>0</v>
      </c>
      <c r="P138" s="140">
        <v>0.8</v>
      </c>
      <c r="Q138" s="137" t="s">
        <v>442</v>
      </c>
      <c r="R138" s="139"/>
      <c r="S138" s="139"/>
      <c r="T138" s="139"/>
      <c r="U138" s="139"/>
    </row>
    <row r="139" spans="1:21" ht="90" x14ac:dyDescent="0.25">
      <c r="A139" s="18" t="s">
        <v>55</v>
      </c>
      <c r="B139" s="18" t="s">
        <v>354</v>
      </c>
      <c r="C139" s="18" t="s">
        <v>355</v>
      </c>
      <c r="D139" s="18">
        <v>241120600</v>
      </c>
      <c r="E139" s="18" t="s">
        <v>434</v>
      </c>
      <c r="F139" s="141" t="s">
        <v>510</v>
      </c>
      <c r="G139" s="18">
        <v>12878001</v>
      </c>
      <c r="H139" s="18" t="s">
        <v>511</v>
      </c>
      <c r="I139" s="135">
        <v>960000000</v>
      </c>
      <c r="J139" s="135">
        <v>952643300</v>
      </c>
      <c r="K139" s="18" t="s">
        <v>512</v>
      </c>
      <c r="L139" s="18">
        <v>125</v>
      </c>
      <c r="M139" s="15">
        <v>125</v>
      </c>
      <c r="N139" s="15"/>
      <c r="O139" s="15">
        <v>0</v>
      </c>
      <c r="P139" s="140">
        <v>90</v>
      </c>
      <c r="Q139" s="147" t="s">
        <v>513</v>
      </c>
      <c r="R139" s="139"/>
      <c r="S139" s="139"/>
      <c r="T139" s="139"/>
      <c r="U139" s="139"/>
    </row>
    <row r="140" spans="1:21" ht="90" x14ac:dyDescent="0.25">
      <c r="A140" s="18" t="s">
        <v>55</v>
      </c>
      <c r="B140" s="18" t="s">
        <v>354</v>
      </c>
      <c r="C140" s="18" t="s">
        <v>355</v>
      </c>
      <c r="D140" s="18">
        <v>241120600</v>
      </c>
      <c r="E140" s="18" t="s">
        <v>434</v>
      </c>
      <c r="F140" s="141" t="s">
        <v>510</v>
      </c>
      <c r="G140" s="18">
        <v>12878090</v>
      </c>
      <c r="H140" s="18" t="s">
        <v>514</v>
      </c>
      <c r="I140" s="135">
        <v>15000000</v>
      </c>
      <c r="J140" s="135">
        <v>15000000</v>
      </c>
      <c r="K140" s="18" t="s">
        <v>512</v>
      </c>
      <c r="L140" s="18">
        <v>125</v>
      </c>
      <c r="M140" s="15">
        <v>125</v>
      </c>
      <c r="N140" s="15"/>
      <c r="O140" s="15">
        <v>0</v>
      </c>
      <c r="P140" s="140">
        <v>90</v>
      </c>
      <c r="Q140" s="147" t="s">
        <v>513</v>
      </c>
      <c r="R140" s="139"/>
      <c r="S140" s="139"/>
      <c r="T140" s="139"/>
      <c r="U140" s="139"/>
    </row>
    <row r="141" spans="1:21" ht="357" x14ac:dyDescent="0.25">
      <c r="A141" s="18" t="s">
        <v>55</v>
      </c>
      <c r="B141" s="18" t="s">
        <v>354</v>
      </c>
      <c r="C141" s="18" t="s">
        <v>355</v>
      </c>
      <c r="D141" s="18">
        <v>241120600</v>
      </c>
      <c r="E141" s="18" t="s">
        <v>434</v>
      </c>
      <c r="F141" s="141" t="s">
        <v>515</v>
      </c>
      <c r="G141" s="18">
        <v>12880001</v>
      </c>
      <c r="H141" s="18" t="s">
        <v>516</v>
      </c>
      <c r="I141" s="135">
        <v>200000000</v>
      </c>
      <c r="J141" s="135">
        <v>50000000</v>
      </c>
      <c r="K141" s="18" t="s">
        <v>441</v>
      </c>
      <c r="L141" s="18">
        <v>100</v>
      </c>
      <c r="M141" s="15">
        <v>100</v>
      </c>
      <c r="N141" s="15"/>
      <c r="O141" s="15">
        <v>0</v>
      </c>
      <c r="P141" s="140">
        <v>0.8</v>
      </c>
      <c r="Q141" s="137" t="s">
        <v>442</v>
      </c>
      <c r="R141" s="139"/>
      <c r="S141" s="139"/>
      <c r="T141" s="139"/>
      <c r="U141" s="139"/>
    </row>
    <row r="142" spans="1:21" ht="357" x14ac:dyDescent="0.25">
      <c r="A142" s="18" t="s">
        <v>55</v>
      </c>
      <c r="B142" s="18" t="s">
        <v>354</v>
      </c>
      <c r="C142" s="18" t="s">
        <v>355</v>
      </c>
      <c r="D142" s="18">
        <v>241120600</v>
      </c>
      <c r="E142" s="18" t="s">
        <v>434</v>
      </c>
      <c r="F142" s="141" t="s">
        <v>515</v>
      </c>
      <c r="G142" s="18">
        <v>12880090</v>
      </c>
      <c r="H142" s="18" t="s">
        <v>517</v>
      </c>
      <c r="I142" s="135">
        <v>15582000</v>
      </c>
      <c r="J142" s="135">
        <v>15582000</v>
      </c>
      <c r="K142" s="18" t="s">
        <v>441</v>
      </c>
      <c r="L142" s="18">
        <v>100</v>
      </c>
      <c r="M142" s="15">
        <v>100</v>
      </c>
      <c r="N142" s="15"/>
      <c r="O142" s="15">
        <v>0</v>
      </c>
      <c r="P142" s="140">
        <v>0.8</v>
      </c>
      <c r="Q142" s="137" t="s">
        <v>442</v>
      </c>
      <c r="R142" s="139"/>
      <c r="S142" s="139"/>
      <c r="T142" s="139"/>
      <c r="U142" s="139"/>
    </row>
    <row r="143" spans="1:21" ht="357" x14ac:dyDescent="0.25">
      <c r="A143" s="18" t="s">
        <v>55</v>
      </c>
      <c r="B143" s="18" t="s">
        <v>354</v>
      </c>
      <c r="C143" s="18" t="s">
        <v>355</v>
      </c>
      <c r="D143" s="18">
        <v>241120600</v>
      </c>
      <c r="E143" s="18" t="s">
        <v>434</v>
      </c>
      <c r="F143" s="141" t="s">
        <v>518</v>
      </c>
      <c r="G143" s="18">
        <v>13122090</v>
      </c>
      <c r="H143" s="18" t="s">
        <v>519</v>
      </c>
      <c r="I143" s="135">
        <v>177133993</v>
      </c>
      <c r="J143" s="135">
        <v>177133993</v>
      </c>
      <c r="K143" s="18" t="s">
        <v>441</v>
      </c>
      <c r="L143" s="18">
        <v>100</v>
      </c>
      <c r="M143" s="15">
        <v>100</v>
      </c>
      <c r="N143" s="15"/>
      <c r="O143" s="15">
        <v>0</v>
      </c>
      <c r="P143" s="140">
        <v>0.8</v>
      </c>
      <c r="Q143" s="137" t="s">
        <v>442</v>
      </c>
      <c r="R143" s="139"/>
      <c r="S143" s="139"/>
      <c r="T143" s="139"/>
      <c r="U143" s="139"/>
    </row>
    <row r="144" spans="1:21" ht="357" x14ac:dyDescent="0.25">
      <c r="A144" s="18" t="s">
        <v>55</v>
      </c>
      <c r="B144" s="18" t="s">
        <v>354</v>
      </c>
      <c r="C144" s="18" t="s">
        <v>355</v>
      </c>
      <c r="D144" s="18">
        <v>241120600</v>
      </c>
      <c r="E144" s="18" t="s">
        <v>434</v>
      </c>
      <c r="F144" s="141" t="s">
        <v>518</v>
      </c>
      <c r="G144" s="18">
        <v>13122001</v>
      </c>
      <c r="H144" s="18" t="s">
        <v>519</v>
      </c>
      <c r="I144" s="135">
        <v>684838976</v>
      </c>
      <c r="J144" s="135">
        <v>684838976</v>
      </c>
      <c r="K144" s="18" t="s">
        <v>441</v>
      </c>
      <c r="L144" s="18">
        <v>100</v>
      </c>
      <c r="M144" s="15">
        <v>100</v>
      </c>
      <c r="N144" s="15"/>
      <c r="O144" s="15">
        <v>0</v>
      </c>
      <c r="P144" s="140">
        <v>0.8</v>
      </c>
      <c r="Q144" s="137" t="s">
        <v>442</v>
      </c>
      <c r="R144" s="139"/>
      <c r="S144" s="139"/>
      <c r="T144" s="139"/>
      <c r="U144" s="139"/>
    </row>
    <row r="145" spans="1:21" ht="357" x14ac:dyDescent="0.25">
      <c r="A145" s="18" t="s">
        <v>55</v>
      </c>
      <c r="B145" s="18" t="s">
        <v>354</v>
      </c>
      <c r="C145" s="18" t="s">
        <v>355</v>
      </c>
      <c r="D145" s="18">
        <v>241120600</v>
      </c>
      <c r="E145" s="18" t="s">
        <v>434</v>
      </c>
      <c r="F145" s="141" t="s">
        <v>520</v>
      </c>
      <c r="G145" s="18">
        <v>14047001</v>
      </c>
      <c r="H145" s="18" t="s">
        <v>521</v>
      </c>
      <c r="I145" s="135">
        <v>675923968</v>
      </c>
      <c r="J145" s="135">
        <v>590107968</v>
      </c>
      <c r="K145" s="18" t="s">
        <v>441</v>
      </c>
      <c r="L145" s="18">
        <v>100</v>
      </c>
      <c r="M145" s="15">
        <v>100</v>
      </c>
      <c r="N145" s="15"/>
      <c r="O145" s="15">
        <v>0</v>
      </c>
      <c r="P145" s="140">
        <v>0.8</v>
      </c>
      <c r="Q145" s="137" t="s">
        <v>442</v>
      </c>
      <c r="R145" s="139"/>
      <c r="S145" s="139"/>
      <c r="T145" s="139"/>
      <c r="U145" s="139"/>
    </row>
    <row r="146" spans="1:21" ht="357" x14ac:dyDescent="0.25">
      <c r="A146" s="18" t="s">
        <v>55</v>
      </c>
      <c r="B146" s="18" t="s">
        <v>354</v>
      </c>
      <c r="C146" s="18" t="s">
        <v>355</v>
      </c>
      <c r="D146" s="18">
        <v>241120600</v>
      </c>
      <c r="E146" s="18" t="s">
        <v>434</v>
      </c>
      <c r="F146" s="141" t="s">
        <v>520</v>
      </c>
      <c r="G146" s="18">
        <v>14047090</v>
      </c>
      <c r="H146" s="18" t="s">
        <v>522</v>
      </c>
      <c r="I146" s="135">
        <v>476836000</v>
      </c>
      <c r="J146" s="135">
        <v>476836000</v>
      </c>
      <c r="K146" s="18" t="s">
        <v>441</v>
      </c>
      <c r="L146" s="18">
        <v>100</v>
      </c>
      <c r="M146" s="15">
        <v>100</v>
      </c>
      <c r="N146" s="15"/>
      <c r="O146" s="15">
        <v>0</v>
      </c>
      <c r="P146" s="140">
        <v>0.8</v>
      </c>
      <c r="Q146" s="137" t="s">
        <v>442</v>
      </c>
      <c r="R146" s="139"/>
      <c r="S146" s="139"/>
      <c r="T146" s="139"/>
      <c r="U146" s="139"/>
    </row>
    <row r="147" spans="1:21" ht="382.5" x14ac:dyDescent="0.25">
      <c r="A147" s="18" t="s">
        <v>55</v>
      </c>
      <c r="B147" s="18" t="s">
        <v>354</v>
      </c>
      <c r="C147" s="34" t="s">
        <v>355</v>
      </c>
      <c r="D147" s="18">
        <v>241120600</v>
      </c>
      <c r="E147" s="18" t="s">
        <v>434</v>
      </c>
      <c r="F147" s="18" t="s">
        <v>523</v>
      </c>
      <c r="G147" s="18" t="s">
        <v>524</v>
      </c>
      <c r="H147" s="34" t="s">
        <v>525</v>
      </c>
      <c r="I147" s="135">
        <v>628022000</v>
      </c>
      <c r="J147" s="135">
        <v>628022000</v>
      </c>
      <c r="K147" s="18" t="s">
        <v>488</v>
      </c>
      <c r="L147" s="18">
        <v>25</v>
      </c>
      <c r="M147" s="136">
        <v>25</v>
      </c>
      <c r="N147" s="148"/>
      <c r="O147" s="137">
        <v>10.4</v>
      </c>
      <c r="P147" s="140">
        <v>11.3</v>
      </c>
      <c r="Q147" s="137" t="s">
        <v>489</v>
      </c>
      <c r="R147" s="139"/>
      <c r="S147" s="139"/>
      <c r="T147" s="139"/>
      <c r="U147" s="139"/>
    </row>
    <row r="148" spans="1:21" ht="382.5" x14ac:dyDescent="0.25">
      <c r="A148" s="34" t="s">
        <v>55</v>
      </c>
      <c r="B148" s="34" t="s">
        <v>354</v>
      </c>
      <c r="C148" s="18" t="s">
        <v>355</v>
      </c>
      <c r="D148" s="18">
        <v>241120900</v>
      </c>
      <c r="E148" s="18" t="s">
        <v>434</v>
      </c>
      <c r="F148" s="18" t="s">
        <v>523</v>
      </c>
      <c r="G148" s="18" t="s">
        <v>526</v>
      </c>
      <c r="H148" s="18" t="s">
        <v>525</v>
      </c>
      <c r="I148" s="18">
        <v>19952317</v>
      </c>
      <c r="J148" s="135">
        <v>19952317</v>
      </c>
      <c r="K148" s="18" t="s">
        <v>488</v>
      </c>
      <c r="L148" s="18">
        <v>25</v>
      </c>
      <c r="M148" s="136">
        <v>25</v>
      </c>
      <c r="N148" s="148"/>
      <c r="O148" s="137">
        <v>10.4</v>
      </c>
      <c r="P148" s="140">
        <v>11.3</v>
      </c>
      <c r="Q148" s="137" t="s">
        <v>489</v>
      </c>
      <c r="R148" s="139"/>
      <c r="S148" s="139"/>
      <c r="T148" s="139"/>
      <c r="U148" s="139"/>
    </row>
    <row r="149" spans="1:21" ht="357" x14ac:dyDescent="0.25">
      <c r="A149" s="18" t="s">
        <v>55</v>
      </c>
      <c r="B149" s="18" t="s">
        <v>354</v>
      </c>
      <c r="C149" s="18" t="s">
        <v>355</v>
      </c>
      <c r="D149" s="18">
        <v>241120900</v>
      </c>
      <c r="E149" s="18" t="s">
        <v>434</v>
      </c>
      <c r="F149" s="18" t="s">
        <v>527</v>
      </c>
      <c r="G149" s="18">
        <v>14047001</v>
      </c>
      <c r="H149" s="149" t="s">
        <v>528</v>
      </c>
      <c r="I149" s="135">
        <v>-630000000</v>
      </c>
      <c r="J149" s="135">
        <v>-630000000</v>
      </c>
      <c r="K149" s="137" t="s">
        <v>441</v>
      </c>
      <c r="L149" s="148">
        <v>100</v>
      </c>
      <c r="M149" s="148">
        <v>100</v>
      </c>
      <c r="N149" s="148"/>
      <c r="O149" s="148">
        <v>0</v>
      </c>
      <c r="P149" s="140">
        <v>0.8</v>
      </c>
      <c r="Q149" s="137" t="s">
        <v>442</v>
      </c>
      <c r="R149" s="139"/>
      <c r="S149" s="139"/>
      <c r="T149" s="139"/>
      <c r="U149" s="139"/>
    </row>
    <row r="150" spans="1:21" ht="357" x14ac:dyDescent="0.25">
      <c r="A150" s="18" t="s">
        <v>55</v>
      </c>
      <c r="B150" s="18" t="s">
        <v>354</v>
      </c>
      <c r="C150" s="18" t="s">
        <v>355</v>
      </c>
      <c r="D150" s="18">
        <v>241120900</v>
      </c>
      <c r="E150" s="18" t="s">
        <v>434</v>
      </c>
      <c r="F150" s="18" t="s">
        <v>527</v>
      </c>
      <c r="G150" s="18">
        <v>14047090</v>
      </c>
      <c r="H150" s="18" t="s">
        <v>528</v>
      </c>
      <c r="I150" s="135">
        <v>758437000</v>
      </c>
      <c r="J150" s="135">
        <v>758437000</v>
      </c>
      <c r="K150" s="137" t="s">
        <v>441</v>
      </c>
      <c r="L150" s="148">
        <v>100</v>
      </c>
      <c r="M150" s="148">
        <v>100</v>
      </c>
      <c r="N150" s="148"/>
      <c r="O150" s="148">
        <v>0</v>
      </c>
      <c r="P150" s="140">
        <v>0.8</v>
      </c>
      <c r="Q150" s="137" t="s">
        <v>442</v>
      </c>
      <c r="R150" s="139"/>
      <c r="S150" s="139"/>
      <c r="T150" s="139"/>
      <c r="U150" s="139"/>
    </row>
    <row r="151" spans="1:21" s="27" customFormat="1" ht="75" x14ac:dyDescent="0.25">
      <c r="A151" s="18" t="s">
        <v>55</v>
      </c>
      <c r="B151" s="18" t="s">
        <v>354</v>
      </c>
      <c r="C151" s="18" t="s">
        <v>355</v>
      </c>
      <c r="D151" s="18">
        <v>241120900</v>
      </c>
      <c r="E151" s="18" t="s">
        <v>529</v>
      </c>
      <c r="F151" s="141">
        <v>2012050000123</v>
      </c>
      <c r="G151" s="18" t="s">
        <v>530</v>
      </c>
      <c r="H151" s="149" t="s">
        <v>531</v>
      </c>
      <c r="I151" s="135">
        <v>692811282</v>
      </c>
      <c r="J151" s="135">
        <v>692811282</v>
      </c>
      <c r="K151" s="137" t="s">
        <v>532</v>
      </c>
      <c r="L151" s="148">
        <v>125</v>
      </c>
      <c r="M151" s="148">
        <v>125</v>
      </c>
      <c r="N151" s="148"/>
      <c r="O151" s="148">
        <v>102</v>
      </c>
      <c r="P151" s="150">
        <v>122</v>
      </c>
      <c r="Q151" s="151" t="s">
        <v>533</v>
      </c>
      <c r="R151" s="152"/>
      <c r="S151" s="152"/>
      <c r="T151" s="152"/>
      <c r="U151" s="152"/>
    </row>
    <row r="152" spans="1:21" s="27" customFormat="1" ht="75" x14ac:dyDescent="0.25">
      <c r="A152" s="18"/>
      <c r="B152" s="18"/>
      <c r="C152" s="18"/>
      <c r="D152" s="18"/>
      <c r="E152" s="18" t="s">
        <v>529</v>
      </c>
      <c r="F152" s="141">
        <v>2012050000123</v>
      </c>
      <c r="G152" s="18">
        <v>1213002</v>
      </c>
      <c r="H152" s="149" t="s">
        <v>531</v>
      </c>
      <c r="I152" s="135"/>
      <c r="J152" s="135">
        <v>200000000</v>
      </c>
      <c r="K152" s="137" t="s">
        <v>532</v>
      </c>
      <c r="L152" s="148">
        <v>125</v>
      </c>
      <c r="M152" s="148">
        <v>125</v>
      </c>
      <c r="N152" s="148"/>
      <c r="O152" s="148">
        <v>102</v>
      </c>
      <c r="P152" s="153">
        <v>122</v>
      </c>
      <c r="Q152" s="151" t="s">
        <v>533</v>
      </c>
      <c r="R152" s="152"/>
      <c r="S152" s="152"/>
      <c r="T152" s="152"/>
      <c r="U152" s="152"/>
    </row>
    <row r="153" spans="1:21" ht="90" x14ac:dyDescent="0.25">
      <c r="A153" s="18" t="s">
        <v>55</v>
      </c>
      <c r="B153" s="18" t="s">
        <v>354</v>
      </c>
      <c r="C153" s="18" t="s">
        <v>355</v>
      </c>
      <c r="D153" s="18">
        <v>241120900</v>
      </c>
      <c r="E153" s="18" t="s">
        <v>534</v>
      </c>
      <c r="F153" s="141">
        <v>2012050000123</v>
      </c>
      <c r="G153" s="18" t="s">
        <v>535</v>
      </c>
      <c r="H153" s="18" t="s">
        <v>531</v>
      </c>
      <c r="I153" s="135">
        <v>8388628632</v>
      </c>
      <c r="J153" s="135">
        <v>10980118463</v>
      </c>
      <c r="K153" s="137" t="s">
        <v>536</v>
      </c>
      <c r="L153" s="148">
        <v>125</v>
      </c>
      <c r="M153" s="148">
        <v>117</v>
      </c>
      <c r="N153" s="148"/>
      <c r="O153" s="148">
        <v>110</v>
      </c>
      <c r="P153" s="150">
        <v>110</v>
      </c>
      <c r="Q153" s="154" t="s">
        <v>537</v>
      </c>
      <c r="R153" s="139"/>
      <c r="S153" s="139"/>
      <c r="T153" s="139"/>
      <c r="U153" s="139"/>
    </row>
    <row r="154" spans="1:21" ht="60" x14ac:dyDescent="0.25">
      <c r="A154" s="18" t="s">
        <v>55</v>
      </c>
      <c r="B154" s="18" t="s">
        <v>354</v>
      </c>
      <c r="C154" s="18" t="s">
        <v>355</v>
      </c>
      <c r="D154" s="18">
        <v>241120900</v>
      </c>
      <c r="E154" s="18" t="s">
        <v>529</v>
      </c>
      <c r="F154" s="18" t="s">
        <v>538</v>
      </c>
      <c r="G154" s="18" t="s">
        <v>539</v>
      </c>
      <c r="H154" s="149" t="s">
        <v>540</v>
      </c>
      <c r="I154" s="135">
        <v>0</v>
      </c>
      <c r="J154" s="135">
        <v>0</v>
      </c>
      <c r="K154" s="137" t="s">
        <v>532</v>
      </c>
      <c r="L154" s="148">
        <v>125</v>
      </c>
      <c r="M154" s="148">
        <v>125</v>
      </c>
      <c r="N154" s="148"/>
      <c r="O154" s="148">
        <v>102</v>
      </c>
      <c r="P154" s="153">
        <v>122</v>
      </c>
      <c r="Q154" s="151" t="s">
        <v>533</v>
      </c>
      <c r="R154" s="139"/>
      <c r="S154" s="139"/>
      <c r="T154" s="139"/>
      <c r="U154" s="139"/>
    </row>
    <row r="155" spans="1:21" ht="60" x14ac:dyDescent="0.25">
      <c r="A155" s="18" t="s">
        <v>55</v>
      </c>
      <c r="B155" s="18" t="s">
        <v>354</v>
      </c>
      <c r="C155" s="18" t="s">
        <v>355</v>
      </c>
      <c r="D155" s="18">
        <v>241120900</v>
      </c>
      <c r="E155" s="18" t="s">
        <v>529</v>
      </c>
      <c r="F155" s="18" t="s">
        <v>538</v>
      </c>
      <c r="G155" s="18" t="s">
        <v>541</v>
      </c>
      <c r="H155" s="149" t="s">
        <v>540</v>
      </c>
      <c r="I155" s="135">
        <v>1733254454</v>
      </c>
      <c r="J155" s="135">
        <v>2019645192</v>
      </c>
      <c r="K155" s="137" t="s">
        <v>532</v>
      </c>
      <c r="L155" s="148">
        <v>125</v>
      </c>
      <c r="M155" s="148">
        <v>125</v>
      </c>
      <c r="N155" s="148"/>
      <c r="O155" s="148">
        <v>102</v>
      </c>
      <c r="P155" s="153">
        <v>122</v>
      </c>
      <c r="Q155" s="151" t="s">
        <v>533</v>
      </c>
      <c r="R155" s="139"/>
      <c r="S155" s="139"/>
      <c r="T155" s="139"/>
      <c r="U155" s="139"/>
    </row>
    <row r="156" spans="1:21" ht="90" x14ac:dyDescent="0.25">
      <c r="A156" s="18" t="s">
        <v>55</v>
      </c>
      <c r="B156" s="18" t="s">
        <v>354</v>
      </c>
      <c r="C156" s="18" t="s">
        <v>355</v>
      </c>
      <c r="D156" s="18">
        <v>241120900</v>
      </c>
      <c r="E156" s="18" t="s">
        <v>529</v>
      </c>
      <c r="F156" s="18" t="s">
        <v>538</v>
      </c>
      <c r="G156" s="18" t="s">
        <v>542</v>
      </c>
      <c r="H156" s="18" t="s">
        <v>540</v>
      </c>
      <c r="I156" s="135">
        <v>2102374322</v>
      </c>
      <c r="J156" s="135">
        <v>2102374322</v>
      </c>
      <c r="K156" s="137" t="s">
        <v>536</v>
      </c>
      <c r="L156" s="148">
        <v>125</v>
      </c>
      <c r="M156" s="148">
        <v>117</v>
      </c>
      <c r="N156" s="148"/>
      <c r="O156" s="148">
        <v>110</v>
      </c>
      <c r="P156" s="150">
        <v>110</v>
      </c>
      <c r="Q156" s="154" t="s">
        <v>537</v>
      </c>
      <c r="R156" s="139"/>
      <c r="S156" s="139"/>
      <c r="T156" s="139"/>
      <c r="U156" s="139"/>
    </row>
    <row r="157" spans="1:21" ht="90" x14ac:dyDescent="0.25">
      <c r="A157" s="18" t="s">
        <v>55</v>
      </c>
      <c r="B157" s="18" t="s">
        <v>354</v>
      </c>
      <c r="C157" s="18" t="s">
        <v>355</v>
      </c>
      <c r="D157" s="18">
        <v>241120900</v>
      </c>
      <c r="E157" s="18" t="s">
        <v>529</v>
      </c>
      <c r="F157" s="18" t="s">
        <v>538</v>
      </c>
      <c r="G157" s="18">
        <v>14037004</v>
      </c>
      <c r="H157" s="18" t="s">
        <v>540</v>
      </c>
      <c r="I157" s="135"/>
      <c r="J157" s="135">
        <v>603374941</v>
      </c>
      <c r="K157" s="137" t="s">
        <v>536</v>
      </c>
      <c r="L157" s="148">
        <v>125</v>
      </c>
      <c r="M157" s="148">
        <v>117</v>
      </c>
      <c r="N157" s="148"/>
      <c r="O157" s="148">
        <v>110</v>
      </c>
      <c r="P157" s="153">
        <v>110</v>
      </c>
      <c r="Q157" s="154" t="s">
        <v>537</v>
      </c>
      <c r="R157" s="139"/>
      <c r="S157" s="139"/>
      <c r="T157" s="139"/>
      <c r="U157" s="139"/>
    </row>
    <row r="158" spans="1:21" ht="75" x14ac:dyDescent="0.25">
      <c r="A158" s="18" t="s">
        <v>55</v>
      </c>
      <c r="B158" s="18" t="s">
        <v>354</v>
      </c>
      <c r="C158" s="18" t="s">
        <v>355</v>
      </c>
      <c r="D158" s="18">
        <v>241120900</v>
      </c>
      <c r="E158" s="18" t="s">
        <v>529</v>
      </c>
      <c r="F158" s="141">
        <v>2012050000134</v>
      </c>
      <c r="G158" s="18" t="s">
        <v>543</v>
      </c>
      <c r="H158" s="149" t="s">
        <v>544</v>
      </c>
      <c r="I158" s="135">
        <v>-30000</v>
      </c>
      <c r="J158" s="135">
        <v>0</v>
      </c>
      <c r="K158" s="137" t="s">
        <v>532</v>
      </c>
      <c r="L158" s="148">
        <v>125</v>
      </c>
      <c r="M158" s="148">
        <v>125</v>
      </c>
      <c r="N158" s="148"/>
      <c r="O158" s="148">
        <v>102</v>
      </c>
      <c r="P158" s="153">
        <v>122</v>
      </c>
      <c r="Q158" s="151" t="s">
        <v>533</v>
      </c>
      <c r="R158" s="139"/>
      <c r="S158" s="139"/>
      <c r="T158" s="139"/>
      <c r="U158" s="139"/>
    </row>
    <row r="159" spans="1:21" ht="90" x14ac:dyDescent="0.25">
      <c r="A159" s="18" t="s">
        <v>55</v>
      </c>
      <c r="B159" s="18" t="s">
        <v>354</v>
      </c>
      <c r="C159" s="18" t="s">
        <v>355</v>
      </c>
      <c r="D159" s="18">
        <v>241120900</v>
      </c>
      <c r="E159" s="18" t="s">
        <v>529</v>
      </c>
      <c r="F159" s="141">
        <v>2012050000134</v>
      </c>
      <c r="G159" s="18" t="s">
        <v>545</v>
      </c>
      <c r="H159" s="18" t="s">
        <v>544</v>
      </c>
      <c r="I159" s="135">
        <v>1463000000</v>
      </c>
      <c r="J159" s="135">
        <v>1463000000</v>
      </c>
      <c r="K159" s="137" t="s">
        <v>536</v>
      </c>
      <c r="L159" s="148">
        <v>125</v>
      </c>
      <c r="M159" s="148">
        <v>117</v>
      </c>
      <c r="N159" s="148"/>
      <c r="O159" s="148">
        <v>110</v>
      </c>
      <c r="P159" s="153">
        <v>110</v>
      </c>
      <c r="Q159" s="154" t="s">
        <v>537</v>
      </c>
      <c r="R159" s="139"/>
      <c r="S159" s="139"/>
      <c r="T159" s="139"/>
      <c r="U159" s="139"/>
    </row>
    <row r="160" spans="1:21" ht="90" x14ac:dyDescent="0.25">
      <c r="A160" s="18" t="s">
        <v>55</v>
      </c>
      <c r="B160" s="18" t="s">
        <v>354</v>
      </c>
      <c r="C160" s="18" t="s">
        <v>355</v>
      </c>
      <c r="D160" s="18">
        <v>241120900</v>
      </c>
      <c r="E160" s="18" t="s">
        <v>529</v>
      </c>
      <c r="F160" s="141">
        <v>2012050000134</v>
      </c>
      <c r="G160" s="18" t="s">
        <v>543</v>
      </c>
      <c r="H160" s="18" t="s">
        <v>544</v>
      </c>
      <c r="I160" s="135">
        <v>-30000</v>
      </c>
      <c r="J160" s="148"/>
      <c r="K160" s="137" t="s">
        <v>536</v>
      </c>
      <c r="L160" s="148">
        <v>125</v>
      </c>
      <c r="M160" s="148">
        <v>117</v>
      </c>
      <c r="N160" s="148"/>
      <c r="O160" s="148">
        <v>110</v>
      </c>
      <c r="P160" s="153">
        <v>110</v>
      </c>
      <c r="Q160" s="154" t="s">
        <v>537</v>
      </c>
      <c r="R160" s="139"/>
      <c r="S160" s="139"/>
      <c r="T160" s="139"/>
      <c r="U160" s="139"/>
    </row>
    <row r="161" spans="1:21" ht="75" x14ac:dyDescent="0.25">
      <c r="A161" s="18" t="s">
        <v>55</v>
      </c>
      <c r="B161" s="18" t="s">
        <v>354</v>
      </c>
      <c r="C161" s="18" t="s">
        <v>355</v>
      </c>
      <c r="D161" s="18">
        <v>241120900</v>
      </c>
      <c r="E161" s="18" t="s">
        <v>529</v>
      </c>
      <c r="F161" s="141">
        <v>2012050000134</v>
      </c>
      <c r="G161" s="18" t="s">
        <v>545</v>
      </c>
      <c r="H161" s="149" t="s">
        <v>544</v>
      </c>
      <c r="I161" s="135">
        <v>1463000000</v>
      </c>
      <c r="J161" s="148"/>
      <c r="K161" s="137" t="s">
        <v>532</v>
      </c>
      <c r="L161" s="148">
        <v>125</v>
      </c>
      <c r="M161" s="148">
        <v>125</v>
      </c>
      <c r="N161" s="148"/>
      <c r="O161" s="148">
        <v>102</v>
      </c>
      <c r="P161" s="153">
        <v>122</v>
      </c>
      <c r="Q161" s="151" t="s">
        <v>533</v>
      </c>
      <c r="R161" s="139"/>
      <c r="S161" s="139"/>
      <c r="T161" s="139"/>
      <c r="U161" s="139"/>
    </row>
    <row r="162" spans="1:21" ht="90" x14ac:dyDescent="0.25">
      <c r="A162" s="18" t="s">
        <v>55</v>
      </c>
      <c r="B162" s="18" t="s">
        <v>354</v>
      </c>
      <c r="C162" s="18" t="s">
        <v>355</v>
      </c>
      <c r="D162" s="18">
        <v>241120900</v>
      </c>
      <c r="E162" s="18" t="s">
        <v>529</v>
      </c>
      <c r="F162" s="141">
        <v>2008050000483</v>
      </c>
      <c r="G162" s="18" t="s">
        <v>546</v>
      </c>
      <c r="H162" s="18" t="s">
        <v>547</v>
      </c>
      <c r="I162" s="135">
        <v>0</v>
      </c>
      <c r="J162" s="135">
        <v>-48374941</v>
      </c>
      <c r="K162" s="137" t="s">
        <v>536</v>
      </c>
      <c r="L162" s="148">
        <v>125</v>
      </c>
      <c r="M162" s="148">
        <v>117</v>
      </c>
      <c r="N162" s="148"/>
      <c r="O162" s="148">
        <v>110</v>
      </c>
      <c r="P162" s="153">
        <v>110</v>
      </c>
      <c r="Q162" s="154" t="s">
        <v>537</v>
      </c>
      <c r="R162" s="139"/>
      <c r="S162" s="139"/>
      <c r="T162" s="139"/>
      <c r="U162" s="139"/>
    </row>
    <row r="163" spans="1:21" ht="75" x14ac:dyDescent="0.25">
      <c r="A163" s="18" t="s">
        <v>55</v>
      </c>
      <c r="B163" s="18" t="s">
        <v>354</v>
      </c>
      <c r="C163" s="18" t="s">
        <v>355</v>
      </c>
      <c r="D163" s="18">
        <v>241120900</v>
      </c>
      <c r="E163" s="18" t="s">
        <v>529</v>
      </c>
      <c r="F163" s="141">
        <v>2008050000483</v>
      </c>
      <c r="G163" s="18" t="s">
        <v>548</v>
      </c>
      <c r="H163" s="18" t="s">
        <v>547</v>
      </c>
      <c r="I163" s="135">
        <v>1302000000</v>
      </c>
      <c r="J163" s="135">
        <v>1300000000</v>
      </c>
      <c r="K163" s="137" t="s">
        <v>532</v>
      </c>
      <c r="L163" s="148">
        <v>125</v>
      </c>
      <c r="M163" s="148">
        <v>125</v>
      </c>
      <c r="N163" s="148"/>
      <c r="O163" s="148">
        <v>102</v>
      </c>
      <c r="P163" s="148">
        <v>122</v>
      </c>
      <c r="Q163" s="137" t="s">
        <v>533</v>
      </c>
      <c r="R163" s="139"/>
      <c r="S163" s="139"/>
      <c r="T163" s="139"/>
      <c r="U163" s="139"/>
    </row>
    <row r="164" spans="1:21" ht="90" x14ac:dyDescent="0.25">
      <c r="A164" s="18" t="s">
        <v>55</v>
      </c>
      <c r="B164" s="18" t="s">
        <v>354</v>
      </c>
      <c r="C164" s="18" t="s">
        <v>355</v>
      </c>
      <c r="D164" s="18">
        <v>241120900</v>
      </c>
      <c r="E164" s="18" t="s">
        <v>529</v>
      </c>
      <c r="F164" s="141">
        <v>2008050000483</v>
      </c>
      <c r="G164" s="18" t="s">
        <v>549</v>
      </c>
      <c r="H164" s="18" t="s">
        <v>547</v>
      </c>
      <c r="I164" s="135">
        <v>27662000</v>
      </c>
      <c r="J164" s="135">
        <v>91093000</v>
      </c>
      <c r="K164" s="137" t="s">
        <v>536</v>
      </c>
      <c r="L164" s="148">
        <v>125</v>
      </c>
      <c r="M164" s="148">
        <v>117</v>
      </c>
      <c r="N164" s="148"/>
      <c r="O164" s="148">
        <v>110</v>
      </c>
      <c r="P164" s="153">
        <v>110</v>
      </c>
      <c r="Q164" s="154" t="s">
        <v>537</v>
      </c>
      <c r="R164" s="139"/>
      <c r="S164" s="139"/>
      <c r="T164" s="139"/>
      <c r="U164" s="139"/>
    </row>
    <row r="165" spans="1:21" ht="105" x14ac:dyDescent="0.25">
      <c r="A165" s="18" t="s">
        <v>55</v>
      </c>
      <c r="B165" s="18" t="s">
        <v>354</v>
      </c>
      <c r="C165" s="18" t="s">
        <v>355</v>
      </c>
      <c r="D165" s="18">
        <v>241120900</v>
      </c>
      <c r="E165" s="18" t="s">
        <v>529</v>
      </c>
      <c r="F165" s="141">
        <v>2012050000280</v>
      </c>
      <c r="G165" s="18" t="s">
        <v>546</v>
      </c>
      <c r="H165" s="149" t="s">
        <v>550</v>
      </c>
      <c r="I165" s="135">
        <v>0</v>
      </c>
      <c r="J165" s="135">
        <v>0</v>
      </c>
      <c r="K165" s="137" t="s">
        <v>532</v>
      </c>
      <c r="L165" s="148">
        <v>125</v>
      </c>
      <c r="M165" s="148">
        <v>125</v>
      </c>
      <c r="N165" s="148"/>
      <c r="O165" s="148">
        <v>102</v>
      </c>
      <c r="P165" s="148">
        <v>122</v>
      </c>
      <c r="Q165" s="137" t="s">
        <v>533</v>
      </c>
      <c r="R165" s="139"/>
      <c r="S165" s="139"/>
      <c r="T165" s="139"/>
      <c r="U165" s="139"/>
    </row>
    <row r="166" spans="1:21" ht="105" x14ac:dyDescent="0.25">
      <c r="A166" s="18" t="s">
        <v>55</v>
      </c>
      <c r="B166" s="18" t="s">
        <v>354</v>
      </c>
      <c r="C166" s="18" t="s">
        <v>355</v>
      </c>
      <c r="D166" s="18">
        <v>241120900</v>
      </c>
      <c r="E166" s="18" t="s">
        <v>529</v>
      </c>
      <c r="F166" s="141">
        <v>2012050000280</v>
      </c>
      <c r="G166" s="18" t="s">
        <v>549</v>
      </c>
      <c r="H166" s="149" t="s">
        <v>550</v>
      </c>
      <c r="I166" s="135">
        <v>0</v>
      </c>
      <c r="J166" s="135">
        <v>0</v>
      </c>
      <c r="K166" s="137" t="s">
        <v>532</v>
      </c>
      <c r="L166" s="148">
        <v>125</v>
      </c>
      <c r="M166" s="148">
        <v>125</v>
      </c>
      <c r="N166" s="148"/>
      <c r="O166" s="148">
        <v>102</v>
      </c>
      <c r="P166" s="148">
        <v>122</v>
      </c>
      <c r="Q166" s="137" t="s">
        <v>533</v>
      </c>
      <c r="R166" s="139"/>
      <c r="S166" s="139"/>
      <c r="T166" s="139"/>
      <c r="U166" s="139"/>
    </row>
  </sheetData>
  <sheetProtection algorithmName="SHA-512" hashValue="9PpeYz41IOOcSjWechMJykN7GqKPl4qI3lR5PhGkK8+BHKMhzgqqdKUVTm1AyBpxFVI1aiG+CeEOLLAfNykAQA==" saltValue="K+qMmlLp52Fxbi2phwG3gA==" spinCount="100000" sheet="1" objects="1" scenarios="1" insertRows="0"/>
  <autoFilter ref="B7:Q166"/>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25"/>
  <sheetViews>
    <sheetView topLeftCell="A4" zoomScaleNormal="100" workbookViewId="0">
      <pane ySplit="5" topLeftCell="A9" activePane="bottomLeft" state="frozen"/>
      <selection activeCell="A4" sqref="A4"/>
      <selection pane="bottomLeft" activeCell="C9" sqref="C9"/>
    </sheetView>
  </sheetViews>
  <sheetFormatPr baseColWidth="10" defaultRowHeight="15" x14ac:dyDescent="0.25"/>
  <cols>
    <col min="1" max="1" width="16.140625" style="1" customWidth="1"/>
    <col min="2" max="2" width="11.5703125" style="1" customWidth="1"/>
    <col min="3" max="3" width="12.140625" style="1" customWidth="1"/>
    <col min="4" max="4" width="13" style="1" customWidth="1"/>
    <col min="5" max="5" width="12" style="1" customWidth="1"/>
    <col min="6" max="6" width="10.7109375" style="1" customWidth="1"/>
    <col min="7" max="7" width="15.7109375" style="1" customWidth="1"/>
    <col min="8" max="8" width="14.140625" style="1" customWidth="1"/>
    <col min="9" max="9" width="14" style="1" customWidth="1"/>
    <col min="10" max="10" width="13.7109375" style="1" customWidth="1"/>
    <col min="11" max="11" width="16.42578125" style="1" customWidth="1"/>
    <col min="12" max="12" width="12.7109375" style="1" customWidth="1"/>
    <col min="13" max="13" width="14" style="1" customWidth="1"/>
    <col min="14" max="14" width="13" style="1" customWidth="1"/>
    <col min="15" max="16" width="13.140625" style="1" customWidth="1"/>
    <col min="17" max="17" width="13.7109375" style="1" customWidth="1"/>
    <col min="18" max="18" width="10.5703125" style="1" customWidth="1"/>
    <col min="19" max="19" width="12.140625" style="1" bestFit="1" customWidth="1"/>
    <col min="20" max="20" width="15.5703125" style="1" customWidth="1"/>
    <col min="21" max="21" width="8.28515625" style="1" customWidth="1"/>
    <col min="22" max="22" width="11.42578125" style="1"/>
    <col min="23" max="23" width="12.7109375" style="1" customWidth="1"/>
    <col min="24" max="24" width="13.140625" style="1" customWidth="1"/>
    <col min="25" max="25" width="11.7109375" style="1" customWidth="1"/>
    <col min="26" max="29" width="11.42578125" style="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6" style="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256" width="11.42578125" style="1"/>
    <col min="257" max="257" width="16.140625" style="1" customWidth="1"/>
    <col min="258" max="258" width="11.5703125" style="1" customWidth="1"/>
    <col min="259" max="259" width="12.140625" style="1" customWidth="1"/>
    <col min="260" max="260" width="13" style="1" customWidth="1"/>
    <col min="261" max="261" width="12" style="1" customWidth="1"/>
    <col min="262" max="262" width="10.7109375" style="1" customWidth="1"/>
    <col min="263" max="263" width="15.7109375" style="1" customWidth="1"/>
    <col min="264" max="264" width="14.140625" style="1" customWidth="1"/>
    <col min="265" max="265" width="14" style="1" customWidth="1"/>
    <col min="266" max="266" width="13.7109375" style="1" customWidth="1"/>
    <col min="267" max="267" width="16.42578125" style="1" customWidth="1"/>
    <col min="268" max="268" width="12.7109375" style="1" customWidth="1"/>
    <col min="269" max="269" width="14" style="1" customWidth="1"/>
    <col min="270" max="270" width="13" style="1" customWidth="1"/>
    <col min="271" max="272" width="13.140625" style="1" customWidth="1"/>
    <col min="273" max="273" width="13.7109375" style="1" customWidth="1"/>
    <col min="274" max="274" width="10.5703125" style="1" customWidth="1"/>
    <col min="275" max="275" width="12.140625" style="1" bestFit="1" customWidth="1"/>
    <col min="276" max="276" width="15.5703125" style="1" customWidth="1"/>
    <col min="277" max="277" width="8.28515625" style="1" customWidth="1"/>
    <col min="278" max="278" width="11.42578125" style="1"/>
    <col min="279" max="279" width="12.7109375" style="1" customWidth="1"/>
    <col min="280" max="280" width="13.140625" style="1" customWidth="1"/>
    <col min="281" max="281" width="11.7109375" style="1" customWidth="1"/>
    <col min="282" max="285" width="11.42578125" style="1"/>
    <col min="286" max="286" width="15.7109375" style="1" customWidth="1"/>
    <col min="287" max="287" width="5" style="1" bestFit="1" customWidth="1"/>
    <col min="288" max="288" width="6.42578125" style="1" bestFit="1" customWidth="1"/>
    <col min="289" max="289" width="5.42578125" style="1" bestFit="1" customWidth="1"/>
    <col min="290" max="290" width="4.28515625" style="1" bestFit="1" customWidth="1"/>
    <col min="291" max="291" width="5" style="1" bestFit="1" customWidth="1"/>
    <col min="292" max="292" width="4.5703125" style="1" bestFit="1" customWidth="1"/>
    <col min="293" max="293" width="6" style="1" customWidth="1"/>
    <col min="294" max="294" width="5.85546875" style="1" bestFit="1" customWidth="1"/>
    <col min="295" max="295" width="9.140625" style="1" bestFit="1" customWidth="1"/>
    <col min="296" max="296" width="6.5703125" style="1" bestFit="1" customWidth="1"/>
    <col min="297" max="297" width="8.85546875" style="1" bestFit="1" customWidth="1"/>
    <col min="298" max="298" width="8.28515625" style="1" bestFit="1" customWidth="1"/>
    <col min="299" max="512" width="11.42578125" style="1"/>
    <col min="513" max="513" width="16.140625" style="1" customWidth="1"/>
    <col min="514" max="514" width="11.5703125" style="1" customWidth="1"/>
    <col min="515" max="515" width="12.140625" style="1" customWidth="1"/>
    <col min="516" max="516" width="13" style="1" customWidth="1"/>
    <col min="517" max="517" width="12" style="1" customWidth="1"/>
    <col min="518" max="518" width="10.7109375" style="1" customWidth="1"/>
    <col min="519" max="519" width="15.7109375" style="1" customWidth="1"/>
    <col min="520" max="520" width="14.140625" style="1" customWidth="1"/>
    <col min="521" max="521" width="14" style="1" customWidth="1"/>
    <col min="522" max="522" width="13.7109375" style="1" customWidth="1"/>
    <col min="523" max="523" width="16.42578125" style="1" customWidth="1"/>
    <col min="524" max="524" width="12.7109375" style="1" customWidth="1"/>
    <col min="525" max="525" width="14" style="1" customWidth="1"/>
    <col min="526" max="526" width="13" style="1" customWidth="1"/>
    <col min="527" max="528" width="13.140625" style="1" customWidth="1"/>
    <col min="529" max="529" width="13.7109375" style="1" customWidth="1"/>
    <col min="530" max="530" width="10.5703125" style="1" customWidth="1"/>
    <col min="531" max="531" width="12.140625" style="1" bestFit="1" customWidth="1"/>
    <col min="532" max="532" width="15.5703125" style="1" customWidth="1"/>
    <col min="533" max="533" width="8.28515625" style="1" customWidth="1"/>
    <col min="534" max="534" width="11.42578125" style="1"/>
    <col min="535" max="535" width="12.7109375" style="1" customWidth="1"/>
    <col min="536" max="536" width="13.140625" style="1" customWidth="1"/>
    <col min="537" max="537" width="11.7109375" style="1" customWidth="1"/>
    <col min="538" max="541" width="11.42578125" style="1"/>
    <col min="542" max="542" width="15.7109375" style="1" customWidth="1"/>
    <col min="543" max="543" width="5" style="1" bestFit="1" customWidth="1"/>
    <col min="544" max="544" width="6.42578125" style="1" bestFit="1" customWidth="1"/>
    <col min="545" max="545" width="5.42578125" style="1" bestFit="1" customWidth="1"/>
    <col min="546" max="546" width="4.28515625" style="1" bestFit="1" customWidth="1"/>
    <col min="547" max="547" width="5" style="1" bestFit="1" customWidth="1"/>
    <col min="548" max="548" width="4.5703125" style="1" bestFit="1" customWidth="1"/>
    <col min="549" max="549" width="6" style="1" customWidth="1"/>
    <col min="550" max="550" width="5.85546875" style="1" bestFit="1" customWidth="1"/>
    <col min="551" max="551" width="9.140625" style="1" bestFit="1" customWidth="1"/>
    <col min="552" max="552" width="6.5703125" style="1" bestFit="1" customWidth="1"/>
    <col min="553" max="553" width="8.85546875" style="1" bestFit="1" customWidth="1"/>
    <col min="554" max="554" width="8.28515625" style="1" bestFit="1" customWidth="1"/>
    <col min="555" max="768" width="11.42578125" style="1"/>
    <col min="769" max="769" width="16.140625" style="1" customWidth="1"/>
    <col min="770" max="770" width="11.5703125" style="1" customWidth="1"/>
    <col min="771" max="771" width="12.140625" style="1" customWidth="1"/>
    <col min="772" max="772" width="13" style="1" customWidth="1"/>
    <col min="773" max="773" width="12" style="1" customWidth="1"/>
    <col min="774" max="774" width="10.7109375" style="1" customWidth="1"/>
    <col min="775" max="775" width="15.7109375" style="1" customWidth="1"/>
    <col min="776" max="776" width="14.140625" style="1" customWidth="1"/>
    <col min="777" max="777" width="14" style="1" customWidth="1"/>
    <col min="778" max="778" width="13.7109375" style="1" customWidth="1"/>
    <col min="779" max="779" width="16.42578125" style="1" customWidth="1"/>
    <col min="780" max="780" width="12.7109375" style="1" customWidth="1"/>
    <col min="781" max="781" width="14" style="1" customWidth="1"/>
    <col min="782" max="782" width="13" style="1" customWidth="1"/>
    <col min="783" max="784" width="13.140625" style="1" customWidth="1"/>
    <col min="785" max="785" width="13.7109375" style="1" customWidth="1"/>
    <col min="786" max="786" width="10.5703125" style="1" customWidth="1"/>
    <col min="787" max="787" width="12.140625" style="1" bestFit="1" customWidth="1"/>
    <col min="788" max="788" width="15.5703125" style="1" customWidth="1"/>
    <col min="789" max="789" width="8.28515625" style="1" customWidth="1"/>
    <col min="790" max="790" width="11.42578125" style="1"/>
    <col min="791" max="791" width="12.7109375" style="1" customWidth="1"/>
    <col min="792" max="792" width="13.140625" style="1" customWidth="1"/>
    <col min="793" max="793" width="11.7109375" style="1" customWidth="1"/>
    <col min="794" max="797" width="11.42578125" style="1"/>
    <col min="798" max="798" width="15.7109375" style="1" customWidth="1"/>
    <col min="799" max="799" width="5" style="1" bestFit="1" customWidth="1"/>
    <col min="800" max="800" width="6.42578125" style="1" bestFit="1" customWidth="1"/>
    <col min="801" max="801" width="5.42578125" style="1" bestFit="1" customWidth="1"/>
    <col min="802" max="802" width="4.28515625" style="1" bestFit="1" customWidth="1"/>
    <col min="803" max="803" width="5" style="1" bestFit="1" customWidth="1"/>
    <col min="804" max="804" width="4.5703125" style="1" bestFit="1" customWidth="1"/>
    <col min="805" max="805" width="6" style="1" customWidth="1"/>
    <col min="806" max="806" width="5.85546875" style="1" bestFit="1" customWidth="1"/>
    <col min="807" max="807" width="9.140625" style="1" bestFit="1" customWidth="1"/>
    <col min="808" max="808" width="6.5703125" style="1" bestFit="1" customWidth="1"/>
    <col min="809" max="809" width="8.85546875" style="1" bestFit="1" customWidth="1"/>
    <col min="810" max="810" width="8.28515625" style="1" bestFit="1" customWidth="1"/>
    <col min="811" max="1024" width="11.42578125" style="1"/>
    <col min="1025" max="1025" width="16.140625" style="1" customWidth="1"/>
    <col min="1026" max="1026" width="11.5703125" style="1" customWidth="1"/>
    <col min="1027" max="1027" width="12.140625" style="1" customWidth="1"/>
    <col min="1028" max="1028" width="13" style="1" customWidth="1"/>
    <col min="1029" max="1029" width="12" style="1" customWidth="1"/>
    <col min="1030" max="1030" width="10.7109375" style="1" customWidth="1"/>
    <col min="1031" max="1031" width="15.7109375" style="1" customWidth="1"/>
    <col min="1032" max="1032" width="14.140625" style="1" customWidth="1"/>
    <col min="1033" max="1033" width="14" style="1" customWidth="1"/>
    <col min="1034" max="1034" width="13.7109375" style="1" customWidth="1"/>
    <col min="1035" max="1035" width="16.42578125" style="1" customWidth="1"/>
    <col min="1036" max="1036" width="12.7109375" style="1" customWidth="1"/>
    <col min="1037" max="1037" width="14" style="1" customWidth="1"/>
    <col min="1038" max="1038" width="13" style="1" customWidth="1"/>
    <col min="1039" max="1040" width="13.140625" style="1" customWidth="1"/>
    <col min="1041" max="1041" width="13.7109375" style="1" customWidth="1"/>
    <col min="1042" max="1042" width="10.5703125" style="1" customWidth="1"/>
    <col min="1043" max="1043" width="12.140625" style="1" bestFit="1" customWidth="1"/>
    <col min="1044" max="1044" width="15.5703125" style="1" customWidth="1"/>
    <col min="1045" max="1045" width="8.28515625" style="1" customWidth="1"/>
    <col min="1046" max="1046" width="11.42578125" style="1"/>
    <col min="1047" max="1047" width="12.7109375" style="1" customWidth="1"/>
    <col min="1048" max="1048" width="13.140625" style="1" customWidth="1"/>
    <col min="1049" max="1049" width="11.7109375" style="1" customWidth="1"/>
    <col min="1050" max="1053" width="11.42578125" style="1"/>
    <col min="1054" max="1054" width="15.7109375" style="1" customWidth="1"/>
    <col min="1055" max="1055" width="5" style="1" bestFit="1" customWidth="1"/>
    <col min="1056" max="1056" width="6.42578125" style="1" bestFit="1" customWidth="1"/>
    <col min="1057" max="1057" width="5.42578125" style="1" bestFit="1" customWidth="1"/>
    <col min="1058" max="1058" width="4.28515625" style="1" bestFit="1" customWidth="1"/>
    <col min="1059" max="1059" width="5" style="1" bestFit="1" customWidth="1"/>
    <col min="1060" max="1060" width="4.5703125" style="1" bestFit="1" customWidth="1"/>
    <col min="1061" max="1061" width="6" style="1" customWidth="1"/>
    <col min="1062" max="1062" width="5.85546875" style="1" bestFit="1" customWidth="1"/>
    <col min="1063" max="1063" width="9.140625" style="1" bestFit="1" customWidth="1"/>
    <col min="1064" max="1064" width="6.5703125" style="1" bestFit="1" customWidth="1"/>
    <col min="1065" max="1065" width="8.85546875" style="1" bestFit="1" customWidth="1"/>
    <col min="1066" max="1066" width="8.28515625" style="1" bestFit="1" customWidth="1"/>
    <col min="1067" max="1280" width="11.42578125" style="1"/>
    <col min="1281" max="1281" width="16.140625" style="1" customWidth="1"/>
    <col min="1282" max="1282" width="11.5703125" style="1" customWidth="1"/>
    <col min="1283" max="1283" width="12.140625" style="1" customWidth="1"/>
    <col min="1284" max="1284" width="13" style="1" customWidth="1"/>
    <col min="1285" max="1285" width="12" style="1" customWidth="1"/>
    <col min="1286" max="1286" width="10.7109375" style="1" customWidth="1"/>
    <col min="1287" max="1287" width="15.7109375" style="1" customWidth="1"/>
    <col min="1288" max="1288" width="14.140625" style="1" customWidth="1"/>
    <col min="1289" max="1289" width="14" style="1" customWidth="1"/>
    <col min="1290" max="1290" width="13.7109375" style="1" customWidth="1"/>
    <col min="1291" max="1291" width="16.42578125" style="1" customWidth="1"/>
    <col min="1292" max="1292" width="12.7109375" style="1" customWidth="1"/>
    <col min="1293" max="1293" width="14" style="1" customWidth="1"/>
    <col min="1294" max="1294" width="13" style="1" customWidth="1"/>
    <col min="1295" max="1296" width="13.140625" style="1" customWidth="1"/>
    <col min="1297" max="1297" width="13.7109375" style="1" customWidth="1"/>
    <col min="1298" max="1298" width="10.5703125" style="1" customWidth="1"/>
    <col min="1299" max="1299" width="12.140625" style="1" bestFit="1" customWidth="1"/>
    <col min="1300" max="1300" width="15.5703125" style="1" customWidth="1"/>
    <col min="1301" max="1301" width="8.28515625" style="1" customWidth="1"/>
    <col min="1302" max="1302" width="11.42578125" style="1"/>
    <col min="1303" max="1303" width="12.7109375" style="1" customWidth="1"/>
    <col min="1304" max="1304" width="13.140625" style="1" customWidth="1"/>
    <col min="1305" max="1305" width="11.7109375" style="1" customWidth="1"/>
    <col min="1306" max="1309" width="11.42578125" style="1"/>
    <col min="1310" max="1310" width="15.7109375" style="1" customWidth="1"/>
    <col min="1311" max="1311" width="5" style="1" bestFit="1" customWidth="1"/>
    <col min="1312" max="1312" width="6.42578125" style="1" bestFit="1" customWidth="1"/>
    <col min="1313" max="1313" width="5.42578125" style="1" bestFit="1" customWidth="1"/>
    <col min="1314" max="1314" width="4.28515625" style="1" bestFit="1" customWidth="1"/>
    <col min="1315" max="1315" width="5" style="1" bestFit="1" customWidth="1"/>
    <col min="1316" max="1316" width="4.5703125" style="1" bestFit="1" customWidth="1"/>
    <col min="1317" max="1317" width="6" style="1" customWidth="1"/>
    <col min="1318" max="1318" width="5.85546875" style="1" bestFit="1" customWidth="1"/>
    <col min="1319" max="1319" width="9.140625" style="1" bestFit="1" customWidth="1"/>
    <col min="1320" max="1320" width="6.5703125" style="1" bestFit="1" customWidth="1"/>
    <col min="1321" max="1321" width="8.85546875" style="1" bestFit="1" customWidth="1"/>
    <col min="1322" max="1322" width="8.28515625" style="1" bestFit="1" customWidth="1"/>
    <col min="1323" max="1536" width="11.42578125" style="1"/>
    <col min="1537" max="1537" width="16.140625" style="1" customWidth="1"/>
    <col min="1538" max="1538" width="11.5703125" style="1" customWidth="1"/>
    <col min="1539" max="1539" width="12.140625" style="1" customWidth="1"/>
    <col min="1540" max="1540" width="13" style="1" customWidth="1"/>
    <col min="1541" max="1541" width="12" style="1" customWidth="1"/>
    <col min="1542" max="1542" width="10.7109375" style="1" customWidth="1"/>
    <col min="1543" max="1543" width="15.7109375" style="1" customWidth="1"/>
    <col min="1544" max="1544" width="14.140625" style="1" customWidth="1"/>
    <col min="1545" max="1545" width="14" style="1" customWidth="1"/>
    <col min="1546" max="1546" width="13.7109375" style="1" customWidth="1"/>
    <col min="1547" max="1547" width="16.42578125" style="1" customWidth="1"/>
    <col min="1548" max="1548" width="12.7109375" style="1" customWidth="1"/>
    <col min="1549" max="1549" width="14" style="1" customWidth="1"/>
    <col min="1550" max="1550" width="13" style="1" customWidth="1"/>
    <col min="1551" max="1552" width="13.140625" style="1" customWidth="1"/>
    <col min="1553" max="1553" width="13.7109375" style="1" customWidth="1"/>
    <col min="1554" max="1554" width="10.5703125" style="1" customWidth="1"/>
    <col min="1555" max="1555" width="12.140625" style="1" bestFit="1" customWidth="1"/>
    <col min="1556" max="1556" width="15.5703125" style="1" customWidth="1"/>
    <col min="1557" max="1557" width="8.28515625" style="1" customWidth="1"/>
    <col min="1558" max="1558" width="11.42578125" style="1"/>
    <col min="1559" max="1559" width="12.7109375" style="1" customWidth="1"/>
    <col min="1560" max="1560" width="13.140625" style="1" customWidth="1"/>
    <col min="1561" max="1561" width="11.7109375" style="1" customWidth="1"/>
    <col min="1562" max="1565" width="11.42578125" style="1"/>
    <col min="1566" max="1566" width="15.7109375" style="1" customWidth="1"/>
    <col min="1567" max="1567" width="5" style="1" bestFit="1" customWidth="1"/>
    <col min="1568" max="1568" width="6.42578125" style="1" bestFit="1" customWidth="1"/>
    <col min="1569" max="1569" width="5.42578125" style="1" bestFit="1" customWidth="1"/>
    <col min="1570" max="1570" width="4.28515625" style="1" bestFit="1" customWidth="1"/>
    <col min="1571" max="1571" width="5" style="1" bestFit="1" customWidth="1"/>
    <col min="1572" max="1572" width="4.5703125" style="1" bestFit="1" customWidth="1"/>
    <col min="1573" max="1573" width="6" style="1" customWidth="1"/>
    <col min="1574" max="1574" width="5.85546875" style="1" bestFit="1" customWidth="1"/>
    <col min="1575" max="1575" width="9.140625" style="1" bestFit="1" customWidth="1"/>
    <col min="1576" max="1576" width="6.5703125" style="1" bestFit="1" customWidth="1"/>
    <col min="1577" max="1577" width="8.85546875" style="1" bestFit="1" customWidth="1"/>
    <col min="1578" max="1578" width="8.28515625" style="1" bestFit="1" customWidth="1"/>
    <col min="1579" max="1792" width="11.42578125" style="1"/>
    <col min="1793" max="1793" width="16.140625" style="1" customWidth="1"/>
    <col min="1794" max="1794" width="11.5703125" style="1" customWidth="1"/>
    <col min="1795" max="1795" width="12.140625" style="1" customWidth="1"/>
    <col min="1796" max="1796" width="13" style="1" customWidth="1"/>
    <col min="1797" max="1797" width="12" style="1" customWidth="1"/>
    <col min="1798" max="1798" width="10.7109375" style="1" customWidth="1"/>
    <col min="1799" max="1799" width="15.7109375" style="1" customWidth="1"/>
    <col min="1800" max="1800" width="14.140625" style="1" customWidth="1"/>
    <col min="1801" max="1801" width="14" style="1" customWidth="1"/>
    <col min="1802" max="1802" width="13.7109375" style="1" customWidth="1"/>
    <col min="1803" max="1803" width="16.42578125" style="1" customWidth="1"/>
    <col min="1804" max="1804" width="12.7109375" style="1" customWidth="1"/>
    <col min="1805" max="1805" width="14" style="1" customWidth="1"/>
    <col min="1806" max="1806" width="13" style="1" customWidth="1"/>
    <col min="1807" max="1808" width="13.140625" style="1" customWidth="1"/>
    <col min="1809" max="1809" width="13.7109375" style="1" customWidth="1"/>
    <col min="1810" max="1810" width="10.5703125" style="1" customWidth="1"/>
    <col min="1811" max="1811" width="12.140625" style="1" bestFit="1" customWidth="1"/>
    <col min="1812" max="1812" width="15.5703125" style="1" customWidth="1"/>
    <col min="1813" max="1813" width="8.28515625" style="1" customWidth="1"/>
    <col min="1814" max="1814" width="11.42578125" style="1"/>
    <col min="1815" max="1815" width="12.7109375" style="1" customWidth="1"/>
    <col min="1816" max="1816" width="13.140625" style="1" customWidth="1"/>
    <col min="1817" max="1817" width="11.7109375" style="1" customWidth="1"/>
    <col min="1818" max="1821" width="11.42578125" style="1"/>
    <col min="1822" max="1822" width="15.7109375" style="1" customWidth="1"/>
    <col min="1823" max="1823" width="5" style="1" bestFit="1" customWidth="1"/>
    <col min="1824" max="1824" width="6.42578125" style="1" bestFit="1" customWidth="1"/>
    <col min="1825" max="1825" width="5.42578125" style="1" bestFit="1" customWidth="1"/>
    <col min="1826" max="1826" width="4.28515625" style="1" bestFit="1" customWidth="1"/>
    <col min="1827" max="1827" width="5" style="1" bestFit="1" customWidth="1"/>
    <col min="1828" max="1828" width="4.5703125" style="1" bestFit="1" customWidth="1"/>
    <col min="1829" max="1829" width="6" style="1" customWidth="1"/>
    <col min="1830" max="1830" width="5.85546875" style="1" bestFit="1" customWidth="1"/>
    <col min="1831" max="1831" width="9.140625" style="1" bestFit="1" customWidth="1"/>
    <col min="1832" max="1832" width="6.5703125" style="1" bestFit="1" customWidth="1"/>
    <col min="1833" max="1833" width="8.85546875" style="1" bestFit="1" customWidth="1"/>
    <col min="1834" max="1834" width="8.28515625" style="1" bestFit="1" customWidth="1"/>
    <col min="1835" max="2048" width="11.42578125" style="1"/>
    <col min="2049" max="2049" width="16.140625" style="1" customWidth="1"/>
    <col min="2050" max="2050" width="11.5703125" style="1" customWidth="1"/>
    <col min="2051" max="2051" width="12.140625" style="1" customWidth="1"/>
    <col min="2052" max="2052" width="13" style="1" customWidth="1"/>
    <col min="2053" max="2053" width="12" style="1" customWidth="1"/>
    <col min="2054" max="2054" width="10.7109375" style="1" customWidth="1"/>
    <col min="2055" max="2055" width="15.7109375" style="1" customWidth="1"/>
    <col min="2056" max="2056" width="14.140625" style="1" customWidth="1"/>
    <col min="2057" max="2057" width="14" style="1" customWidth="1"/>
    <col min="2058" max="2058" width="13.7109375" style="1" customWidth="1"/>
    <col min="2059" max="2059" width="16.42578125" style="1" customWidth="1"/>
    <col min="2060" max="2060" width="12.7109375" style="1" customWidth="1"/>
    <col min="2061" max="2061" width="14" style="1" customWidth="1"/>
    <col min="2062" max="2062" width="13" style="1" customWidth="1"/>
    <col min="2063" max="2064" width="13.140625" style="1" customWidth="1"/>
    <col min="2065" max="2065" width="13.7109375" style="1" customWidth="1"/>
    <col min="2066" max="2066" width="10.5703125" style="1" customWidth="1"/>
    <col min="2067" max="2067" width="12.140625" style="1" bestFit="1" customWidth="1"/>
    <col min="2068" max="2068" width="15.5703125" style="1" customWidth="1"/>
    <col min="2069" max="2069" width="8.28515625" style="1" customWidth="1"/>
    <col min="2070" max="2070" width="11.42578125" style="1"/>
    <col min="2071" max="2071" width="12.7109375" style="1" customWidth="1"/>
    <col min="2072" max="2072" width="13.140625" style="1" customWidth="1"/>
    <col min="2073" max="2073" width="11.7109375" style="1" customWidth="1"/>
    <col min="2074" max="2077" width="11.42578125" style="1"/>
    <col min="2078" max="2078" width="15.7109375" style="1" customWidth="1"/>
    <col min="2079" max="2079" width="5" style="1" bestFit="1" customWidth="1"/>
    <col min="2080" max="2080" width="6.42578125" style="1" bestFit="1" customWidth="1"/>
    <col min="2081" max="2081" width="5.42578125" style="1" bestFit="1" customWidth="1"/>
    <col min="2082" max="2082" width="4.28515625" style="1" bestFit="1" customWidth="1"/>
    <col min="2083" max="2083" width="5" style="1" bestFit="1" customWidth="1"/>
    <col min="2084" max="2084" width="4.5703125" style="1" bestFit="1" customWidth="1"/>
    <col min="2085" max="2085" width="6" style="1" customWidth="1"/>
    <col min="2086" max="2086" width="5.85546875" style="1" bestFit="1" customWidth="1"/>
    <col min="2087" max="2087" width="9.140625" style="1" bestFit="1" customWidth="1"/>
    <col min="2088" max="2088" width="6.5703125" style="1" bestFit="1" customWidth="1"/>
    <col min="2089" max="2089" width="8.85546875" style="1" bestFit="1" customWidth="1"/>
    <col min="2090" max="2090" width="8.28515625" style="1" bestFit="1" customWidth="1"/>
    <col min="2091" max="2304" width="11.42578125" style="1"/>
    <col min="2305" max="2305" width="16.140625" style="1" customWidth="1"/>
    <col min="2306" max="2306" width="11.5703125" style="1" customWidth="1"/>
    <col min="2307" max="2307" width="12.140625" style="1" customWidth="1"/>
    <col min="2308" max="2308" width="13" style="1" customWidth="1"/>
    <col min="2309" max="2309" width="12" style="1" customWidth="1"/>
    <col min="2310" max="2310" width="10.7109375" style="1" customWidth="1"/>
    <col min="2311" max="2311" width="15.7109375" style="1" customWidth="1"/>
    <col min="2312" max="2312" width="14.140625" style="1" customWidth="1"/>
    <col min="2313" max="2313" width="14" style="1" customWidth="1"/>
    <col min="2314" max="2314" width="13.7109375" style="1" customWidth="1"/>
    <col min="2315" max="2315" width="16.42578125" style="1" customWidth="1"/>
    <col min="2316" max="2316" width="12.7109375" style="1" customWidth="1"/>
    <col min="2317" max="2317" width="14" style="1" customWidth="1"/>
    <col min="2318" max="2318" width="13" style="1" customWidth="1"/>
    <col min="2319" max="2320" width="13.140625" style="1" customWidth="1"/>
    <col min="2321" max="2321" width="13.7109375" style="1" customWidth="1"/>
    <col min="2322" max="2322" width="10.5703125" style="1" customWidth="1"/>
    <col min="2323" max="2323" width="12.140625" style="1" bestFit="1" customWidth="1"/>
    <col min="2324" max="2324" width="15.5703125" style="1" customWidth="1"/>
    <col min="2325" max="2325" width="8.28515625" style="1" customWidth="1"/>
    <col min="2326" max="2326" width="11.42578125" style="1"/>
    <col min="2327" max="2327" width="12.7109375" style="1" customWidth="1"/>
    <col min="2328" max="2328" width="13.140625" style="1" customWidth="1"/>
    <col min="2329" max="2329" width="11.7109375" style="1" customWidth="1"/>
    <col min="2330" max="2333" width="11.42578125" style="1"/>
    <col min="2334" max="2334" width="15.7109375" style="1" customWidth="1"/>
    <col min="2335" max="2335" width="5" style="1" bestFit="1" customWidth="1"/>
    <col min="2336" max="2336" width="6.42578125" style="1" bestFit="1" customWidth="1"/>
    <col min="2337" max="2337" width="5.42578125" style="1" bestFit="1" customWidth="1"/>
    <col min="2338" max="2338" width="4.28515625" style="1" bestFit="1" customWidth="1"/>
    <col min="2339" max="2339" width="5" style="1" bestFit="1" customWidth="1"/>
    <col min="2340" max="2340" width="4.5703125" style="1" bestFit="1" customWidth="1"/>
    <col min="2341" max="2341" width="6" style="1" customWidth="1"/>
    <col min="2342" max="2342" width="5.85546875" style="1" bestFit="1" customWidth="1"/>
    <col min="2343" max="2343" width="9.140625" style="1" bestFit="1" customWidth="1"/>
    <col min="2344" max="2344" width="6.5703125" style="1" bestFit="1" customWidth="1"/>
    <col min="2345" max="2345" width="8.85546875" style="1" bestFit="1" customWidth="1"/>
    <col min="2346" max="2346" width="8.28515625" style="1" bestFit="1" customWidth="1"/>
    <col min="2347" max="2560" width="11.42578125" style="1"/>
    <col min="2561" max="2561" width="16.140625" style="1" customWidth="1"/>
    <col min="2562" max="2562" width="11.5703125" style="1" customWidth="1"/>
    <col min="2563" max="2563" width="12.140625" style="1" customWidth="1"/>
    <col min="2564" max="2564" width="13" style="1" customWidth="1"/>
    <col min="2565" max="2565" width="12" style="1" customWidth="1"/>
    <col min="2566" max="2566" width="10.7109375" style="1" customWidth="1"/>
    <col min="2567" max="2567" width="15.7109375" style="1" customWidth="1"/>
    <col min="2568" max="2568" width="14.140625" style="1" customWidth="1"/>
    <col min="2569" max="2569" width="14" style="1" customWidth="1"/>
    <col min="2570" max="2570" width="13.7109375" style="1" customWidth="1"/>
    <col min="2571" max="2571" width="16.42578125" style="1" customWidth="1"/>
    <col min="2572" max="2572" width="12.7109375" style="1" customWidth="1"/>
    <col min="2573" max="2573" width="14" style="1" customWidth="1"/>
    <col min="2574" max="2574" width="13" style="1" customWidth="1"/>
    <col min="2575" max="2576" width="13.140625" style="1" customWidth="1"/>
    <col min="2577" max="2577" width="13.7109375" style="1" customWidth="1"/>
    <col min="2578" max="2578" width="10.5703125" style="1" customWidth="1"/>
    <col min="2579" max="2579" width="12.140625" style="1" bestFit="1" customWidth="1"/>
    <col min="2580" max="2580" width="15.5703125" style="1" customWidth="1"/>
    <col min="2581" max="2581" width="8.28515625" style="1" customWidth="1"/>
    <col min="2582" max="2582" width="11.42578125" style="1"/>
    <col min="2583" max="2583" width="12.7109375" style="1" customWidth="1"/>
    <col min="2584" max="2584" width="13.140625" style="1" customWidth="1"/>
    <col min="2585" max="2585" width="11.7109375" style="1" customWidth="1"/>
    <col min="2586" max="2589" width="11.42578125" style="1"/>
    <col min="2590" max="2590" width="15.7109375" style="1" customWidth="1"/>
    <col min="2591" max="2591" width="5" style="1" bestFit="1" customWidth="1"/>
    <col min="2592" max="2592" width="6.42578125" style="1" bestFit="1" customWidth="1"/>
    <col min="2593" max="2593" width="5.42578125" style="1" bestFit="1" customWidth="1"/>
    <col min="2594" max="2594" width="4.28515625" style="1" bestFit="1" customWidth="1"/>
    <col min="2595" max="2595" width="5" style="1" bestFit="1" customWidth="1"/>
    <col min="2596" max="2596" width="4.5703125" style="1" bestFit="1" customWidth="1"/>
    <col min="2597" max="2597" width="6" style="1" customWidth="1"/>
    <col min="2598" max="2598" width="5.85546875" style="1" bestFit="1" customWidth="1"/>
    <col min="2599" max="2599" width="9.140625" style="1" bestFit="1" customWidth="1"/>
    <col min="2600" max="2600" width="6.5703125" style="1" bestFit="1" customWidth="1"/>
    <col min="2601" max="2601" width="8.85546875" style="1" bestFit="1" customWidth="1"/>
    <col min="2602" max="2602" width="8.28515625" style="1" bestFit="1" customWidth="1"/>
    <col min="2603" max="2816" width="11.42578125" style="1"/>
    <col min="2817" max="2817" width="16.140625" style="1" customWidth="1"/>
    <col min="2818" max="2818" width="11.5703125" style="1" customWidth="1"/>
    <col min="2819" max="2819" width="12.140625" style="1" customWidth="1"/>
    <col min="2820" max="2820" width="13" style="1" customWidth="1"/>
    <col min="2821" max="2821" width="12" style="1" customWidth="1"/>
    <col min="2822" max="2822" width="10.7109375" style="1" customWidth="1"/>
    <col min="2823" max="2823" width="15.7109375" style="1" customWidth="1"/>
    <col min="2824" max="2824" width="14.140625" style="1" customWidth="1"/>
    <col min="2825" max="2825" width="14" style="1" customWidth="1"/>
    <col min="2826" max="2826" width="13.7109375" style="1" customWidth="1"/>
    <col min="2827" max="2827" width="16.42578125" style="1" customWidth="1"/>
    <col min="2828" max="2828" width="12.7109375" style="1" customWidth="1"/>
    <col min="2829" max="2829" width="14" style="1" customWidth="1"/>
    <col min="2830" max="2830" width="13" style="1" customWidth="1"/>
    <col min="2831" max="2832" width="13.140625" style="1" customWidth="1"/>
    <col min="2833" max="2833" width="13.7109375" style="1" customWidth="1"/>
    <col min="2834" max="2834" width="10.5703125" style="1" customWidth="1"/>
    <col min="2835" max="2835" width="12.140625" style="1" bestFit="1" customWidth="1"/>
    <col min="2836" max="2836" width="15.5703125" style="1" customWidth="1"/>
    <col min="2837" max="2837" width="8.28515625" style="1" customWidth="1"/>
    <col min="2838" max="2838" width="11.42578125" style="1"/>
    <col min="2839" max="2839" width="12.7109375" style="1" customWidth="1"/>
    <col min="2840" max="2840" width="13.140625" style="1" customWidth="1"/>
    <col min="2841" max="2841" width="11.7109375" style="1" customWidth="1"/>
    <col min="2842" max="2845" width="11.42578125" style="1"/>
    <col min="2846" max="2846" width="15.7109375" style="1" customWidth="1"/>
    <col min="2847" max="2847" width="5" style="1" bestFit="1" customWidth="1"/>
    <col min="2848" max="2848" width="6.42578125" style="1" bestFit="1" customWidth="1"/>
    <col min="2849" max="2849" width="5.42578125" style="1" bestFit="1" customWidth="1"/>
    <col min="2850" max="2850" width="4.28515625" style="1" bestFit="1" customWidth="1"/>
    <col min="2851" max="2851" width="5" style="1" bestFit="1" customWidth="1"/>
    <col min="2852" max="2852" width="4.5703125" style="1" bestFit="1" customWidth="1"/>
    <col min="2853" max="2853" width="6" style="1" customWidth="1"/>
    <col min="2854" max="2854" width="5.85546875" style="1" bestFit="1" customWidth="1"/>
    <col min="2855" max="2855" width="9.140625" style="1" bestFit="1" customWidth="1"/>
    <col min="2856" max="2856" width="6.5703125" style="1" bestFit="1" customWidth="1"/>
    <col min="2857" max="2857" width="8.85546875" style="1" bestFit="1" customWidth="1"/>
    <col min="2858" max="2858" width="8.28515625" style="1" bestFit="1" customWidth="1"/>
    <col min="2859" max="3072" width="11.42578125" style="1"/>
    <col min="3073" max="3073" width="16.140625" style="1" customWidth="1"/>
    <col min="3074" max="3074" width="11.5703125" style="1" customWidth="1"/>
    <col min="3075" max="3075" width="12.140625" style="1" customWidth="1"/>
    <col min="3076" max="3076" width="13" style="1" customWidth="1"/>
    <col min="3077" max="3077" width="12" style="1" customWidth="1"/>
    <col min="3078" max="3078" width="10.7109375" style="1" customWidth="1"/>
    <col min="3079" max="3079" width="15.7109375" style="1" customWidth="1"/>
    <col min="3080" max="3080" width="14.140625" style="1" customWidth="1"/>
    <col min="3081" max="3081" width="14" style="1" customWidth="1"/>
    <col min="3082" max="3082" width="13.7109375" style="1" customWidth="1"/>
    <col min="3083" max="3083" width="16.42578125" style="1" customWidth="1"/>
    <col min="3084" max="3084" width="12.7109375" style="1" customWidth="1"/>
    <col min="3085" max="3085" width="14" style="1" customWidth="1"/>
    <col min="3086" max="3086" width="13" style="1" customWidth="1"/>
    <col min="3087" max="3088" width="13.140625" style="1" customWidth="1"/>
    <col min="3089" max="3089" width="13.7109375" style="1" customWidth="1"/>
    <col min="3090" max="3090" width="10.5703125" style="1" customWidth="1"/>
    <col min="3091" max="3091" width="12.140625" style="1" bestFit="1" customWidth="1"/>
    <col min="3092" max="3092" width="15.5703125" style="1" customWidth="1"/>
    <col min="3093" max="3093" width="8.28515625" style="1" customWidth="1"/>
    <col min="3094" max="3094" width="11.42578125" style="1"/>
    <col min="3095" max="3095" width="12.7109375" style="1" customWidth="1"/>
    <col min="3096" max="3096" width="13.140625" style="1" customWidth="1"/>
    <col min="3097" max="3097" width="11.7109375" style="1" customWidth="1"/>
    <col min="3098" max="3101" width="11.42578125" style="1"/>
    <col min="3102" max="3102" width="15.7109375" style="1" customWidth="1"/>
    <col min="3103" max="3103" width="5" style="1" bestFit="1" customWidth="1"/>
    <col min="3104" max="3104" width="6.42578125" style="1" bestFit="1" customWidth="1"/>
    <col min="3105" max="3105" width="5.42578125" style="1" bestFit="1" customWidth="1"/>
    <col min="3106" max="3106" width="4.28515625" style="1" bestFit="1" customWidth="1"/>
    <col min="3107" max="3107" width="5" style="1" bestFit="1" customWidth="1"/>
    <col min="3108" max="3108" width="4.5703125" style="1" bestFit="1" customWidth="1"/>
    <col min="3109" max="3109" width="6" style="1" customWidth="1"/>
    <col min="3110" max="3110" width="5.85546875" style="1" bestFit="1" customWidth="1"/>
    <col min="3111" max="3111" width="9.140625" style="1" bestFit="1" customWidth="1"/>
    <col min="3112" max="3112" width="6.5703125" style="1" bestFit="1" customWidth="1"/>
    <col min="3113" max="3113" width="8.85546875" style="1" bestFit="1" customWidth="1"/>
    <col min="3114" max="3114" width="8.28515625" style="1" bestFit="1" customWidth="1"/>
    <col min="3115" max="3328" width="11.42578125" style="1"/>
    <col min="3329" max="3329" width="16.140625" style="1" customWidth="1"/>
    <col min="3330" max="3330" width="11.5703125" style="1" customWidth="1"/>
    <col min="3331" max="3331" width="12.140625" style="1" customWidth="1"/>
    <col min="3332" max="3332" width="13" style="1" customWidth="1"/>
    <col min="3333" max="3333" width="12" style="1" customWidth="1"/>
    <col min="3334" max="3334" width="10.7109375" style="1" customWidth="1"/>
    <col min="3335" max="3335" width="15.7109375" style="1" customWidth="1"/>
    <col min="3336" max="3336" width="14.140625" style="1" customWidth="1"/>
    <col min="3337" max="3337" width="14" style="1" customWidth="1"/>
    <col min="3338" max="3338" width="13.7109375" style="1" customWidth="1"/>
    <col min="3339" max="3339" width="16.42578125" style="1" customWidth="1"/>
    <col min="3340" max="3340" width="12.7109375" style="1" customWidth="1"/>
    <col min="3341" max="3341" width="14" style="1" customWidth="1"/>
    <col min="3342" max="3342" width="13" style="1" customWidth="1"/>
    <col min="3343" max="3344" width="13.140625" style="1" customWidth="1"/>
    <col min="3345" max="3345" width="13.7109375" style="1" customWidth="1"/>
    <col min="3346" max="3346" width="10.5703125" style="1" customWidth="1"/>
    <col min="3347" max="3347" width="12.140625" style="1" bestFit="1" customWidth="1"/>
    <col min="3348" max="3348" width="15.5703125" style="1" customWidth="1"/>
    <col min="3349" max="3349" width="8.28515625" style="1" customWidth="1"/>
    <col min="3350" max="3350" width="11.42578125" style="1"/>
    <col min="3351" max="3351" width="12.7109375" style="1" customWidth="1"/>
    <col min="3352" max="3352" width="13.140625" style="1" customWidth="1"/>
    <col min="3353" max="3353" width="11.7109375" style="1" customWidth="1"/>
    <col min="3354" max="3357" width="11.42578125" style="1"/>
    <col min="3358" max="3358" width="15.7109375" style="1" customWidth="1"/>
    <col min="3359" max="3359" width="5" style="1" bestFit="1" customWidth="1"/>
    <col min="3360" max="3360" width="6.42578125" style="1" bestFit="1" customWidth="1"/>
    <col min="3361" max="3361" width="5.42578125" style="1" bestFit="1" customWidth="1"/>
    <col min="3362" max="3362" width="4.28515625" style="1" bestFit="1" customWidth="1"/>
    <col min="3363" max="3363" width="5" style="1" bestFit="1" customWidth="1"/>
    <col min="3364" max="3364" width="4.5703125" style="1" bestFit="1" customWidth="1"/>
    <col min="3365" max="3365" width="6" style="1" customWidth="1"/>
    <col min="3366" max="3366" width="5.85546875" style="1" bestFit="1" customWidth="1"/>
    <col min="3367" max="3367" width="9.140625" style="1" bestFit="1" customWidth="1"/>
    <col min="3368" max="3368" width="6.5703125" style="1" bestFit="1" customWidth="1"/>
    <col min="3369" max="3369" width="8.85546875" style="1" bestFit="1" customWidth="1"/>
    <col min="3370" max="3370" width="8.28515625" style="1" bestFit="1" customWidth="1"/>
    <col min="3371" max="3584" width="11.42578125" style="1"/>
    <col min="3585" max="3585" width="16.140625" style="1" customWidth="1"/>
    <col min="3586" max="3586" width="11.5703125" style="1" customWidth="1"/>
    <col min="3587" max="3587" width="12.140625" style="1" customWidth="1"/>
    <col min="3588" max="3588" width="13" style="1" customWidth="1"/>
    <col min="3589" max="3589" width="12" style="1" customWidth="1"/>
    <col min="3590" max="3590" width="10.7109375" style="1" customWidth="1"/>
    <col min="3591" max="3591" width="15.7109375" style="1" customWidth="1"/>
    <col min="3592" max="3592" width="14.140625" style="1" customWidth="1"/>
    <col min="3593" max="3593" width="14" style="1" customWidth="1"/>
    <col min="3594" max="3594" width="13.7109375" style="1" customWidth="1"/>
    <col min="3595" max="3595" width="16.42578125" style="1" customWidth="1"/>
    <col min="3596" max="3596" width="12.7109375" style="1" customWidth="1"/>
    <col min="3597" max="3597" width="14" style="1" customWidth="1"/>
    <col min="3598" max="3598" width="13" style="1" customWidth="1"/>
    <col min="3599" max="3600" width="13.140625" style="1" customWidth="1"/>
    <col min="3601" max="3601" width="13.7109375" style="1" customWidth="1"/>
    <col min="3602" max="3602" width="10.5703125" style="1" customWidth="1"/>
    <col min="3603" max="3603" width="12.140625" style="1" bestFit="1" customWidth="1"/>
    <col min="3604" max="3604" width="15.5703125" style="1" customWidth="1"/>
    <col min="3605" max="3605" width="8.28515625" style="1" customWidth="1"/>
    <col min="3606" max="3606" width="11.42578125" style="1"/>
    <col min="3607" max="3607" width="12.7109375" style="1" customWidth="1"/>
    <col min="3608" max="3608" width="13.140625" style="1" customWidth="1"/>
    <col min="3609" max="3609" width="11.7109375" style="1" customWidth="1"/>
    <col min="3610" max="3613" width="11.42578125" style="1"/>
    <col min="3614" max="3614" width="15.7109375" style="1" customWidth="1"/>
    <col min="3615" max="3615" width="5" style="1" bestFit="1" customWidth="1"/>
    <col min="3616" max="3616" width="6.42578125" style="1" bestFit="1" customWidth="1"/>
    <col min="3617" max="3617" width="5.42578125" style="1" bestFit="1" customWidth="1"/>
    <col min="3618" max="3618" width="4.28515625" style="1" bestFit="1" customWidth="1"/>
    <col min="3619" max="3619" width="5" style="1" bestFit="1" customWidth="1"/>
    <col min="3620" max="3620" width="4.5703125" style="1" bestFit="1" customWidth="1"/>
    <col min="3621" max="3621" width="6" style="1" customWidth="1"/>
    <col min="3622" max="3622" width="5.85546875" style="1" bestFit="1" customWidth="1"/>
    <col min="3623" max="3623" width="9.140625" style="1" bestFit="1" customWidth="1"/>
    <col min="3624" max="3624" width="6.5703125" style="1" bestFit="1" customWidth="1"/>
    <col min="3625" max="3625" width="8.85546875" style="1" bestFit="1" customWidth="1"/>
    <col min="3626" max="3626" width="8.28515625" style="1" bestFit="1" customWidth="1"/>
    <col min="3627" max="3840" width="11.42578125" style="1"/>
    <col min="3841" max="3841" width="16.140625" style="1" customWidth="1"/>
    <col min="3842" max="3842" width="11.5703125" style="1" customWidth="1"/>
    <col min="3843" max="3843" width="12.140625" style="1" customWidth="1"/>
    <col min="3844" max="3844" width="13" style="1" customWidth="1"/>
    <col min="3845" max="3845" width="12" style="1" customWidth="1"/>
    <col min="3846" max="3846" width="10.7109375" style="1" customWidth="1"/>
    <col min="3847" max="3847" width="15.7109375" style="1" customWidth="1"/>
    <col min="3848" max="3848" width="14.140625" style="1" customWidth="1"/>
    <col min="3849" max="3849" width="14" style="1" customWidth="1"/>
    <col min="3850" max="3850" width="13.7109375" style="1" customWidth="1"/>
    <col min="3851" max="3851" width="16.42578125" style="1" customWidth="1"/>
    <col min="3852" max="3852" width="12.7109375" style="1" customWidth="1"/>
    <col min="3853" max="3853" width="14" style="1" customWidth="1"/>
    <col min="3854" max="3854" width="13" style="1" customWidth="1"/>
    <col min="3855" max="3856" width="13.140625" style="1" customWidth="1"/>
    <col min="3857" max="3857" width="13.7109375" style="1" customWidth="1"/>
    <col min="3858" max="3858" width="10.5703125" style="1" customWidth="1"/>
    <col min="3859" max="3859" width="12.140625" style="1" bestFit="1" customWidth="1"/>
    <col min="3860" max="3860" width="15.5703125" style="1" customWidth="1"/>
    <col min="3861" max="3861" width="8.28515625" style="1" customWidth="1"/>
    <col min="3862" max="3862" width="11.42578125" style="1"/>
    <col min="3863" max="3863" width="12.7109375" style="1" customWidth="1"/>
    <col min="3864" max="3864" width="13.140625" style="1" customWidth="1"/>
    <col min="3865" max="3865" width="11.7109375" style="1" customWidth="1"/>
    <col min="3866" max="3869" width="11.42578125" style="1"/>
    <col min="3870" max="3870" width="15.7109375" style="1" customWidth="1"/>
    <col min="3871" max="3871" width="5" style="1" bestFit="1" customWidth="1"/>
    <col min="3872" max="3872" width="6.42578125" style="1" bestFit="1" customWidth="1"/>
    <col min="3873" max="3873" width="5.42578125" style="1" bestFit="1" customWidth="1"/>
    <col min="3874" max="3874" width="4.28515625" style="1" bestFit="1" customWidth="1"/>
    <col min="3875" max="3875" width="5" style="1" bestFit="1" customWidth="1"/>
    <col min="3876" max="3876" width="4.5703125" style="1" bestFit="1" customWidth="1"/>
    <col min="3877" max="3877" width="6" style="1" customWidth="1"/>
    <col min="3878" max="3878" width="5.85546875" style="1" bestFit="1" customWidth="1"/>
    <col min="3879" max="3879" width="9.140625" style="1" bestFit="1" customWidth="1"/>
    <col min="3880" max="3880" width="6.5703125" style="1" bestFit="1" customWidth="1"/>
    <col min="3881" max="3881" width="8.85546875" style="1" bestFit="1" customWidth="1"/>
    <col min="3882" max="3882" width="8.28515625" style="1" bestFit="1" customWidth="1"/>
    <col min="3883" max="4096" width="11.42578125" style="1"/>
    <col min="4097" max="4097" width="16.140625" style="1" customWidth="1"/>
    <col min="4098" max="4098" width="11.5703125" style="1" customWidth="1"/>
    <col min="4099" max="4099" width="12.140625" style="1" customWidth="1"/>
    <col min="4100" max="4100" width="13" style="1" customWidth="1"/>
    <col min="4101" max="4101" width="12" style="1" customWidth="1"/>
    <col min="4102" max="4102" width="10.7109375" style="1" customWidth="1"/>
    <col min="4103" max="4103" width="15.7109375" style="1" customWidth="1"/>
    <col min="4104" max="4104" width="14.140625" style="1" customWidth="1"/>
    <col min="4105" max="4105" width="14" style="1" customWidth="1"/>
    <col min="4106" max="4106" width="13.7109375" style="1" customWidth="1"/>
    <col min="4107" max="4107" width="16.42578125" style="1" customWidth="1"/>
    <col min="4108" max="4108" width="12.7109375" style="1" customWidth="1"/>
    <col min="4109" max="4109" width="14" style="1" customWidth="1"/>
    <col min="4110" max="4110" width="13" style="1" customWidth="1"/>
    <col min="4111" max="4112" width="13.140625" style="1" customWidth="1"/>
    <col min="4113" max="4113" width="13.7109375" style="1" customWidth="1"/>
    <col min="4114" max="4114" width="10.5703125" style="1" customWidth="1"/>
    <col min="4115" max="4115" width="12.140625" style="1" bestFit="1" customWidth="1"/>
    <col min="4116" max="4116" width="15.5703125" style="1" customWidth="1"/>
    <col min="4117" max="4117" width="8.28515625" style="1" customWidth="1"/>
    <col min="4118" max="4118" width="11.42578125" style="1"/>
    <col min="4119" max="4119" width="12.7109375" style="1" customWidth="1"/>
    <col min="4120" max="4120" width="13.140625" style="1" customWidth="1"/>
    <col min="4121" max="4121" width="11.7109375" style="1" customWidth="1"/>
    <col min="4122" max="4125" width="11.42578125" style="1"/>
    <col min="4126" max="4126" width="15.7109375" style="1" customWidth="1"/>
    <col min="4127" max="4127" width="5" style="1" bestFit="1" customWidth="1"/>
    <col min="4128" max="4128" width="6.42578125" style="1" bestFit="1" customWidth="1"/>
    <col min="4129" max="4129" width="5.42578125" style="1" bestFit="1" customWidth="1"/>
    <col min="4130" max="4130" width="4.28515625" style="1" bestFit="1" customWidth="1"/>
    <col min="4131" max="4131" width="5" style="1" bestFit="1" customWidth="1"/>
    <col min="4132" max="4132" width="4.5703125" style="1" bestFit="1" customWidth="1"/>
    <col min="4133" max="4133" width="6" style="1" customWidth="1"/>
    <col min="4134" max="4134" width="5.85546875" style="1" bestFit="1" customWidth="1"/>
    <col min="4135" max="4135" width="9.140625" style="1" bestFit="1" customWidth="1"/>
    <col min="4136" max="4136" width="6.5703125" style="1" bestFit="1" customWidth="1"/>
    <col min="4137" max="4137" width="8.85546875" style="1" bestFit="1" customWidth="1"/>
    <col min="4138" max="4138" width="8.28515625" style="1" bestFit="1" customWidth="1"/>
    <col min="4139" max="4352" width="11.42578125" style="1"/>
    <col min="4353" max="4353" width="16.140625" style="1" customWidth="1"/>
    <col min="4354" max="4354" width="11.5703125" style="1" customWidth="1"/>
    <col min="4355" max="4355" width="12.140625" style="1" customWidth="1"/>
    <col min="4356" max="4356" width="13" style="1" customWidth="1"/>
    <col min="4357" max="4357" width="12" style="1" customWidth="1"/>
    <col min="4358" max="4358" width="10.7109375" style="1" customWidth="1"/>
    <col min="4359" max="4359" width="15.7109375" style="1" customWidth="1"/>
    <col min="4360" max="4360" width="14.140625" style="1" customWidth="1"/>
    <col min="4361" max="4361" width="14" style="1" customWidth="1"/>
    <col min="4362" max="4362" width="13.7109375" style="1" customWidth="1"/>
    <col min="4363" max="4363" width="16.42578125" style="1" customWidth="1"/>
    <col min="4364" max="4364" width="12.7109375" style="1" customWidth="1"/>
    <col min="4365" max="4365" width="14" style="1" customWidth="1"/>
    <col min="4366" max="4366" width="13" style="1" customWidth="1"/>
    <col min="4367" max="4368" width="13.140625" style="1" customWidth="1"/>
    <col min="4369" max="4369" width="13.7109375" style="1" customWidth="1"/>
    <col min="4370" max="4370" width="10.5703125" style="1" customWidth="1"/>
    <col min="4371" max="4371" width="12.140625" style="1" bestFit="1" customWidth="1"/>
    <col min="4372" max="4372" width="15.5703125" style="1" customWidth="1"/>
    <col min="4373" max="4373" width="8.28515625" style="1" customWidth="1"/>
    <col min="4374" max="4374" width="11.42578125" style="1"/>
    <col min="4375" max="4375" width="12.7109375" style="1" customWidth="1"/>
    <col min="4376" max="4376" width="13.140625" style="1" customWidth="1"/>
    <col min="4377" max="4377" width="11.7109375" style="1" customWidth="1"/>
    <col min="4378" max="4381" width="11.42578125" style="1"/>
    <col min="4382" max="4382" width="15.7109375" style="1" customWidth="1"/>
    <col min="4383" max="4383" width="5" style="1" bestFit="1" customWidth="1"/>
    <col min="4384" max="4384" width="6.42578125" style="1" bestFit="1" customWidth="1"/>
    <col min="4385" max="4385" width="5.42578125" style="1" bestFit="1" customWidth="1"/>
    <col min="4386" max="4386" width="4.28515625" style="1" bestFit="1" customWidth="1"/>
    <col min="4387" max="4387" width="5" style="1" bestFit="1" customWidth="1"/>
    <col min="4388" max="4388" width="4.5703125" style="1" bestFit="1" customWidth="1"/>
    <col min="4389" max="4389" width="6" style="1" customWidth="1"/>
    <col min="4390" max="4390" width="5.85546875" style="1" bestFit="1" customWidth="1"/>
    <col min="4391" max="4391" width="9.140625" style="1" bestFit="1" customWidth="1"/>
    <col min="4392" max="4392" width="6.5703125" style="1" bestFit="1" customWidth="1"/>
    <col min="4393" max="4393" width="8.85546875" style="1" bestFit="1" customWidth="1"/>
    <col min="4394" max="4394" width="8.28515625" style="1" bestFit="1" customWidth="1"/>
    <col min="4395" max="4608" width="11.42578125" style="1"/>
    <col min="4609" max="4609" width="16.140625" style="1" customWidth="1"/>
    <col min="4610" max="4610" width="11.5703125" style="1" customWidth="1"/>
    <col min="4611" max="4611" width="12.140625" style="1" customWidth="1"/>
    <col min="4612" max="4612" width="13" style="1" customWidth="1"/>
    <col min="4613" max="4613" width="12" style="1" customWidth="1"/>
    <col min="4614" max="4614" width="10.7109375" style="1" customWidth="1"/>
    <col min="4615" max="4615" width="15.7109375" style="1" customWidth="1"/>
    <col min="4616" max="4616" width="14.140625" style="1" customWidth="1"/>
    <col min="4617" max="4617" width="14" style="1" customWidth="1"/>
    <col min="4618" max="4618" width="13.7109375" style="1" customWidth="1"/>
    <col min="4619" max="4619" width="16.42578125" style="1" customWidth="1"/>
    <col min="4620" max="4620" width="12.7109375" style="1" customWidth="1"/>
    <col min="4621" max="4621" width="14" style="1" customWidth="1"/>
    <col min="4622" max="4622" width="13" style="1" customWidth="1"/>
    <col min="4623" max="4624" width="13.140625" style="1" customWidth="1"/>
    <col min="4625" max="4625" width="13.7109375" style="1" customWidth="1"/>
    <col min="4626" max="4626" width="10.5703125" style="1" customWidth="1"/>
    <col min="4627" max="4627" width="12.140625" style="1" bestFit="1" customWidth="1"/>
    <col min="4628" max="4628" width="15.5703125" style="1" customWidth="1"/>
    <col min="4629" max="4629" width="8.28515625" style="1" customWidth="1"/>
    <col min="4630" max="4630" width="11.42578125" style="1"/>
    <col min="4631" max="4631" width="12.7109375" style="1" customWidth="1"/>
    <col min="4632" max="4632" width="13.140625" style="1" customWidth="1"/>
    <col min="4633" max="4633" width="11.7109375" style="1" customWidth="1"/>
    <col min="4634" max="4637" width="11.42578125" style="1"/>
    <col min="4638" max="4638" width="15.7109375" style="1" customWidth="1"/>
    <col min="4639" max="4639" width="5" style="1" bestFit="1" customWidth="1"/>
    <col min="4640" max="4640" width="6.42578125" style="1" bestFit="1" customWidth="1"/>
    <col min="4641" max="4641" width="5.42578125" style="1" bestFit="1" customWidth="1"/>
    <col min="4642" max="4642" width="4.28515625" style="1" bestFit="1" customWidth="1"/>
    <col min="4643" max="4643" width="5" style="1" bestFit="1" customWidth="1"/>
    <col min="4644" max="4644" width="4.5703125" style="1" bestFit="1" customWidth="1"/>
    <col min="4645" max="4645" width="6" style="1" customWidth="1"/>
    <col min="4646" max="4646" width="5.85546875" style="1" bestFit="1" customWidth="1"/>
    <col min="4647" max="4647" width="9.140625" style="1" bestFit="1" customWidth="1"/>
    <col min="4648" max="4648" width="6.5703125" style="1" bestFit="1" customWidth="1"/>
    <col min="4649" max="4649" width="8.85546875" style="1" bestFit="1" customWidth="1"/>
    <col min="4650" max="4650" width="8.28515625" style="1" bestFit="1" customWidth="1"/>
    <col min="4651" max="4864" width="11.42578125" style="1"/>
    <col min="4865" max="4865" width="16.140625" style="1" customWidth="1"/>
    <col min="4866" max="4866" width="11.5703125" style="1" customWidth="1"/>
    <col min="4867" max="4867" width="12.140625" style="1" customWidth="1"/>
    <col min="4868" max="4868" width="13" style="1" customWidth="1"/>
    <col min="4869" max="4869" width="12" style="1" customWidth="1"/>
    <col min="4870" max="4870" width="10.7109375" style="1" customWidth="1"/>
    <col min="4871" max="4871" width="15.7109375" style="1" customWidth="1"/>
    <col min="4872" max="4872" width="14.140625" style="1" customWidth="1"/>
    <col min="4873" max="4873" width="14" style="1" customWidth="1"/>
    <col min="4874" max="4874" width="13.7109375" style="1" customWidth="1"/>
    <col min="4875" max="4875" width="16.42578125" style="1" customWidth="1"/>
    <col min="4876" max="4876" width="12.7109375" style="1" customWidth="1"/>
    <col min="4877" max="4877" width="14" style="1" customWidth="1"/>
    <col min="4878" max="4878" width="13" style="1" customWidth="1"/>
    <col min="4879" max="4880" width="13.140625" style="1" customWidth="1"/>
    <col min="4881" max="4881" width="13.7109375" style="1" customWidth="1"/>
    <col min="4882" max="4882" width="10.5703125" style="1" customWidth="1"/>
    <col min="4883" max="4883" width="12.140625" style="1" bestFit="1" customWidth="1"/>
    <col min="4884" max="4884" width="15.5703125" style="1" customWidth="1"/>
    <col min="4885" max="4885" width="8.28515625" style="1" customWidth="1"/>
    <col min="4886" max="4886" width="11.42578125" style="1"/>
    <col min="4887" max="4887" width="12.7109375" style="1" customWidth="1"/>
    <col min="4888" max="4888" width="13.140625" style="1" customWidth="1"/>
    <col min="4889" max="4889" width="11.7109375" style="1" customWidth="1"/>
    <col min="4890" max="4893" width="11.42578125" style="1"/>
    <col min="4894" max="4894" width="15.7109375" style="1" customWidth="1"/>
    <col min="4895" max="4895" width="5" style="1" bestFit="1" customWidth="1"/>
    <col min="4896" max="4896" width="6.42578125" style="1" bestFit="1" customWidth="1"/>
    <col min="4897" max="4897" width="5.42578125" style="1" bestFit="1" customWidth="1"/>
    <col min="4898" max="4898" width="4.28515625" style="1" bestFit="1" customWidth="1"/>
    <col min="4899" max="4899" width="5" style="1" bestFit="1" customWidth="1"/>
    <col min="4900" max="4900" width="4.5703125" style="1" bestFit="1" customWidth="1"/>
    <col min="4901" max="4901" width="6" style="1" customWidth="1"/>
    <col min="4902" max="4902" width="5.85546875" style="1" bestFit="1" customWidth="1"/>
    <col min="4903" max="4903" width="9.140625" style="1" bestFit="1" customWidth="1"/>
    <col min="4904" max="4904" width="6.5703125" style="1" bestFit="1" customWidth="1"/>
    <col min="4905" max="4905" width="8.85546875" style="1" bestFit="1" customWidth="1"/>
    <col min="4906" max="4906" width="8.28515625" style="1" bestFit="1" customWidth="1"/>
    <col min="4907" max="5120" width="11.42578125" style="1"/>
    <col min="5121" max="5121" width="16.140625" style="1" customWidth="1"/>
    <col min="5122" max="5122" width="11.5703125" style="1" customWidth="1"/>
    <col min="5123" max="5123" width="12.140625" style="1" customWidth="1"/>
    <col min="5124" max="5124" width="13" style="1" customWidth="1"/>
    <col min="5125" max="5125" width="12" style="1" customWidth="1"/>
    <col min="5126" max="5126" width="10.7109375" style="1" customWidth="1"/>
    <col min="5127" max="5127" width="15.7109375" style="1" customWidth="1"/>
    <col min="5128" max="5128" width="14.140625" style="1" customWidth="1"/>
    <col min="5129" max="5129" width="14" style="1" customWidth="1"/>
    <col min="5130" max="5130" width="13.7109375" style="1" customWidth="1"/>
    <col min="5131" max="5131" width="16.42578125" style="1" customWidth="1"/>
    <col min="5132" max="5132" width="12.7109375" style="1" customWidth="1"/>
    <col min="5133" max="5133" width="14" style="1" customWidth="1"/>
    <col min="5134" max="5134" width="13" style="1" customWidth="1"/>
    <col min="5135" max="5136" width="13.140625" style="1" customWidth="1"/>
    <col min="5137" max="5137" width="13.7109375" style="1" customWidth="1"/>
    <col min="5138" max="5138" width="10.5703125" style="1" customWidth="1"/>
    <col min="5139" max="5139" width="12.140625" style="1" bestFit="1" customWidth="1"/>
    <col min="5140" max="5140" width="15.5703125" style="1" customWidth="1"/>
    <col min="5141" max="5141" width="8.28515625" style="1" customWidth="1"/>
    <col min="5142" max="5142" width="11.42578125" style="1"/>
    <col min="5143" max="5143" width="12.7109375" style="1" customWidth="1"/>
    <col min="5144" max="5144" width="13.140625" style="1" customWidth="1"/>
    <col min="5145" max="5145" width="11.7109375" style="1" customWidth="1"/>
    <col min="5146" max="5149" width="11.42578125" style="1"/>
    <col min="5150" max="5150" width="15.7109375" style="1" customWidth="1"/>
    <col min="5151" max="5151" width="5" style="1" bestFit="1" customWidth="1"/>
    <col min="5152" max="5152" width="6.42578125" style="1" bestFit="1" customWidth="1"/>
    <col min="5153" max="5153" width="5.42578125" style="1" bestFit="1" customWidth="1"/>
    <col min="5154" max="5154" width="4.28515625" style="1" bestFit="1" customWidth="1"/>
    <col min="5155" max="5155" width="5" style="1" bestFit="1" customWidth="1"/>
    <col min="5156" max="5156" width="4.5703125" style="1" bestFit="1" customWidth="1"/>
    <col min="5157" max="5157" width="6" style="1" customWidth="1"/>
    <col min="5158" max="5158" width="5.85546875" style="1" bestFit="1" customWidth="1"/>
    <col min="5159" max="5159" width="9.140625" style="1" bestFit="1" customWidth="1"/>
    <col min="5160" max="5160" width="6.5703125" style="1" bestFit="1" customWidth="1"/>
    <col min="5161" max="5161" width="8.85546875" style="1" bestFit="1" customWidth="1"/>
    <col min="5162" max="5162" width="8.28515625" style="1" bestFit="1" customWidth="1"/>
    <col min="5163" max="5376" width="11.42578125" style="1"/>
    <col min="5377" max="5377" width="16.140625" style="1" customWidth="1"/>
    <col min="5378" max="5378" width="11.5703125" style="1" customWidth="1"/>
    <col min="5379" max="5379" width="12.140625" style="1" customWidth="1"/>
    <col min="5380" max="5380" width="13" style="1" customWidth="1"/>
    <col min="5381" max="5381" width="12" style="1" customWidth="1"/>
    <col min="5382" max="5382" width="10.7109375" style="1" customWidth="1"/>
    <col min="5383" max="5383" width="15.7109375" style="1" customWidth="1"/>
    <col min="5384" max="5384" width="14.140625" style="1" customWidth="1"/>
    <col min="5385" max="5385" width="14" style="1" customWidth="1"/>
    <col min="5386" max="5386" width="13.7109375" style="1" customWidth="1"/>
    <col min="5387" max="5387" width="16.42578125" style="1" customWidth="1"/>
    <col min="5388" max="5388" width="12.7109375" style="1" customWidth="1"/>
    <col min="5389" max="5389" width="14" style="1" customWidth="1"/>
    <col min="5390" max="5390" width="13" style="1" customWidth="1"/>
    <col min="5391" max="5392" width="13.140625" style="1" customWidth="1"/>
    <col min="5393" max="5393" width="13.7109375" style="1" customWidth="1"/>
    <col min="5394" max="5394" width="10.5703125" style="1" customWidth="1"/>
    <col min="5395" max="5395" width="12.140625" style="1" bestFit="1" customWidth="1"/>
    <col min="5396" max="5396" width="15.5703125" style="1" customWidth="1"/>
    <col min="5397" max="5397" width="8.28515625" style="1" customWidth="1"/>
    <col min="5398" max="5398" width="11.42578125" style="1"/>
    <col min="5399" max="5399" width="12.7109375" style="1" customWidth="1"/>
    <col min="5400" max="5400" width="13.140625" style="1" customWidth="1"/>
    <col min="5401" max="5401" width="11.7109375" style="1" customWidth="1"/>
    <col min="5402" max="5405" width="11.42578125" style="1"/>
    <col min="5406" max="5406" width="15.7109375" style="1" customWidth="1"/>
    <col min="5407" max="5407" width="5" style="1" bestFit="1" customWidth="1"/>
    <col min="5408" max="5408" width="6.42578125" style="1" bestFit="1" customWidth="1"/>
    <col min="5409" max="5409" width="5.42578125" style="1" bestFit="1" customWidth="1"/>
    <col min="5410" max="5410" width="4.28515625" style="1" bestFit="1" customWidth="1"/>
    <col min="5411" max="5411" width="5" style="1" bestFit="1" customWidth="1"/>
    <col min="5412" max="5412" width="4.5703125" style="1" bestFit="1" customWidth="1"/>
    <col min="5413" max="5413" width="6" style="1" customWidth="1"/>
    <col min="5414" max="5414" width="5.85546875" style="1" bestFit="1" customWidth="1"/>
    <col min="5415" max="5415" width="9.140625" style="1" bestFit="1" customWidth="1"/>
    <col min="5416" max="5416" width="6.5703125" style="1" bestFit="1" customWidth="1"/>
    <col min="5417" max="5417" width="8.85546875" style="1" bestFit="1" customWidth="1"/>
    <col min="5418" max="5418" width="8.28515625" style="1" bestFit="1" customWidth="1"/>
    <col min="5419" max="5632" width="11.42578125" style="1"/>
    <col min="5633" max="5633" width="16.140625" style="1" customWidth="1"/>
    <col min="5634" max="5634" width="11.5703125" style="1" customWidth="1"/>
    <col min="5635" max="5635" width="12.140625" style="1" customWidth="1"/>
    <col min="5636" max="5636" width="13" style="1" customWidth="1"/>
    <col min="5637" max="5637" width="12" style="1" customWidth="1"/>
    <col min="5638" max="5638" width="10.7109375" style="1" customWidth="1"/>
    <col min="5639" max="5639" width="15.7109375" style="1" customWidth="1"/>
    <col min="5640" max="5640" width="14.140625" style="1" customWidth="1"/>
    <col min="5641" max="5641" width="14" style="1" customWidth="1"/>
    <col min="5642" max="5642" width="13.7109375" style="1" customWidth="1"/>
    <col min="5643" max="5643" width="16.42578125" style="1" customWidth="1"/>
    <col min="5644" max="5644" width="12.7109375" style="1" customWidth="1"/>
    <col min="5645" max="5645" width="14" style="1" customWidth="1"/>
    <col min="5646" max="5646" width="13" style="1" customWidth="1"/>
    <col min="5647" max="5648" width="13.140625" style="1" customWidth="1"/>
    <col min="5649" max="5649" width="13.7109375" style="1" customWidth="1"/>
    <col min="5650" max="5650" width="10.5703125" style="1" customWidth="1"/>
    <col min="5651" max="5651" width="12.140625" style="1" bestFit="1" customWidth="1"/>
    <col min="5652" max="5652" width="15.5703125" style="1" customWidth="1"/>
    <col min="5653" max="5653" width="8.28515625" style="1" customWidth="1"/>
    <col min="5654" max="5654" width="11.42578125" style="1"/>
    <col min="5655" max="5655" width="12.7109375" style="1" customWidth="1"/>
    <col min="5656" max="5656" width="13.140625" style="1" customWidth="1"/>
    <col min="5657" max="5657" width="11.7109375" style="1" customWidth="1"/>
    <col min="5658" max="5661" width="11.42578125" style="1"/>
    <col min="5662" max="5662" width="15.7109375" style="1" customWidth="1"/>
    <col min="5663" max="5663" width="5" style="1" bestFit="1" customWidth="1"/>
    <col min="5664" max="5664" width="6.42578125" style="1" bestFit="1" customWidth="1"/>
    <col min="5665" max="5665" width="5.42578125" style="1" bestFit="1" customWidth="1"/>
    <col min="5666" max="5666" width="4.28515625" style="1" bestFit="1" customWidth="1"/>
    <col min="5667" max="5667" width="5" style="1" bestFit="1" customWidth="1"/>
    <col min="5668" max="5668" width="4.5703125" style="1" bestFit="1" customWidth="1"/>
    <col min="5669" max="5669" width="6" style="1" customWidth="1"/>
    <col min="5670" max="5670" width="5.85546875" style="1" bestFit="1" customWidth="1"/>
    <col min="5671" max="5671" width="9.140625" style="1" bestFit="1" customWidth="1"/>
    <col min="5672" max="5672" width="6.5703125" style="1" bestFit="1" customWidth="1"/>
    <col min="5673" max="5673" width="8.85546875" style="1" bestFit="1" customWidth="1"/>
    <col min="5674" max="5674" width="8.28515625" style="1" bestFit="1" customWidth="1"/>
    <col min="5675" max="5888" width="11.42578125" style="1"/>
    <col min="5889" max="5889" width="16.140625" style="1" customWidth="1"/>
    <col min="5890" max="5890" width="11.5703125" style="1" customWidth="1"/>
    <col min="5891" max="5891" width="12.140625" style="1" customWidth="1"/>
    <col min="5892" max="5892" width="13" style="1" customWidth="1"/>
    <col min="5893" max="5893" width="12" style="1" customWidth="1"/>
    <col min="5894" max="5894" width="10.7109375" style="1" customWidth="1"/>
    <col min="5895" max="5895" width="15.7109375" style="1" customWidth="1"/>
    <col min="5896" max="5896" width="14.140625" style="1" customWidth="1"/>
    <col min="5897" max="5897" width="14" style="1" customWidth="1"/>
    <col min="5898" max="5898" width="13.7109375" style="1" customWidth="1"/>
    <col min="5899" max="5899" width="16.42578125" style="1" customWidth="1"/>
    <col min="5900" max="5900" width="12.7109375" style="1" customWidth="1"/>
    <col min="5901" max="5901" width="14" style="1" customWidth="1"/>
    <col min="5902" max="5902" width="13" style="1" customWidth="1"/>
    <col min="5903" max="5904" width="13.140625" style="1" customWidth="1"/>
    <col min="5905" max="5905" width="13.7109375" style="1" customWidth="1"/>
    <col min="5906" max="5906" width="10.5703125" style="1" customWidth="1"/>
    <col min="5907" max="5907" width="12.140625" style="1" bestFit="1" customWidth="1"/>
    <col min="5908" max="5908" width="15.5703125" style="1" customWidth="1"/>
    <col min="5909" max="5909" width="8.28515625" style="1" customWidth="1"/>
    <col min="5910" max="5910" width="11.42578125" style="1"/>
    <col min="5911" max="5911" width="12.7109375" style="1" customWidth="1"/>
    <col min="5912" max="5912" width="13.140625" style="1" customWidth="1"/>
    <col min="5913" max="5913" width="11.7109375" style="1" customWidth="1"/>
    <col min="5914" max="5917" width="11.42578125" style="1"/>
    <col min="5918" max="5918" width="15.7109375" style="1" customWidth="1"/>
    <col min="5919" max="5919" width="5" style="1" bestFit="1" customWidth="1"/>
    <col min="5920" max="5920" width="6.42578125" style="1" bestFit="1" customWidth="1"/>
    <col min="5921" max="5921" width="5.42578125" style="1" bestFit="1" customWidth="1"/>
    <col min="5922" max="5922" width="4.28515625" style="1" bestFit="1" customWidth="1"/>
    <col min="5923" max="5923" width="5" style="1" bestFit="1" customWidth="1"/>
    <col min="5924" max="5924" width="4.5703125" style="1" bestFit="1" customWidth="1"/>
    <col min="5925" max="5925" width="6" style="1" customWidth="1"/>
    <col min="5926" max="5926" width="5.85546875" style="1" bestFit="1" customWidth="1"/>
    <col min="5927" max="5927" width="9.140625" style="1" bestFit="1" customWidth="1"/>
    <col min="5928" max="5928" width="6.5703125" style="1" bestFit="1" customWidth="1"/>
    <col min="5929" max="5929" width="8.85546875" style="1" bestFit="1" customWidth="1"/>
    <col min="5930" max="5930" width="8.28515625" style="1" bestFit="1" customWidth="1"/>
    <col min="5931" max="6144" width="11.42578125" style="1"/>
    <col min="6145" max="6145" width="16.140625" style="1" customWidth="1"/>
    <col min="6146" max="6146" width="11.5703125" style="1" customWidth="1"/>
    <col min="6147" max="6147" width="12.140625" style="1" customWidth="1"/>
    <col min="6148" max="6148" width="13" style="1" customWidth="1"/>
    <col min="6149" max="6149" width="12" style="1" customWidth="1"/>
    <col min="6150" max="6150" width="10.7109375" style="1" customWidth="1"/>
    <col min="6151" max="6151" width="15.7109375" style="1" customWidth="1"/>
    <col min="6152" max="6152" width="14.140625" style="1" customWidth="1"/>
    <col min="6153" max="6153" width="14" style="1" customWidth="1"/>
    <col min="6154" max="6154" width="13.7109375" style="1" customWidth="1"/>
    <col min="6155" max="6155" width="16.42578125" style="1" customWidth="1"/>
    <col min="6156" max="6156" width="12.7109375" style="1" customWidth="1"/>
    <col min="6157" max="6157" width="14" style="1" customWidth="1"/>
    <col min="6158" max="6158" width="13" style="1" customWidth="1"/>
    <col min="6159" max="6160" width="13.140625" style="1" customWidth="1"/>
    <col min="6161" max="6161" width="13.7109375" style="1" customWidth="1"/>
    <col min="6162" max="6162" width="10.5703125" style="1" customWidth="1"/>
    <col min="6163" max="6163" width="12.140625" style="1" bestFit="1" customWidth="1"/>
    <col min="6164" max="6164" width="15.5703125" style="1" customWidth="1"/>
    <col min="6165" max="6165" width="8.28515625" style="1" customWidth="1"/>
    <col min="6166" max="6166" width="11.42578125" style="1"/>
    <col min="6167" max="6167" width="12.7109375" style="1" customWidth="1"/>
    <col min="6168" max="6168" width="13.140625" style="1" customWidth="1"/>
    <col min="6169" max="6169" width="11.7109375" style="1" customWidth="1"/>
    <col min="6170" max="6173" width="11.42578125" style="1"/>
    <col min="6174" max="6174" width="15.7109375" style="1" customWidth="1"/>
    <col min="6175" max="6175" width="5" style="1" bestFit="1" customWidth="1"/>
    <col min="6176" max="6176" width="6.42578125" style="1" bestFit="1" customWidth="1"/>
    <col min="6177" max="6177" width="5.42578125" style="1" bestFit="1" customWidth="1"/>
    <col min="6178" max="6178" width="4.28515625" style="1" bestFit="1" customWidth="1"/>
    <col min="6179" max="6179" width="5" style="1" bestFit="1" customWidth="1"/>
    <col min="6180" max="6180" width="4.5703125" style="1" bestFit="1" customWidth="1"/>
    <col min="6181" max="6181" width="6" style="1" customWidth="1"/>
    <col min="6182" max="6182" width="5.85546875" style="1" bestFit="1" customWidth="1"/>
    <col min="6183" max="6183" width="9.140625" style="1" bestFit="1" customWidth="1"/>
    <col min="6184" max="6184" width="6.5703125" style="1" bestFit="1" customWidth="1"/>
    <col min="6185" max="6185" width="8.85546875" style="1" bestFit="1" customWidth="1"/>
    <col min="6186" max="6186" width="8.28515625" style="1" bestFit="1" customWidth="1"/>
    <col min="6187" max="6400" width="11.42578125" style="1"/>
    <col min="6401" max="6401" width="16.140625" style="1" customWidth="1"/>
    <col min="6402" max="6402" width="11.5703125" style="1" customWidth="1"/>
    <col min="6403" max="6403" width="12.140625" style="1" customWidth="1"/>
    <col min="6404" max="6404" width="13" style="1" customWidth="1"/>
    <col min="6405" max="6405" width="12" style="1" customWidth="1"/>
    <col min="6406" max="6406" width="10.7109375" style="1" customWidth="1"/>
    <col min="6407" max="6407" width="15.7109375" style="1" customWidth="1"/>
    <col min="6408" max="6408" width="14.140625" style="1" customWidth="1"/>
    <col min="6409" max="6409" width="14" style="1" customWidth="1"/>
    <col min="6410" max="6410" width="13.7109375" style="1" customWidth="1"/>
    <col min="6411" max="6411" width="16.42578125" style="1" customWidth="1"/>
    <col min="6412" max="6412" width="12.7109375" style="1" customWidth="1"/>
    <col min="6413" max="6413" width="14" style="1" customWidth="1"/>
    <col min="6414" max="6414" width="13" style="1" customWidth="1"/>
    <col min="6415" max="6416" width="13.140625" style="1" customWidth="1"/>
    <col min="6417" max="6417" width="13.7109375" style="1" customWidth="1"/>
    <col min="6418" max="6418" width="10.5703125" style="1" customWidth="1"/>
    <col min="6419" max="6419" width="12.140625" style="1" bestFit="1" customWidth="1"/>
    <col min="6420" max="6420" width="15.5703125" style="1" customWidth="1"/>
    <col min="6421" max="6421" width="8.28515625" style="1" customWidth="1"/>
    <col min="6422" max="6422" width="11.42578125" style="1"/>
    <col min="6423" max="6423" width="12.7109375" style="1" customWidth="1"/>
    <col min="6424" max="6424" width="13.140625" style="1" customWidth="1"/>
    <col min="6425" max="6425" width="11.7109375" style="1" customWidth="1"/>
    <col min="6426" max="6429" width="11.42578125" style="1"/>
    <col min="6430" max="6430" width="15.7109375" style="1" customWidth="1"/>
    <col min="6431" max="6431" width="5" style="1" bestFit="1" customWidth="1"/>
    <col min="6432" max="6432" width="6.42578125" style="1" bestFit="1" customWidth="1"/>
    <col min="6433" max="6433" width="5.42578125" style="1" bestFit="1" customWidth="1"/>
    <col min="6434" max="6434" width="4.28515625" style="1" bestFit="1" customWidth="1"/>
    <col min="6435" max="6435" width="5" style="1" bestFit="1" customWidth="1"/>
    <col min="6436" max="6436" width="4.5703125" style="1" bestFit="1" customWidth="1"/>
    <col min="6437" max="6437" width="6" style="1" customWidth="1"/>
    <col min="6438" max="6438" width="5.85546875" style="1" bestFit="1" customWidth="1"/>
    <col min="6439" max="6439" width="9.140625" style="1" bestFit="1" customWidth="1"/>
    <col min="6440" max="6440" width="6.5703125" style="1" bestFit="1" customWidth="1"/>
    <col min="6441" max="6441" width="8.85546875" style="1" bestFit="1" customWidth="1"/>
    <col min="6442" max="6442" width="8.28515625" style="1" bestFit="1" customWidth="1"/>
    <col min="6443" max="6656" width="11.42578125" style="1"/>
    <col min="6657" max="6657" width="16.140625" style="1" customWidth="1"/>
    <col min="6658" max="6658" width="11.5703125" style="1" customWidth="1"/>
    <col min="6659" max="6659" width="12.140625" style="1" customWidth="1"/>
    <col min="6660" max="6660" width="13" style="1" customWidth="1"/>
    <col min="6661" max="6661" width="12" style="1" customWidth="1"/>
    <col min="6662" max="6662" width="10.7109375" style="1" customWidth="1"/>
    <col min="6663" max="6663" width="15.7109375" style="1" customWidth="1"/>
    <col min="6664" max="6664" width="14.140625" style="1" customWidth="1"/>
    <col min="6665" max="6665" width="14" style="1" customWidth="1"/>
    <col min="6666" max="6666" width="13.7109375" style="1" customWidth="1"/>
    <col min="6667" max="6667" width="16.42578125" style="1" customWidth="1"/>
    <col min="6668" max="6668" width="12.7109375" style="1" customWidth="1"/>
    <col min="6669" max="6669" width="14" style="1" customWidth="1"/>
    <col min="6670" max="6670" width="13" style="1" customWidth="1"/>
    <col min="6671" max="6672" width="13.140625" style="1" customWidth="1"/>
    <col min="6673" max="6673" width="13.7109375" style="1" customWidth="1"/>
    <col min="6674" max="6674" width="10.5703125" style="1" customWidth="1"/>
    <col min="6675" max="6675" width="12.140625" style="1" bestFit="1" customWidth="1"/>
    <col min="6676" max="6676" width="15.5703125" style="1" customWidth="1"/>
    <col min="6677" max="6677" width="8.28515625" style="1" customWidth="1"/>
    <col min="6678" max="6678" width="11.42578125" style="1"/>
    <col min="6679" max="6679" width="12.7109375" style="1" customWidth="1"/>
    <col min="6680" max="6680" width="13.140625" style="1" customWidth="1"/>
    <col min="6681" max="6681" width="11.7109375" style="1" customWidth="1"/>
    <col min="6682" max="6685" width="11.42578125" style="1"/>
    <col min="6686" max="6686" width="15.7109375" style="1" customWidth="1"/>
    <col min="6687" max="6687" width="5" style="1" bestFit="1" customWidth="1"/>
    <col min="6688" max="6688" width="6.42578125" style="1" bestFit="1" customWidth="1"/>
    <col min="6689" max="6689" width="5.42578125" style="1" bestFit="1" customWidth="1"/>
    <col min="6690" max="6690" width="4.28515625" style="1" bestFit="1" customWidth="1"/>
    <col min="6691" max="6691" width="5" style="1" bestFit="1" customWidth="1"/>
    <col min="6692" max="6692" width="4.5703125" style="1" bestFit="1" customWidth="1"/>
    <col min="6693" max="6693" width="6" style="1" customWidth="1"/>
    <col min="6694" max="6694" width="5.85546875" style="1" bestFit="1" customWidth="1"/>
    <col min="6695" max="6695" width="9.140625" style="1" bestFit="1" customWidth="1"/>
    <col min="6696" max="6696" width="6.5703125" style="1" bestFit="1" customWidth="1"/>
    <col min="6697" max="6697" width="8.85546875" style="1" bestFit="1" customWidth="1"/>
    <col min="6698" max="6698" width="8.28515625" style="1" bestFit="1" customWidth="1"/>
    <col min="6699" max="6912" width="11.42578125" style="1"/>
    <col min="6913" max="6913" width="16.140625" style="1" customWidth="1"/>
    <col min="6914" max="6914" width="11.5703125" style="1" customWidth="1"/>
    <col min="6915" max="6915" width="12.140625" style="1" customWidth="1"/>
    <col min="6916" max="6916" width="13" style="1" customWidth="1"/>
    <col min="6917" max="6917" width="12" style="1" customWidth="1"/>
    <col min="6918" max="6918" width="10.7109375" style="1" customWidth="1"/>
    <col min="6919" max="6919" width="15.7109375" style="1" customWidth="1"/>
    <col min="6920" max="6920" width="14.140625" style="1" customWidth="1"/>
    <col min="6921" max="6921" width="14" style="1" customWidth="1"/>
    <col min="6922" max="6922" width="13.7109375" style="1" customWidth="1"/>
    <col min="6923" max="6923" width="16.42578125" style="1" customWidth="1"/>
    <col min="6924" max="6924" width="12.7109375" style="1" customWidth="1"/>
    <col min="6925" max="6925" width="14" style="1" customWidth="1"/>
    <col min="6926" max="6926" width="13" style="1" customWidth="1"/>
    <col min="6927" max="6928" width="13.140625" style="1" customWidth="1"/>
    <col min="6929" max="6929" width="13.7109375" style="1" customWidth="1"/>
    <col min="6930" max="6930" width="10.5703125" style="1" customWidth="1"/>
    <col min="6931" max="6931" width="12.140625" style="1" bestFit="1" customWidth="1"/>
    <col min="6932" max="6932" width="15.5703125" style="1" customWidth="1"/>
    <col min="6933" max="6933" width="8.28515625" style="1" customWidth="1"/>
    <col min="6934" max="6934" width="11.42578125" style="1"/>
    <col min="6935" max="6935" width="12.7109375" style="1" customWidth="1"/>
    <col min="6936" max="6936" width="13.140625" style="1" customWidth="1"/>
    <col min="6937" max="6937" width="11.7109375" style="1" customWidth="1"/>
    <col min="6938" max="6941" width="11.42578125" style="1"/>
    <col min="6942" max="6942" width="15.7109375" style="1" customWidth="1"/>
    <col min="6943" max="6943" width="5" style="1" bestFit="1" customWidth="1"/>
    <col min="6944" max="6944" width="6.42578125" style="1" bestFit="1" customWidth="1"/>
    <col min="6945" max="6945" width="5.42578125" style="1" bestFit="1" customWidth="1"/>
    <col min="6946" max="6946" width="4.28515625" style="1" bestFit="1" customWidth="1"/>
    <col min="6947" max="6947" width="5" style="1" bestFit="1" customWidth="1"/>
    <col min="6948" max="6948" width="4.5703125" style="1" bestFit="1" customWidth="1"/>
    <col min="6949" max="6949" width="6" style="1" customWidth="1"/>
    <col min="6950" max="6950" width="5.85546875" style="1" bestFit="1" customWidth="1"/>
    <col min="6951" max="6951" width="9.140625" style="1" bestFit="1" customWidth="1"/>
    <col min="6952" max="6952" width="6.5703125" style="1" bestFit="1" customWidth="1"/>
    <col min="6953" max="6953" width="8.85546875" style="1" bestFit="1" customWidth="1"/>
    <col min="6954" max="6954" width="8.28515625" style="1" bestFit="1" customWidth="1"/>
    <col min="6955" max="7168" width="11.42578125" style="1"/>
    <col min="7169" max="7169" width="16.140625" style="1" customWidth="1"/>
    <col min="7170" max="7170" width="11.5703125" style="1" customWidth="1"/>
    <col min="7171" max="7171" width="12.140625" style="1" customWidth="1"/>
    <col min="7172" max="7172" width="13" style="1" customWidth="1"/>
    <col min="7173" max="7173" width="12" style="1" customWidth="1"/>
    <col min="7174" max="7174" width="10.7109375" style="1" customWidth="1"/>
    <col min="7175" max="7175" width="15.7109375" style="1" customWidth="1"/>
    <col min="7176" max="7176" width="14.140625" style="1" customWidth="1"/>
    <col min="7177" max="7177" width="14" style="1" customWidth="1"/>
    <col min="7178" max="7178" width="13.7109375" style="1" customWidth="1"/>
    <col min="7179" max="7179" width="16.42578125" style="1" customWidth="1"/>
    <col min="7180" max="7180" width="12.7109375" style="1" customWidth="1"/>
    <col min="7181" max="7181" width="14" style="1" customWidth="1"/>
    <col min="7182" max="7182" width="13" style="1" customWidth="1"/>
    <col min="7183" max="7184" width="13.140625" style="1" customWidth="1"/>
    <col min="7185" max="7185" width="13.7109375" style="1" customWidth="1"/>
    <col min="7186" max="7186" width="10.5703125" style="1" customWidth="1"/>
    <col min="7187" max="7187" width="12.140625" style="1" bestFit="1" customWidth="1"/>
    <col min="7188" max="7188" width="15.5703125" style="1" customWidth="1"/>
    <col min="7189" max="7189" width="8.28515625" style="1" customWidth="1"/>
    <col min="7190" max="7190" width="11.42578125" style="1"/>
    <col min="7191" max="7191" width="12.7109375" style="1" customWidth="1"/>
    <col min="7192" max="7192" width="13.140625" style="1" customWidth="1"/>
    <col min="7193" max="7193" width="11.7109375" style="1" customWidth="1"/>
    <col min="7194" max="7197" width="11.42578125" style="1"/>
    <col min="7198" max="7198" width="15.7109375" style="1" customWidth="1"/>
    <col min="7199" max="7199" width="5" style="1" bestFit="1" customWidth="1"/>
    <col min="7200" max="7200" width="6.42578125" style="1" bestFit="1" customWidth="1"/>
    <col min="7201" max="7201" width="5.42578125" style="1" bestFit="1" customWidth="1"/>
    <col min="7202" max="7202" width="4.28515625" style="1" bestFit="1" customWidth="1"/>
    <col min="7203" max="7203" width="5" style="1" bestFit="1" customWidth="1"/>
    <col min="7204" max="7204" width="4.5703125" style="1" bestFit="1" customWidth="1"/>
    <col min="7205" max="7205" width="6" style="1" customWidth="1"/>
    <col min="7206" max="7206" width="5.85546875" style="1" bestFit="1" customWidth="1"/>
    <col min="7207" max="7207" width="9.140625" style="1" bestFit="1" customWidth="1"/>
    <col min="7208" max="7208" width="6.5703125" style="1" bestFit="1" customWidth="1"/>
    <col min="7209" max="7209" width="8.85546875" style="1" bestFit="1" customWidth="1"/>
    <col min="7210" max="7210" width="8.28515625" style="1" bestFit="1" customWidth="1"/>
    <col min="7211" max="7424" width="11.42578125" style="1"/>
    <col min="7425" max="7425" width="16.140625" style="1" customWidth="1"/>
    <col min="7426" max="7426" width="11.5703125" style="1" customWidth="1"/>
    <col min="7427" max="7427" width="12.140625" style="1" customWidth="1"/>
    <col min="7428" max="7428" width="13" style="1" customWidth="1"/>
    <col min="7429" max="7429" width="12" style="1" customWidth="1"/>
    <col min="7430" max="7430" width="10.7109375" style="1" customWidth="1"/>
    <col min="7431" max="7431" width="15.7109375" style="1" customWidth="1"/>
    <col min="7432" max="7432" width="14.140625" style="1" customWidth="1"/>
    <col min="7433" max="7433" width="14" style="1" customWidth="1"/>
    <col min="7434" max="7434" width="13.7109375" style="1" customWidth="1"/>
    <col min="7435" max="7435" width="16.42578125" style="1" customWidth="1"/>
    <col min="7436" max="7436" width="12.7109375" style="1" customWidth="1"/>
    <col min="7437" max="7437" width="14" style="1" customWidth="1"/>
    <col min="7438" max="7438" width="13" style="1" customWidth="1"/>
    <col min="7439" max="7440" width="13.140625" style="1" customWidth="1"/>
    <col min="7441" max="7441" width="13.7109375" style="1" customWidth="1"/>
    <col min="7442" max="7442" width="10.5703125" style="1" customWidth="1"/>
    <col min="7443" max="7443" width="12.140625" style="1" bestFit="1" customWidth="1"/>
    <col min="7444" max="7444" width="15.5703125" style="1" customWidth="1"/>
    <col min="7445" max="7445" width="8.28515625" style="1" customWidth="1"/>
    <col min="7446" max="7446" width="11.42578125" style="1"/>
    <col min="7447" max="7447" width="12.7109375" style="1" customWidth="1"/>
    <col min="7448" max="7448" width="13.140625" style="1" customWidth="1"/>
    <col min="7449" max="7449" width="11.7109375" style="1" customWidth="1"/>
    <col min="7450" max="7453" width="11.42578125" style="1"/>
    <col min="7454" max="7454" width="15.7109375" style="1" customWidth="1"/>
    <col min="7455" max="7455" width="5" style="1" bestFit="1" customWidth="1"/>
    <col min="7456" max="7456" width="6.42578125" style="1" bestFit="1" customWidth="1"/>
    <col min="7457" max="7457" width="5.42578125" style="1" bestFit="1" customWidth="1"/>
    <col min="7458" max="7458" width="4.28515625" style="1" bestFit="1" customWidth="1"/>
    <col min="7459" max="7459" width="5" style="1" bestFit="1" customWidth="1"/>
    <col min="7460" max="7460" width="4.5703125" style="1" bestFit="1" customWidth="1"/>
    <col min="7461" max="7461" width="6" style="1" customWidth="1"/>
    <col min="7462" max="7462" width="5.85546875" style="1" bestFit="1" customWidth="1"/>
    <col min="7463" max="7463" width="9.140625" style="1" bestFit="1" customWidth="1"/>
    <col min="7464" max="7464" width="6.5703125" style="1" bestFit="1" customWidth="1"/>
    <col min="7465" max="7465" width="8.85546875" style="1" bestFit="1" customWidth="1"/>
    <col min="7466" max="7466" width="8.28515625" style="1" bestFit="1" customWidth="1"/>
    <col min="7467" max="7680" width="11.42578125" style="1"/>
    <col min="7681" max="7681" width="16.140625" style="1" customWidth="1"/>
    <col min="7682" max="7682" width="11.5703125" style="1" customWidth="1"/>
    <col min="7683" max="7683" width="12.140625" style="1" customWidth="1"/>
    <col min="7684" max="7684" width="13" style="1" customWidth="1"/>
    <col min="7685" max="7685" width="12" style="1" customWidth="1"/>
    <col min="7686" max="7686" width="10.7109375" style="1" customWidth="1"/>
    <col min="7687" max="7687" width="15.7109375" style="1" customWidth="1"/>
    <col min="7688" max="7688" width="14.140625" style="1" customWidth="1"/>
    <col min="7689" max="7689" width="14" style="1" customWidth="1"/>
    <col min="7690" max="7690" width="13.7109375" style="1" customWidth="1"/>
    <col min="7691" max="7691" width="16.42578125" style="1" customWidth="1"/>
    <col min="7692" max="7692" width="12.7109375" style="1" customWidth="1"/>
    <col min="7693" max="7693" width="14" style="1" customWidth="1"/>
    <col min="7694" max="7694" width="13" style="1" customWidth="1"/>
    <col min="7695" max="7696" width="13.140625" style="1" customWidth="1"/>
    <col min="7697" max="7697" width="13.7109375" style="1" customWidth="1"/>
    <col min="7698" max="7698" width="10.5703125" style="1" customWidth="1"/>
    <col min="7699" max="7699" width="12.140625" style="1" bestFit="1" customWidth="1"/>
    <col min="7700" max="7700" width="15.5703125" style="1" customWidth="1"/>
    <col min="7701" max="7701" width="8.28515625" style="1" customWidth="1"/>
    <col min="7702" max="7702" width="11.42578125" style="1"/>
    <col min="7703" max="7703" width="12.7109375" style="1" customWidth="1"/>
    <col min="7704" max="7704" width="13.140625" style="1" customWidth="1"/>
    <col min="7705" max="7705" width="11.7109375" style="1" customWidth="1"/>
    <col min="7706" max="7709" width="11.42578125" style="1"/>
    <col min="7710" max="7710" width="15.7109375" style="1" customWidth="1"/>
    <col min="7711" max="7711" width="5" style="1" bestFit="1" customWidth="1"/>
    <col min="7712" max="7712" width="6.42578125" style="1" bestFit="1" customWidth="1"/>
    <col min="7713" max="7713" width="5.42578125" style="1" bestFit="1" customWidth="1"/>
    <col min="7714" max="7714" width="4.28515625" style="1" bestFit="1" customWidth="1"/>
    <col min="7715" max="7715" width="5" style="1" bestFit="1" customWidth="1"/>
    <col min="7716" max="7716" width="4.5703125" style="1" bestFit="1" customWidth="1"/>
    <col min="7717" max="7717" width="6" style="1" customWidth="1"/>
    <col min="7718" max="7718" width="5.85546875" style="1" bestFit="1" customWidth="1"/>
    <col min="7719" max="7719" width="9.140625" style="1" bestFit="1" customWidth="1"/>
    <col min="7720" max="7720" width="6.5703125" style="1" bestFit="1" customWidth="1"/>
    <col min="7721" max="7721" width="8.85546875" style="1" bestFit="1" customWidth="1"/>
    <col min="7722" max="7722" width="8.28515625" style="1" bestFit="1" customWidth="1"/>
    <col min="7723" max="7936" width="11.42578125" style="1"/>
    <col min="7937" max="7937" width="16.140625" style="1" customWidth="1"/>
    <col min="7938" max="7938" width="11.5703125" style="1" customWidth="1"/>
    <col min="7939" max="7939" width="12.140625" style="1" customWidth="1"/>
    <col min="7940" max="7940" width="13" style="1" customWidth="1"/>
    <col min="7941" max="7941" width="12" style="1" customWidth="1"/>
    <col min="7942" max="7942" width="10.7109375" style="1" customWidth="1"/>
    <col min="7943" max="7943" width="15.7109375" style="1" customWidth="1"/>
    <col min="7944" max="7944" width="14.140625" style="1" customWidth="1"/>
    <col min="7945" max="7945" width="14" style="1" customWidth="1"/>
    <col min="7946" max="7946" width="13.7109375" style="1" customWidth="1"/>
    <col min="7947" max="7947" width="16.42578125" style="1" customWidth="1"/>
    <col min="7948" max="7948" width="12.7109375" style="1" customWidth="1"/>
    <col min="7949" max="7949" width="14" style="1" customWidth="1"/>
    <col min="7950" max="7950" width="13" style="1" customWidth="1"/>
    <col min="7951" max="7952" width="13.140625" style="1" customWidth="1"/>
    <col min="7953" max="7953" width="13.7109375" style="1" customWidth="1"/>
    <col min="7954" max="7954" width="10.5703125" style="1" customWidth="1"/>
    <col min="7955" max="7955" width="12.140625" style="1" bestFit="1" customWidth="1"/>
    <col min="7956" max="7956" width="15.5703125" style="1" customWidth="1"/>
    <col min="7957" max="7957" width="8.28515625" style="1" customWidth="1"/>
    <col min="7958" max="7958" width="11.42578125" style="1"/>
    <col min="7959" max="7959" width="12.7109375" style="1" customWidth="1"/>
    <col min="7960" max="7960" width="13.140625" style="1" customWidth="1"/>
    <col min="7961" max="7961" width="11.7109375" style="1" customWidth="1"/>
    <col min="7962" max="7965" width="11.42578125" style="1"/>
    <col min="7966" max="7966" width="15.7109375" style="1" customWidth="1"/>
    <col min="7967" max="7967" width="5" style="1" bestFit="1" customWidth="1"/>
    <col min="7968" max="7968" width="6.42578125" style="1" bestFit="1" customWidth="1"/>
    <col min="7969" max="7969" width="5.42578125" style="1" bestFit="1" customWidth="1"/>
    <col min="7970" max="7970" width="4.28515625" style="1" bestFit="1" customWidth="1"/>
    <col min="7971" max="7971" width="5" style="1" bestFit="1" customWidth="1"/>
    <col min="7972" max="7972" width="4.5703125" style="1" bestFit="1" customWidth="1"/>
    <col min="7973" max="7973" width="6" style="1" customWidth="1"/>
    <col min="7974" max="7974" width="5.85546875" style="1" bestFit="1" customWidth="1"/>
    <col min="7975" max="7975" width="9.140625" style="1" bestFit="1" customWidth="1"/>
    <col min="7976" max="7976" width="6.5703125" style="1" bestFit="1" customWidth="1"/>
    <col min="7977" max="7977" width="8.85546875" style="1" bestFit="1" customWidth="1"/>
    <col min="7978" max="7978" width="8.28515625" style="1" bestFit="1" customWidth="1"/>
    <col min="7979" max="8192" width="11.42578125" style="1"/>
    <col min="8193" max="8193" width="16.140625" style="1" customWidth="1"/>
    <col min="8194" max="8194" width="11.5703125" style="1" customWidth="1"/>
    <col min="8195" max="8195" width="12.140625" style="1" customWidth="1"/>
    <col min="8196" max="8196" width="13" style="1" customWidth="1"/>
    <col min="8197" max="8197" width="12" style="1" customWidth="1"/>
    <col min="8198" max="8198" width="10.7109375" style="1" customWidth="1"/>
    <col min="8199" max="8199" width="15.7109375" style="1" customWidth="1"/>
    <col min="8200" max="8200" width="14.140625" style="1" customWidth="1"/>
    <col min="8201" max="8201" width="14" style="1" customWidth="1"/>
    <col min="8202" max="8202" width="13.7109375" style="1" customWidth="1"/>
    <col min="8203" max="8203" width="16.42578125" style="1" customWidth="1"/>
    <col min="8204" max="8204" width="12.7109375" style="1" customWidth="1"/>
    <col min="8205" max="8205" width="14" style="1" customWidth="1"/>
    <col min="8206" max="8206" width="13" style="1" customWidth="1"/>
    <col min="8207" max="8208" width="13.140625" style="1" customWidth="1"/>
    <col min="8209" max="8209" width="13.7109375" style="1" customWidth="1"/>
    <col min="8210" max="8210" width="10.5703125" style="1" customWidth="1"/>
    <col min="8211" max="8211" width="12.140625" style="1" bestFit="1" customWidth="1"/>
    <col min="8212" max="8212" width="15.5703125" style="1" customWidth="1"/>
    <col min="8213" max="8213" width="8.28515625" style="1" customWidth="1"/>
    <col min="8214" max="8214" width="11.42578125" style="1"/>
    <col min="8215" max="8215" width="12.7109375" style="1" customWidth="1"/>
    <col min="8216" max="8216" width="13.140625" style="1" customWidth="1"/>
    <col min="8217" max="8217" width="11.7109375" style="1" customWidth="1"/>
    <col min="8218" max="8221" width="11.42578125" style="1"/>
    <col min="8222" max="8222" width="15.7109375" style="1" customWidth="1"/>
    <col min="8223" max="8223" width="5" style="1" bestFit="1" customWidth="1"/>
    <col min="8224" max="8224" width="6.42578125" style="1" bestFit="1" customWidth="1"/>
    <col min="8225" max="8225" width="5.42578125" style="1" bestFit="1" customWidth="1"/>
    <col min="8226" max="8226" width="4.28515625" style="1" bestFit="1" customWidth="1"/>
    <col min="8227" max="8227" width="5" style="1" bestFit="1" customWidth="1"/>
    <col min="8228" max="8228" width="4.5703125" style="1" bestFit="1" customWidth="1"/>
    <col min="8229" max="8229" width="6" style="1" customWidth="1"/>
    <col min="8230" max="8230" width="5.85546875" style="1" bestFit="1" customWidth="1"/>
    <col min="8231" max="8231" width="9.140625" style="1" bestFit="1" customWidth="1"/>
    <col min="8232" max="8232" width="6.5703125" style="1" bestFit="1" customWidth="1"/>
    <col min="8233" max="8233" width="8.85546875" style="1" bestFit="1" customWidth="1"/>
    <col min="8234" max="8234" width="8.28515625" style="1" bestFit="1" customWidth="1"/>
    <col min="8235" max="8448" width="11.42578125" style="1"/>
    <col min="8449" max="8449" width="16.140625" style="1" customWidth="1"/>
    <col min="8450" max="8450" width="11.5703125" style="1" customWidth="1"/>
    <col min="8451" max="8451" width="12.140625" style="1" customWidth="1"/>
    <col min="8452" max="8452" width="13" style="1" customWidth="1"/>
    <col min="8453" max="8453" width="12" style="1" customWidth="1"/>
    <col min="8454" max="8454" width="10.7109375" style="1" customWidth="1"/>
    <col min="8455" max="8455" width="15.7109375" style="1" customWidth="1"/>
    <col min="8456" max="8456" width="14.140625" style="1" customWidth="1"/>
    <col min="8457" max="8457" width="14" style="1" customWidth="1"/>
    <col min="8458" max="8458" width="13.7109375" style="1" customWidth="1"/>
    <col min="8459" max="8459" width="16.42578125" style="1" customWidth="1"/>
    <col min="8460" max="8460" width="12.7109375" style="1" customWidth="1"/>
    <col min="8461" max="8461" width="14" style="1" customWidth="1"/>
    <col min="8462" max="8462" width="13" style="1" customWidth="1"/>
    <col min="8463" max="8464" width="13.140625" style="1" customWidth="1"/>
    <col min="8465" max="8465" width="13.7109375" style="1" customWidth="1"/>
    <col min="8466" max="8466" width="10.5703125" style="1" customWidth="1"/>
    <col min="8467" max="8467" width="12.140625" style="1" bestFit="1" customWidth="1"/>
    <col min="8468" max="8468" width="15.5703125" style="1" customWidth="1"/>
    <col min="8469" max="8469" width="8.28515625" style="1" customWidth="1"/>
    <col min="8470" max="8470" width="11.42578125" style="1"/>
    <col min="8471" max="8471" width="12.7109375" style="1" customWidth="1"/>
    <col min="8472" max="8472" width="13.140625" style="1" customWidth="1"/>
    <col min="8473" max="8473" width="11.7109375" style="1" customWidth="1"/>
    <col min="8474" max="8477" width="11.42578125" style="1"/>
    <col min="8478" max="8478" width="15.7109375" style="1" customWidth="1"/>
    <col min="8479" max="8479" width="5" style="1" bestFit="1" customWidth="1"/>
    <col min="8480" max="8480" width="6.42578125" style="1" bestFit="1" customWidth="1"/>
    <col min="8481" max="8481" width="5.42578125" style="1" bestFit="1" customWidth="1"/>
    <col min="8482" max="8482" width="4.28515625" style="1" bestFit="1" customWidth="1"/>
    <col min="8483" max="8483" width="5" style="1" bestFit="1" customWidth="1"/>
    <col min="8484" max="8484" width="4.5703125" style="1" bestFit="1" customWidth="1"/>
    <col min="8485" max="8485" width="6" style="1" customWidth="1"/>
    <col min="8486" max="8486" width="5.85546875" style="1" bestFit="1" customWidth="1"/>
    <col min="8487" max="8487" width="9.140625" style="1" bestFit="1" customWidth="1"/>
    <col min="8488" max="8488" width="6.5703125" style="1" bestFit="1" customWidth="1"/>
    <col min="8489" max="8489" width="8.85546875" style="1" bestFit="1" customWidth="1"/>
    <col min="8490" max="8490" width="8.28515625" style="1" bestFit="1" customWidth="1"/>
    <col min="8491" max="8704" width="11.42578125" style="1"/>
    <col min="8705" max="8705" width="16.140625" style="1" customWidth="1"/>
    <col min="8706" max="8706" width="11.5703125" style="1" customWidth="1"/>
    <col min="8707" max="8707" width="12.140625" style="1" customWidth="1"/>
    <col min="8708" max="8708" width="13" style="1" customWidth="1"/>
    <col min="8709" max="8709" width="12" style="1" customWidth="1"/>
    <col min="8710" max="8710" width="10.7109375" style="1" customWidth="1"/>
    <col min="8711" max="8711" width="15.7109375" style="1" customWidth="1"/>
    <col min="8712" max="8712" width="14.140625" style="1" customWidth="1"/>
    <col min="8713" max="8713" width="14" style="1" customWidth="1"/>
    <col min="8714" max="8714" width="13.7109375" style="1" customWidth="1"/>
    <col min="8715" max="8715" width="16.42578125" style="1" customWidth="1"/>
    <col min="8716" max="8716" width="12.7109375" style="1" customWidth="1"/>
    <col min="8717" max="8717" width="14" style="1" customWidth="1"/>
    <col min="8718" max="8718" width="13" style="1" customWidth="1"/>
    <col min="8719" max="8720" width="13.140625" style="1" customWidth="1"/>
    <col min="8721" max="8721" width="13.7109375" style="1" customWidth="1"/>
    <col min="8722" max="8722" width="10.5703125" style="1" customWidth="1"/>
    <col min="8723" max="8723" width="12.140625" style="1" bestFit="1" customWidth="1"/>
    <col min="8724" max="8724" width="15.5703125" style="1" customWidth="1"/>
    <col min="8725" max="8725" width="8.28515625" style="1" customWidth="1"/>
    <col min="8726" max="8726" width="11.42578125" style="1"/>
    <col min="8727" max="8727" width="12.7109375" style="1" customWidth="1"/>
    <col min="8728" max="8728" width="13.140625" style="1" customWidth="1"/>
    <col min="8729" max="8729" width="11.7109375" style="1" customWidth="1"/>
    <col min="8730" max="8733" width="11.42578125" style="1"/>
    <col min="8734" max="8734" width="15.7109375" style="1" customWidth="1"/>
    <col min="8735" max="8735" width="5" style="1" bestFit="1" customWidth="1"/>
    <col min="8736" max="8736" width="6.42578125" style="1" bestFit="1" customWidth="1"/>
    <col min="8737" max="8737" width="5.42578125" style="1" bestFit="1" customWidth="1"/>
    <col min="8738" max="8738" width="4.28515625" style="1" bestFit="1" customWidth="1"/>
    <col min="8739" max="8739" width="5" style="1" bestFit="1" customWidth="1"/>
    <col min="8740" max="8740" width="4.5703125" style="1" bestFit="1" customWidth="1"/>
    <col min="8741" max="8741" width="6" style="1" customWidth="1"/>
    <col min="8742" max="8742" width="5.85546875" style="1" bestFit="1" customWidth="1"/>
    <col min="8743" max="8743" width="9.140625" style="1" bestFit="1" customWidth="1"/>
    <col min="8744" max="8744" width="6.5703125" style="1" bestFit="1" customWidth="1"/>
    <col min="8745" max="8745" width="8.85546875" style="1" bestFit="1" customWidth="1"/>
    <col min="8746" max="8746" width="8.28515625" style="1" bestFit="1" customWidth="1"/>
    <col min="8747" max="8960" width="11.42578125" style="1"/>
    <col min="8961" max="8961" width="16.140625" style="1" customWidth="1"/>
    <col min="8962" max="8962" width="11.5703125" style="1" customWidth="1"/>
    <col min="8963" max="8963" width="12.140625" style="1" customWidth="1"/>
    <col min="8964" max="8964" width="13" style="1" customWidth="1"/>
    <col min="8965" max="8965" width="12" style="1" customWidth="1"/>
    <col min="8966" max="8966" width="10.7109375" style="1" customWidth="1"/>
    <col min="8967" max="8967" width="15.7109375" style="1" customWidth="1"/>
    <col min="8968" max="8968" width="14.140625" style="1" customWidth="1"/>
    <col min="8969" max="8969" width="14" style="1" customWidth="1"/>
    <col min="8970" max="8970" width="13.7109375" style="1" customWidth="1"/>
    <col min="8971" max="8971" width="16.42578125" style="1" customWidth="1"/>
    <col min="8972" max="8972" width="12.7109375" style="1" customWidth="1"/>
    <col min="8973" max="8973" width="14" style="1" customWidth="1"/>
    <col min="8974" max="8974" width="13" style="1" customWidth="1"/>
    <col min="8975" max="8976" width="13.140625" style="1" customWidth="1"/>
    <col min="8977" max="8977" width="13.7109375" style="1" customWidth="1"/>
    <col min="8978" max="8978" width="10.5703125" style="1" customWidth="1"/>
    <col min="8979" max="8979" width="12.140625" style="1" bestFit="1" customWidth="1"/>
    <col min="8980" max="8980" width="15.5703125" style="1" customWidth="1"/>
    <col min="8981" max="8981" width="8.28515625" style="1" customWidth="1"/>
    <col min="8982" max="8982" width="11.42578125" style="1"/>
    <col min="8983" max="8983" width="12.7109375" style="1" customWidth="1"/>
    <col min="8984" max="8984" width="13.140625" style="1" customWidth="1"/>
    <col min="8985" max="8985" width="11.7109375" style="1" customWidth="1"/>
    <col min="8986" max="8989" width="11.42578125" style="1"/>
    <col min="8990" max="8990" width="15.7109375" style="1" customWidth="1"/>
    <col min="8991" max="8991" width="5" style="1" bestFit="1" customWidth="1"/>
    <col min="8992" max="8992" width="6.42578125" style="1" bestFit="1" customWidth="1"/>
    <col min="8993" max="8993" width="5.42578125" style="1" bestFit="1" customWidth="1"/>
    <col min="8994" max="8994" width="4.28515625" style="1" bestFit="1" customWidth="1"/>
    <col min="8995" max="8995" width="5" style="1" bestFit="1" customWidth="1"/>
    <col min="8996" max="8996" width="4.5703125" style="1" bestFit="1" customWidth="1"/>
    <col min="8997" max="8997" width="6" style="1" customWidth="1"/>
    <col min="8998" max="8998" width="5.85546875" style="1" bestFit="1" customWidth="1"/>
    <col min="8999" max="8999" width="9.140625" style="1" bestFit="1" customWidth="1"/>
    <col min="9000" max="9000" width="6.5703125" style="1" bestFit="1" customWidth="1"/>
    <col min="9001" max="9001" width="8.85546875" style="1" bestFit="1" customWidth="1"/>
    <col min="9002" max="9002" width="8.28515625" style="1" bestFit="1" customWidth="1"/>
    <col min="9003" max="9216" width="11.42578125" style="1"/>
    <col min="9217" max="9217" width="16.140625" style="1" customWidth="1"/>
    <col min="9218" max="9218" width="11.5703125" style="1" customWidth="1"/>
    <col min="9219" max="9219" width="12.140625" style="1" customWidth="1"/>
    <col min="9220" max="9220" width="13" style="1" customWidth="1"/>
    <col min="9221" max="9221" width="12" style="1" customWidth="1"/>
    <col min="9222" max="9222" width="10.7109375" style="1" customWidth="1"/>
    <col min="9223" max="9223" width="15.7109375" style="1" customWidth="1"/>
    <col min="9224" max="9224" width="14.140625" style="1" customWidth="1"/>
    <col min="9225" max="9225" width="14" style="1" customWidth="1"/>
    <col min="9226" max="9226" width="13.7109375" style="1" customWidth="1"/>
    <col min="9227" max="9227" width="16.42578125" style="1" customWidth="1"/>
    <col min="9228" max="9228" width="12.7109375" style="1" customWidth="1"/>
    <col min="9229" max="9229" width="14" style="1" customWidth="1"/>
    <col min="9230" max="9230" width="13" style="1" customWidth="1"/>
    <col min="9231" max="9232" width="13.140625" style="1" customWidth="1"/>
    <col min="9233" max="9233" width="13.7109375" style="1" customWidth="1"/>
    <col min="9234" max="9234" width="10.5703125" style="1" customWidth="1"/>
    <col min="9235" max="9235" width="12.140625" style="1" bestFit="1" customWidth="1"/>
    <col min="9236" max="9236" width="15.5703125" style="1" customWidth="1"/>
    <col min="9237" max="9237" width="8.28515625" style="1" customWidth="1"/>
    <col min="9238" max="9238" width="11.42578125" style="1"/>
    <col min="9239" max="9239" width="12.7109375" style="1" customWidth="1"/>
    <col min="9240" max="9240" width="13.140625" style="1" customWidth="1"/>
    <col min="9241" max="9241" width="11.7109375" style="1" customWidth="1"/>
    <col min="9242" max="9245" width="11.42578125" style="1"/>
    <col min="9246" max="9246" width="15.7109375" style="1" customWidth="1"/>
    <col min="9247" max="9247" width="5" style="1" bestFit="1" customWidth="1"/>
    <col min="9248" max="9248" width="6.42578125" style="1" bestFit="1" customWidth="1"/>
    <col min="9249" max="9249" width="5.42578125" style="1" bestFit="1" customWidth="1"/>
    <col min="9250" max="9250" width="4.28515625" style="1" bestFit="1" customWidth="1"/>
    <col min="9251" max="9251" width="5" style="1" bestFit="1" customWidth="1"/>
    <col min="9252" max="9252" width="4.5703125" style="1" bestFit="1" customWidth="1"/>
    <col min="9253" max="9253" width="6" style="1" customWidth="1"/>
    <col min="9254" max="9254" width="5.85546875" style="1" bestFit="1" customWidth="1"/>
    <col min="9255" max="9255" width="9.140625" style="1" bestFit="1" customWidth="1"/>
    <col min="9256" max="9256" width="6.5703125" style="1" bestFit="1" customWidth="1"/>
    <col min="9257" max="9257" width="8.85546875" style="1" bestFit="1" customWidth="1"/>
    <col min="9258" max="9258" width="8.28515625" style="1" bestFit="1" customWidth="1"/>
    <col min="9259" max="9472" width="11.42578125" style="1"/>
    <col min="9473" max="9473" width="16.140625" style="1" customWidth="1"/>
    <col min="9474" max="9474" width="11.5703125" style="1" customWidth="1"/>
    <col min="9475" max="9475" width="12.140625" style="1" customWidth="1"/>
    <col min="9476" max="9476" width="13" style="1" customWidth="1"/>
    <col min="9477" max="9477" width="12" style="1" customWidth="1"/>
    <col min="9478" max="9478" width="10.7109375" style="1" customWidth="1"/>
    <col min="9479" max="9479" width="15.7109375" style="1" customWidth="1"/>
    <col min="9480" max="9480" width="14.140625" style="1" customWidth="1"/>
    <col min="9481" max="9481" width="14" style="1" customWidth="1"/>
    <col min="9482" max="9482" width="13.7109375" style="1" customWidth="1"/>
    <col min="9483" max="9483" width="16.42578125" style="1" customWidth="1"/>
    <col min="9484" max="9484" width="12.7109375" style="1" customWidth="1"/>
    <col min="9485" max="9485" width="14" style="1" customWidth="1"/>
    <col min="9486" max="9486" width="13" style="1" customWidth="1"/>
    <col min="9487" max="9488" width="13.140625" style="1" customWidth="1"/>
    <col min="9489" max="9489" width="13.7109375" style="1" customWidth="1"/>
    <col min="9490" max="9490" width="10.5703125" style="1" customWidth="1"/>
    <col min="9491" max="9491" width="12.140625" style="1" bestFit="1" customWidth="1"/>
    <col min="9492" max="9492" width="15.5703125" style="1" customWidth="1"/>
    <col min="9493" max="9493" width="8.28515625" style="1" customWidth="1"/>
    <col min="9494" max="9494" width="11.42578125" style="1"/>
    <col min="9495" max="9495" width="12.7109375" style="1" customWidth="1"/>
    <col min="9496" max="9496" width="13.140625" style="1" customWidth="1"/>
    <col min="9497" max="9497" width="11.7109375" style="1" customWidth="1"/>
    <col min="9498" max="9501" width="11.42578125" style="1"/>
    <col min="9502" max="9502" width="15.7109375" style="1" customWidth="1"/>
    <col min="9503" max="9503" width="5" style="1" bestFit="1" customWidth="1"/>
    <col min="9504" max="9504" width="6.42578125" style="1" bestFit="1" customWidth="1"/>
    <col min="9505" max="9505" width="5.42578125" style="1" bestFit="1" customWidth="1"/>
    <col min="9506" max="9506" width="4.28515625" style="1" bestFit="1" customWidth="1"/>
    <col min="9507" max="9507" width="5" style="1" bestFit="1" customWidth="1"/>
    <col min="9508" max="9508" width="4.5703125" style="1" bestFit="1" customWidth="1"/>
    <col min="9509" max="9509" width="6" style="1" customWidth="1"/>
    <col min="9510" max="9510" width="5.85546875" style="1" bestFit="1" customWidth="1"/>
    <col min="9511" max="9511" width="9.140625" style="1" bestFit="1" customWidth="1"/>
    <col min="9512" max="9512" width="6.5703125" style="1" bestFit="1" customWidth="1"/>
    <col min="9513" max="9513" width="8.85546875" style="1" bestFit="1" customWidth="1"/>
    <col min="9514" max="9514" width="8.28515625" style="1" bestFit="1" customWidth="1"/>
    <col min="9515" max="9728" width="11.42578125" style="1"/>
    <col min="9729" max="9729" width="16.140625" style="1" customWidth="1"/>
    <col min="9730" max="9730" width="11.5703125" style="1" customWidth="1"/>
    <col min="9731" max="9731" width="12.140625" style="1" customWidth="1"/>
    <col min="9732" max="9732" width="13" style="1" customWidth="1"/>
    <col min="9733" max="9733" width="12" style="1" customWidth="1"/>
    <col min="9734" max="9734" width="10.7109375" style="1" customWidth="1"/>
    <col min="9735" max="9735" width="15.7109375" style="1" customWidth="1"/>
    <col min="9736" max="9736" width="14.140625" style="1" customWidth="1"/>
    <col min="9737" max="9737" width="14" style="1" customWidth="1"/>
    <col min="9738" max="9738" width="13.7109375" style="1" customWidth="1"/>
    <col min="9739" max="9739" width="16.42578125" style="1" customWidth="1"/>
    <col min="9740" max="9740" width="12.7109375" style="1" customWidth="1"/>
    <col min="9741" max="9741" width="14" style="1" customWidth="1"/>
    <col min="9742" max="9742" width="13" style="1" customWidth="1"/>
    <col min="9743" max="9744" width="13.140625" style="1" customWidth="1"/>
    <col min="9745" max="9745" width="13.7109375" style="1" customWidth="1"/>
    <col min="9746" max="9746" width="10.5703125" style="1" customWidth="1"/>
    <col min="9747" max="9747" width="12.140625" style="1" bestFit="1" customWidth="1"/>
    <col min="9748" max="9748" width="15.5703125" style="1" customWidth="1"/>
    <col min="9749" max="9749" width="8.28515625" style="1" customWidth="1"/>
    <col min="9750" max="9750" width="11.42578125" style="1"/>
    <col min="9751" max="9751" width="12.7109375" style="1" customWidth="1"/>
    <col min="9752" max="9752" width="13.140625" style="1" customWidth="1"/>
    <col min="9753" max="9753" width="11.7109375" style="1" customWidth="1"/>
    <col min="9754" max="9757" width="11.42578125" style="1"/>
    <col min="9758" max="9758" width="15.7109375" style="1" customWidth="1"/>
    <col min="9759" max="9759" width="5" style="1" bestFit="1" customWidth="1"/>
    <col min="9760" max="9760" width="6.42578125" style="1" bestFit="1" customWidth="1"/>
    <col min="9761" max="9761" width="5.42578125" style="1" bestFit="1" customWidth="1"/>
    <col min="9762" max="9762" width="4.28515625" style="1" bestFit="1" customWidth="1"/>
    <col min="9763" max="9763" width="5" style="1" bestFit="1" customWidth="1"/>
    <col min="9764" max="9764" width="4.5703125" style="1" bestFit="1" customWidth="1"/>
    <col min="9765" max="9765" width="6" style="1" customWidth="1"/>
    <col min="9766" max="9766" width="5.85546875" style="1" bestFit="1" customWidth="1"/>
    <col min="9767" max="9767" width="9.140625" style="1" bestFit="1" customWidth="1"/>
    <col min="9768" max="9768" width="6.5703125" style="1" bestFit="1" customWidth="1"/>
    <col min="9769" max="9769" width="8.85546875" style="1" bestFit="1" customWidth="1"/>
    <col min="9770" max="9770" width="8.28515625" style="1" bestFit="1" customWidth="1"/>
    <col min="9771" max="9984" width="11.42578125" style="1"/>
    <col min="9985" max="9985" width="16.140625" style="1" customWidth="1"/>
    <col min="9986" max="9986" width="11.5703125" style="1" customWidth="1"/>
    <col min="9987" max="9987" width="12.140625" style="1" customWidth="1"/>
    <col min="9988" max="9988" width="13" style="1" customWidth="1"/>
    <col min="9989" max="9989" width="12" style="1" customWidth="1"/>
    <col min="9990" max="9990" width="10.7109375" style="1" customWidth="1"/>
    <col min="9991" max="9991" width="15.7109375" style="1" customWidth="1"/>
    <col min="9992" max="9992" width="14.140625" style="1" customWidth="1"/>
    <col min="9993" max="9993" width="14" style="1" customWidth="1"/>
    <col min="9994" max="9994" width="13.7109375" style="1" customWidth="1"/>
    <col min="9995" max="9995" width="16.42578125" style="1" customWidth="1"/>
    <col min="9996" max="9996" width="12.7109375" style="1" customWidth="1"/>
    <col min="9997" max="9997" width="14" style="1" customWidth="1"/>
    <col min="9998" max="9998" width="13" style="1" customWidth="1"/>
    <col min="9999" max="10000" width="13.140625" style="1" customWidth="1"/>
    <col min="10001" max="10001" width="13.7109375" style="1" customWidth="1"/>
    <col min="10002" max="10002" width="10.5703125" style="1" customWidth="1"/>
    <col min="10003" max="10003" width="12.140625" style="1" bestFit="1" customWidth="1"/>
    <col min="10004" max="10004" width="15.5703125" style="1" customWidth="1"/>
    <col min="10005" max="10005" width="8.28515625" style="1" customWidth="1"/>
    <col min="10006" max="10006" width="11.42578125" style="1"/>
    <col min="10007" max="10007" width="12.7109375" style="1" customWidth="1"/>
    <col min="10008" max="10008" width="13.140625" style="1" customWidth="1"/>
    <col min="10009" max="10009" width="11.7109375" style="1" customWidth="1"/>
    <col min="10010" max="10013" width="11.42578125" style="1"/>
    <col min="10014" max="10014" width="15.7109375" style="1" customWidth="1"/>
    <col min="10015" max="10015" width="5" style="1" bestFit="1" customWidth="1"/>
    <col min="10016" max="10016" width="6.42578125" style="1" bestFit="1" customWidth="1"/>
    <col min="10017" max="10017" width="5.42578125" style="1" bestFit="1" customWidth="1"/>
    <col min="10018" max="10018" width="4.28515625" style="1" bestFit="1" customWidth="1"/>
    <col min="10019" max="10019" width="5" style="1" bestFit="1" customWidth="1"/>
    <col min="10020" max="10020" width="4.5703125" style="1" bestFit="1" customWidth="1"/>
    <col min="10021" max="10021" width="6" style="1" customWidth="1"/>
    <col min="10022" max="10022" width="5.85546875" style="1" bestFit="1" customWidth="1"/>
    <col min="10023" max="10023" width="9.140625" style="1" bestFit="1" customWidth="1"/>
    <col min="10024" max="10024" width="6.5703125" style="1" bestFit="1" customWidth="1"/>
    <col min="10025" max="10025" width="8.85546875" style="1" bestFit="1" customWidth="1"/>
    <col min="10026" max="10026" width="8.28515625" style="1" bestFit="1" customWidth="1"/>
    <col min="10027" max="10240" width="11.42578125" style="1"/>
    <col min="10241" max="10241" width="16.140625" style="1" customWidth="1"/>
    <col min="10242" max="10242" width="11.5703125" style="1" customWidth="1"/>
    <col min="10243" max="10243" width="12.140625" style="1" customWidth="1"/>
    <col min="10244" max="10244" width="13" style="1" customWidth="1"/>
    <col min="10245" max="10245" width="12" style="1" customWidth="1"/>
    <col min="10246" max="10246" width="10.7109375" style="1" customWidth="1"/>
    <col min="10247" max="10247" width="15.7109375" style="1" customWidth="1"/>
    <col min="10248" max="10248" width="14.140625" style="1" customWidth="1"/>
    <col min="10249" max="10249" width="14" style="1" customWidth="1"/>
    <col min="10250" max="10250" width="13.7109375" style="1" customWidth="1"/>
    <col min="10251" max="10251" width="16.42578125" style="1" customWidth="1"/>
    <col min="10252" max="10252" width="12.7109375" style="1" customWidth="1"/>
    <col min="10253" max="10253" width="14" style="1" customWidth="1"/>
    <col min="10254" max="10254" width="13" style="1" customWidth="1"/>
    <col min="10255" max="10256" width="13.140625" style="1" customWidth="1"/>
    <col min="10257" max="10257" width="13.7109375" style="1" customWidth="1"/>
    <col min="10258" max="10258" width="10.5703125" style="1" customWidth="1"/>
    <col min="10259" max="10259" width="12.140625" style="1" bestFit="1" customWidth="1"/>
    <col min="10260" max="10260" width="15.5703125" style="1" customWidth="1"/>
    <col min="10261" max="10261" width="8.28515625" style="1" customWidth="1"/>
    <col min="10262" max="10262" width="11.42578125" style="1"/>
    <col min="10263" max="10263" width="12.7109375" style="1" customWidth="1"/>
    <col min="10264" max="10264" width="13.140625" style="1" customWidth="1"/>
    <col min="10265" max="10265" width="11.7109375" style="1" customWidth="1"/>
    <col min="10266" max="10269" width="11.42578125" style="1"/>
    <col min="10270" max="10270" width="15.7109375" style="1" customWidth="1"/>
    <col min="10271" max="10271" width="5" style="1" bestFit="1" customWidth="1"/>
    <col min="10272" max="10272" width="6.42578125" style="1" bestFit="1" customWidth="1"/>
    <col min="10273" max="10273" width="5.42578125" style="1" bestFit="1" customWidth="1"/>
    <col min="10274" max="10274" width="4.28515625" style="1" bestFit="1" customWidth="1"/>
    <col min="10275" max="10275" width="5" style="1" bestFit="1" customWidth="1"/>
    <col min="10276" max="10276" width="4.5703125" style="1" bestFit="1" customWidth="1"/>
    <col min="10277" max="10277" width="6" style="1" customWidth="1"/>
    <col min="10278" max="10278" width="5.85546875" style="1" bestFit="1" customWidth="1"/>
    <col min="10279" max="10279" width="9.140625" style="1" bestFit="1" customWidth="1"/>
    <col min="10280" max="10280" width="6.5703125" style="1" bestFit="1" customWidth="1"/>
    <col min="10281" max="10281" width="8.85546875" style="1" bestFit="1" customWidth="1"/>
    <col min="10282" max="10282" width="8.28515625" style="1" bestFit="1" customWidth="1"/>
    <col min="10283" max="10496" width="11.42578125" style="1"/>
    <col min="10497" max="10497" width="16.140625" style="1" customWidth="1"/>
    <col min="10498" max="10498" width="11.5703125" style="1" customWidth="1"/>
    <col min="10499" max="10499" width="12.140625" style="1" customWidth="1"/>
    <col min="10500" max="10500" width="13" style="1" customWidth="1"/>
    <col min="10501" max="10501" width="12" style="1" customWidth="1"/>
    <col min="10502" max="10502" width="10.7109375" style="1" customWidth="1"/>
    <col min="10503" max="10503" width="15.7109375" style="1" customWidth="1"/>
    <col min="10504" max="10504" width="14.140625" style="1" customWidth="1"/>
    <col min="10505" max="10505" width="14" style="1" customWidth="1"/>
    <col min="10506" max="10506" width="13.7109375" style="1" customWidth="1"/>
    <col min="10507" max="10507" width="16.42578125" style="1" customWidth="1"/>
    <col min="10508" max="10508" width="12.7109375" style="1" customWidth="1"/>
    <col min="10509" max="10509" width="14" style="1" customWidth="1"/>
    <col min="10510" max="10510" width="13" style="1" customWidth="1"/>
    <col min="10511" max="10512" width="13.140625" style="1" customWidth="1"/>
    <col min="10513" max="10513" width="13.7109375" style="1" customWidth="1"/>
    <col min="10514" max="10514" width="10.5703125" style="1" customWidth="1"/>
    <col min="10515" max="10515" width="12.140625" style="1" bestFit="1" customWidth="1"/>
    <col min="10516" max="10516" width="15.5703125" style="1" customWidth="1"/>
    <col min="10517" max="10517" width="8.28515625" style="1" customWidth="1"/>
    <col min="10518" max="10518" width="11.42578125" style="1"/>
    <col min="10519" max="10519" width="12.7109375" style="1" customWidth="1"/>
    <col min="10520" max="10520" width="13.140625" style="1" customWidth="1"/>
    <col min="10521" max="10521" width="11.7109375" style="1" customWidth="1"/>
    <col min="10522" max="10525" width="11.42578125" style="1"/>
    <col min="10526" max="10526" width="15.7109375" style="1" customWidth="1"/>
    <col min="10527" max="10527" width="5" style="1" bestFit="1" customWidth="1"/>
    <col min="10528" max="10528" width="6.42578125" style="1" bestFit="1" customWidth="1"/>
    <col min="10529" max="10529" width="5.42578125" style="1" bestFit="1" customWidth="1"/>
    <col min="10530" max="10530" width="4.28515625" style="1" bestFit="1" customWidth="1"/>
    <col min="10531" max="10531" width="5" style="1" bestFit="1" customWidth="1"/>
    <col min="10532" max="10532" width="4.5703125" style="1" bestFit="1" customWidth="1"/>
    <col min="10533" max="10533" width="6" style="1" customWidth="1"/>
    <col min="10534" max="10534" width="5.85546875" style="1" bestFit="1" customWidth="1"/>
    <col min="10535" max="10535" width="9.140625" style="1" bestFit="1" customWidth="1"/>
    <col min="10536" max="10536" width="6.5703125" style="1" bestFit="1" customWidth="1"/>
    <col min="10537" max="10537" width="8.85546875" style="1" bestFit="1" customWidth="1"/>
    <col min="10538" max="10538" width="8.28515625" style="1" bestFit="1" customWidth="1"/>
    <col min="10539" max="10752" width="11.42578125" style="1"/>
    <col min="10753" max="10753" width="16.140625" style="1" customWidth="1"/>
    <col min="10754" max="10754" width="11.5703125" style="1" customWidth="1"/>
    <col min="10755" max="10755" width="12.140625" style="1" customWidth="1"/>
    <col min="10756" max="10756" width="13" style="1" customWidth="1"/>
    <col min="10757" max="10757" width="12" style="1" customWidth="1"/>
    <col min="10758" max="10758" width="10.7109375" style="1" customWidth="1"/>
    <col min="10759" max="10759" width="15.7109375" style="1" customWidth="1"/>
    <col min="10760" max="10760" width="14.140625" style="1" customWidth="1"/>
    <col min="10761" max="10761" width="14" style="1" customWidth="1"/>
    <col min="10762" max="10762" width="13.7109375" style="1" customWidth="1"/>
    <col min="10763" max="10763" width="16.42578125" style="1" customWidth="1"/>
    <col min="10764" max="10764" width="12.7109375" style="1" customWidth="1"/>
    <col min="10765" max="10765" width="14" style="1" customWidth="1"/>
    <col min="10766" max="10766" width="13" style="1" customWidth="1"/>
    <col min="10767" max="10768" width="13.140625" style="1" customWidth="1"/>
    <col min="10769" max="10769" width="13.7109375" style="1" customWidth="1"/>
    <col min="10770" max="10770" width="10.5703125" style="1" customWidth="1"/>
    <col min="10771" max="10771" width="12.140625" style="1" bestFit="1" customWidth="1"/>
    <col min="10772" max="10772" width="15.5703125" style="1" customWidth="1"/>
    <col min="10773" max="10773" width="8.28515625" style="1" customWidth="1"/>
    <col min="10774" max="10774" width="11.42578125" style="1"/>
    <col min="10775" max="10775" width="12.7109375" style="1" customWidth="1"/>
    <col min="10776" max="10776" width="13.140625" style="1" customWidth="1"/>
    <col min="10777" max="10777" width="11.7109375" style="1" customWidth="1"/>
    <col min="10778" max="10781" width="11.42578125" style="1"/>
    <col min="10782" max="10782" width="15.7109375" style="1" customWidth="1"/>
    <col min="10783" max="10783" width="5" style="1" bestFit="1" customWidth="1"/>
    <col min="10784" max="10784" width="6.42578125" style="1" bestFit="1" customWidth="1"/>
    <col min="10785" max="10785" width="5.42578125" style="1" bestFit="1" customWidth="1"/>
    <col min="10786" max="10786" width="4.28515625" style="1" bestFit="1" customWidth="1"/>
    <col min="10787" max="10787" width="5" style="1" bestFit="1" customWidth="1"/>
    <col min="10788" max="10788" width="4.5703125" style="1" bestFit="1" customWidth="1"/>
    <col min="10789" max="10789" width="6" style="1" customWidth="1"/>
    <col min="10790" max="10790" width="5.85546875" style="1" bestFit="1" customWidth="1"/>
    <col min="10791" max="10791" width="9.140625" style="1" bestFit="1" customWidth="1"/>
    <col min="10792" max="10792" width="6.5703125" style="1" bestFit="1" customWidth="1"/>
    <col min="10793" max="10793" width="8.85546875" style="1" bestFit="1" customWidth="1"/>
    <col min="10794" max="10794" width="8.28515625" style="1" bestFit="1" customWidth="1"/>
    <col min="10795" max="11008" width="11.42578125" style="1"/>
    <col min="11009" max="11009" width="16.140625" style="1" customWidth="1"/>
    <col min="11010" max="11010" width="11.5703125" style="1" customWidth="1"/>
    <col min="11011" max="11011" width="12.140625" style="1" customWidth="1"/>
    <col min="11012" max="11012" width="13" style="1" customWidth="1"/>
    <col min="11013" max="11013" width="12" style="1" customWidth="1"/>
    <col min="11014" max="11014" width="10.7109375" style="1" customWidth="1"/>
    <col min="11015" max="11015" width="15.7109375" style="1" customWidth="1"/>
    <col min="11016" max="11016" width="14.140625" style="1" customWidth="1"/>
    <col min="11017" max="11017" width="14" style="1" customWidth="1"/>
    <col min="11018" max="11018" width="13.7109375" style="1" customWidth="1"/>
    <col min="11019" max="11019" width="16.42578125" style="1" customWidth="1"/>
    <col min="11020" max="11020" width="12.7109375" style="1" customWidth="1"/>
    <col min="11021" max="11021" width="14" style="1" customWidth="1"/>
    <col min="11022" max="11022" width="13" style="1" customWidth="1"/>
    <col min="11023" max="11024" width="13.140625" style="1" customWidth="1"/>
    <col min="11025" max="11025" width="13.7109375" style="1" customWidth="1"/>
    <col min="11026" max="11026" width="10.5703125" style="1" customWidth="1"/>
    <col min="11027" max="11027" width="12.140625" style="1" bestFit="1" customWidth="1"/>
    <col min="11028" max="11028" width="15.5703125" style="1" customWidth="1"/>
    <col min="11029" max="11029" width="8.28515625" style="1" customWidth="1"/>
    <col min="11030" max="11030" width="11.42578125" style="1"/>
    <col min="11031" max="11031" width="12.7109375" style="1" customWidth="1"/>
    <col min="11032" max="11032" width="13.140625" style="1" customWidth="1"/>
    <col min="11033" max="11033" width="11.7109375" style="1" customWidth="1"/>
    <col min="11034" max="11037" width="11.42578125" style="1"/>
    <col min="11038" max="11038" width="15.7109375" style="1" customWidth="1"/>
    <col min="11039" max="11039" width="5" style="1" bestFit="1" customWidth="1"/>
    <col min="11040" max="11040" width="6.42578125" style="1" bestFit="1" customWidth="1"/>
    <col min="11041" max="11041" width="5.42578125" style="1" bestFit="1" customWidth="1"/>
    <col min="11042" max="11042" width="4.28515625" style="1" bestFit="1" customWidth="1"/>
    <col min="11043" max="11043" width="5" style="1" bestFit="1" customWidth="1"/>
    <col min="11044" max="11044" width="4.5703125" style="1" bestFit="1" customWidth="1"/>
    <col min="11045" max="11045" width="6" style="1" customWidth="1"/>
    <col min="11046" max="11046" width="5.85546875" style="1" bestFit="1" customWidth="1"/>
    <col min="11047" max="11047" width="9.140625" style="1" bestFit="1" customWidth="1"/>
    <col min="11048" max="11048" width="6.5703125" style="1" bestFit="1" customWidth="1"/>
    <col min="11049" max="11049" width="8.85546875" style="1" bestFit="1" customWidth="1"/>
    <col min="11050" max="11050" width="8.28515625" style="1" bestFit="1" customWidth="1"/>
    <col min="11051" max="11264" width="11.42578125" style="1"/>
    <col min="11265" max="11265" width="16.140625" style="1" customWidth="1"/>
    <col min="11266" max="11266" width="11.5703125" style="1" customWidth="1"/>
    <col min="11267" max="11267" width="12.140625" style="1" customWidth="1"/>
    <col min="11268" max="11268" width="13" style="1" customWidth="1"/>
    <col min="11269" max="11269" width="12" style="1" customWidth="1"/>
    <col min="11270" max="11270" width="10.7109375" style="1" customWidth="1"/>
    <col min="11271" max="11271" width="15.7109375" style="1" customWidth="1"/>
    <col min="11272" max="11272" width="14.140625" style="1" customWidth="1"/>
    <col min="11273" max="11273" width="14" style="1" customWidth="1"/>
    <col min="11274" max="11274" width="13.7109375" style="1" customWidth="1"/>
    <col min="11275" max="11275" width="16.42578125" style="1" customWidth="1"/>
    <col min="11276" max="11276" width="12.7109375" style="1" customWidth="1"/>
    <col min="11277" max="11277" width="14" style="1" customWidth="1"/>
    <col min="11278" max="11278" width="13" style="1" customWidth="1"/>
    <col min="11279" max="11280" width="13.140625" style="1" customWidth="1"/>
    <col min="11281" max="11281" width="13.7109375" style="1" customWidth="1"/>
    <col min="11282" max="11282" width="10.5703125" style="1" customWidth="1"/>
    <col min="11283" max="11283" width="12.140625" style="1" bestFit="1" customWidth="1"/>
    <col min="11284" max="11284" width="15.5703125" style="1" customWidth="1"/>
    <col min="11285" max="11285" width="8.28515625" style="1" customWidth="1"/>
    <col min="11286" max="11286" width="11.42578125" style="1"/>
    <col min="11287" max="11287" width="12.7109375" style="1" customWidth="1"/>
    <col min="11288" max="11288" width="13.140625" style="1" customWidth="1"/>
    <col min="11289" max="11289" width="11.7109375" style="1" customWidth="1"/>
    <col min="11290" max="11293" width="11.42578125" style="1"/>
    <col min="11294" max="11294" width="15.7109375" style="1" customWidth="1"/>
    <col min="11295" max="11295" width="5" style="1" bestFit="1" customWidth="1"/>
    <col min="11296" max="11296" width="6.42578125" style="1" bestFit="1" customWidth="1"/>
    <col min="11297" max="11297" width="5.42578125" style="1" bestFit="1" customWidth="1"/>
    <col min="11298" max="11298" width="4.28515625" style="1" bestFit="1" customWidth="1"/>
    <col min="11299" max="11299" width="5" style="1" bestFit="1" customWidth="1"/>
    <col min="11300" max="11300" width="4.5703125" style="1" bestFit="1" customWidth="1"/>
    <col min="11301" max="11301" width="6" style="1" customWidth="1"/>
    <col min="11302" max="11302" width="5.85546875" style="1" bestFit="1" customWidth="1"/>
    <col min="11303" max="11303" width="9.140625" style="1" bestFit="1" customWidth="1"/>
    <col min="11304" max="11304" width="6.5703125" style="1" bestFit="1" customWidth="1"/>
    <col min="11305" max="11305" width="8.85546875" style="1" bestFit="1" customWidth="1"/>
    <col min="11306" max="11306" width="8.28515625" style="1" bestFit="1" customWidth="1"/>
    <col min="11307" max="11520" width="11.42578125" style="1"/>
    <col min="11521" max="11521" width="16.140625" style="1" customWidth="1"/>
    <col min="11522" max="11522" width="11.5703125" style="1" customWidth="1"/>
    <col min="11523" max="11523" width="12.140625" style="1" customWidth="1"/>
    <col min="11524" max="11524" width="13" style="1" customWidth="1"/>
    <col min="11525" max="11525" width="12" style="1" customWidth="1"/>
    <col min="11526" max="11526" width="10.7109375" style="1" customWidth="1"/>
    <col min="11527" max="11527" width="15.7109375" style="1" customWidth="1"/>
    <col min="11528" max="11528" width="14.140625" style="1" customWidth="1"/>
    <col min="11529" max="11529" width="14" style="1" customWidth="1"/>
    <col min="11530" max="11530" width="13.7109375" style="1" customWidth="1"/>
    <col min="11531" max="11531" width="16.42578125" style="1" customWidth="1"/>
    <col min="11532" max="11532" width="12.7109375" style="1" customWidth="1"/>
    <col min="11533" max="11533" width="14" style="1" customWidth="1"/>
    <col min="11534" max="11534" width="13" style="1" customWidth="1"/>
    <col min="11535" max="11536" width="13.140625" style="1" customWidth="1"/>
    <col min="11537" max="11537" width="13.7109375" style="1" customWidth="1"/>
    <col min="11538" max="11538" width="10.5703125" style="1" customWidth="1"/>
    <col min="11539" max="11539" width="12.140625" style="1" bestFit="1" customWidth="1"/>
    <col min="11540" max="11540" width="15.5703125" style="1" customWidth="1"/>
    <col min="11541" max="11541" width="8.28515625" style="1" customWidth="1"/>
    <col min="11542" max="11542" width="11.42578125" style="1"/>
    <col min="11543" max="11543" width="12.7109375" style="1" customWidth="1"/>
    <col min="11544" max="11544" width="13.140625" style="1" customWidth="1"/>
    <col min="11545" max="11545" width="11.7109375" style="1" customWidth="1"/>
    <col min="11546" max="11549" width="11.42578125" style="1"/>
    <col min="11550" max="11550" width="15.7109375" style="1" customWidth="1"/>
    <col min="11551" max="11551" width="5" style="1" bestFit="1" customWidth="1"/>
    <col min="11552" max="11552" width="6.42578125" style="1" bestFit="1" customWidth="1"/>
    <col min="11553" max="11553" width="5.42578125" style="1" bestFit="1" customWidth="1"/>
    <col min="11554" max="11554" width="4.28515625" style="1" bestFit="1" customWidth="1"/>
    <col min="11555" max="11555" width="5" style="1" bestFit="1" customWidth="1"/>
    <col min="11556" max="11556" width="4.5703125" style="1" bestFit="1" customWidth="1"/>
    <col min="11557" max="11557" width="6" style="1" customWidth="1"/>
    <col min="11558" max="11558" width="5.85546875" style="1" bestFit="1" customWidth="1"/>
    <col min="11559" max="11559" width="9.140625" style="1" bestFit="1" customWidth="1"/>
    <col min="11560" max="11560" width="6.5703125" style="1" bestFit="1" customWidth="1"/>
    <col min="11561" max="11561" width="8.85546875" style="1" bestFit="1" customWidth="1"/>
    <col min="11562" max="11562" width="8.28515625" style="1" bestFit="1" customWidth="1"/>
    <col min="11563" max="11776" width="11.42578125" style="1"/>
    <col min="11777" max="11777" width="16.140625" style="1" customWidth="1"/>
    <col min="11778" max="11778" width="11.5703125" style="1" customWidth="1"/>
    <col min="11779" max="11779" width="12.140625" style="1" customWidth="1"/>
    <col min="11780" max="11780" width="13" style="1" customWidth="1"/>
    <col min="11781" max="11781" width="12" style="1" customWidth="1"/>
    <col min="11782" max="11782" width="10.7109375" style="1" customWidth="1"/>
    <col min="11783" max="11783" width="15.7109375" style="1" customWidth="1"/>
    <col min="11784" max="11784" width="14.140625" style="1" customWidth="1"/>
    <col min="11785" max="11785" width="14" style="1" customWidth="1"/>
    <col min="11786" max="11786" width="13.7109375" style="1" customWidth="1"/>
    <col min="11787" max="11787" width="16.42578125" style="1" customWidth="1"/>
    <col min="11788" max="11788" width="12.7109375" style="1" customWidth="1"/>
    <col min="11789" max="11789" width="14" style="1" customWidth="1"/>
    <col min="11790" max="11790" width="13" style="1" customWidth="1"/>
    <col min="11791" max="11792" width="13.140625" style="1" customWidth="1"/>
    <col min="11793" max="11793" width="13.7109375" style="1" customWidth="1"/>
    <col min="11794" max="11794" width="10.5703125" style="1" customWidth="1"/>
    <col min="11795" max="11795" width="12.140625" style="1" bestFit="1" customWidth="1"/>
    <col min="11796" max="11796" width="15.5703125" style="1" customWidth="1"/>
    <col min="11797" max="11797" width="8.28515625" style="1" customWidth="1"/>
    <col min="11798" max="11798" width="11.42578125" style="1"/>
    <col min="11799" max="11799" width="12.7109375" style="1" customWidth="1"/>
    <col min="11800" max="11800" width="13.140625" style="1" customWidth="1"/>
    <col min="11801" max="11801" width="11.7109375" style="1" customWidth="1"/>
    <col min="11802" max="11805" width="11.42578125" style="1"/>
    <col min="11806" max="11806" width="15.7109375" style="1" customWidth="1"/>
    <col min="11807" max="11807" width="5" style="1" bestFit="1" customWidth="1"/>
    <col min="11808" max="11808" width="6.42578125" style="1" bestFit="1" customWidth="1"/>
    <col min="11809" max="11809" width="5.42578125" style="1" bestFit="1" customWidth="1"/>
    <col min="11810" max="11810" width="4.28515625" style="1" bestFit="1" customWidth="1"/>
    <col min="11811" max="11811" width="5" style="1" bestFit="1" customWidth="1"/>
    <col min="11812" max="11812" width="4.5703125" style="1" bestFit="1" customWidth="1"/>
    <col min="11813" max="11813" width="6" style="1" customWidth="1"/>
    <col min="11814" max="11814" width="5.85546875" style="1" bestFit="1" customWidth="1"/>
    <col min="11815" max="11815" width="9.140625" style="1" bestFit="1" customWidth="1"/>
    <col min="11816" max="11816" width="6.5703125" style="1" bestFit="1" customWidth="1"/>
    <col min="11817" max="11817" width="8.85546875" style="1" bestFit="1" customWidth="1"/>
    <col min="11818" max="11818" width="8.28515625" style="1" bestFit="1" customWidth="1"/>
    <col min="11819" max="12032" width="11.42578125" style="1"/>
    <col min="12033" max="12033" width="16.140625" style="1" customWidth="1"/>
    <col min="12034" max="12034" width="11.5703125" style="1" customWidth="1"/>
    <col min="12035" max="12035" width="12.140625" style="1" customWidth="1"/>
    <col min="12036" max="12036" width="13" style="1" customWidth="1"/>
    <col min="12037" max="12037" width="12" style="1" customWidth="1"/>
    <col min="12038" max="12038" width="10.7109375" style="1" customWidth="1"/>
    <col min="12039" max="12039" width="15.7109375" style="1" customWidth="1"/>
    <col min="12040" max="12040" width="14.140625" style="1" customWidth="1"/>
    <col min="12041" max="12041" width="14" style="1" customWidth="1"/>
    <col min="12042" max="12042" width="13.7109375" style="1" customWidth="1"/>
    <col min="12043" max="12043" width="16.42578125" style="1" customWidth="1"/>
    <col min="12044" max="12044" width="12.7109375" style="1" customWidth="1"/>
    <col min="12045" max="12045" width="14" style="1" customWidth="1"/>
    <col min="12046" max="12046" width="13" style="1" customWidth="1"/>
    <col min="12047" max="12048" width="13.140625" style="1" customWidth="1"/>
    <col min="12049" max="12049" width="13.7109375" style="1" customWidth="1"/>
    <col min="12050" max="12050" width="10.5703125" style="1" customWidth="1"/>
    <col min="12051" max="12051" width="12.140625" style="1" bestFit="1" customWidth="1"/>
    <col min="12052" max="12052" width="15.5703125" style="1" customWidth="1"/>
    <col min="12053" max="12053" width="8.28515625" style="1" customWidth="1"/>
    <col min="12054" max="12054" width="11.42578125" style="1"/>
    <col min="12055" max="12055" width="12.7109375" style="1" customWidth="1"/>
    <col min="12056" max="12056" width="13.140625" style="1" customWidth="1"/>
    <col min="12057" max="12057" width="11.7109375" style="1" customWidth="1"/>
    <col min="12058" max="12061" width="11.42578125" style="1"/>
    <col min="12062" max="12062" width="15.7109375" style="1" customWidth="1"/>
    <col min="12063" max="12063" width="5" style="1" bestFit="1" customWidth="1"/>
    <col min="12064" max="12064" width="6.42578125" style="1" bestFit="1" customWidth="1"/>
    <col min="12065" max="12065" width="5.42578125" style="1" bestFit="1" customWidth="1"/>
    <col min="12066" max="12066" width="4.28515625" style="1" bestFit="1" customWidth="1"/>
    <col min="12067" max="12067" width="5" style="1" bestFit="1" customWidth="1"/>
    <col min="12068" max="12068" width="4.5703125" style="1" bestFit="1" customWidth="1"/>
    <col min="12069" max="12069" width="6" style="1" customWidth="1"/>
    <col min="12070" max="12070" width="5.85546875" style="1" bestFit="1" customWidth="1"/>
    <col min="12071" max="12071" width="9.140625" style="1" bestFit="1" customWidth="1"/>
    <col min="12072" max="12072" width="6.5703125" style="1" bestFit="1" customWidth="1"/>
    <col min="12073" max="12073" width="8.85546875" style="1" bestFit="1" customWidth="1"/>
    <col min="12074" max="12074" width="8.28515625" style="1" bestFit="1" customWidth="1"/>
    <col min="12075" max="12288" width="11.42578125" style="1"/>
    <col min="12289" max="12289" width="16.140625" style="1" customWidth="1"/>
    <col min="12290" max="12290" width="11.5703125" style="1" customWidth="1"/>
    <col min="12291" max="12291" width="12.140625" style="1" customWidth="1"/>
    <col min="12292" max="12292" width="13" style="1" customWidth="1"/>
    <col min="12293" max="12293" width="12" style="1" customWidth="1"/>
    <col min="12294" max="12294" width="10.7109375" style="1" customWidth="1"/>
    <col min="12295" max="12295" width="15.7109375" style="1" customWidth="1"/>
    <col min="12296" max="12296" width="14.140625" style="1" customWidth="1"/>
    <col min="12297" max="12297" width="14" style="1" customWidth="1"/>
    <col min="12298" max="12298" width="13.7109375" style="1" customWidth="1"/>
    <col min="12299" max="12299" width="16.42578125" style="1" customWidth="1"/>
    <col min="12300" max="12300" width="12.7109375" style="1" customWidth="1"/>
    <col min="12301" max="12301" width="14" style="1" customWidth="1"/>
    <col min="12302" max="12302" width="13" style="1" customWidth="1"/>
    <col min="12303" max="12304" width="13.140625" style="1" customWidth="1"/>
    <col min="12305" max="12305" width="13.7109375" style="1" customWidth="1"/>
    <col min="12306" max="12306" width="10.5703125" style="1" customWidth="1"/>
    <col min="12307" max="12307" width="12.140625" style="1" bestFit="1" customWidth="1"/>
    <col min="12308" max="12308" width="15.5703125" style="1" customWidth="1"/>
    <col min="12309" max="12309" width="8.28515625" style="1" customWidth="1"/>
    <col min="12310" max="12310" width="11.42578125" style="1"/>
    <col min="12311" max="12311" width="12.7109375" style="1" customWidth="1"/>
    <col min="12312" max="12312" width="13.140625" style="1" customWidth="1"/>
    <col min="12313" max="12313" width="11.7109375" style="1" customWidth="1"/>
    <col min="12314" max="12317" width="11.42578125" style="1"/>
    <col min="12318" max="12318" width="15.7109375" style="1" customWidth="1"/>
    <col min="12319" max="12319" width="5" style="1" bestFit="1" customWidth="1"/>
    <col min="12320" max="12320" width="6.42578125" style="1" bestFit="1" customWidth="1"/>
    <col min="12321" max="12321" width="5.42578125" style="1" bestFit="1" customWidth="1"/>
    <col min="12322" max="12322" width="4.28515625" style="1" bestFit="1" customWidth="1"/>
    <col min="12323" max="12323" width="5" style="1" bestFit="1" customWidth="1"/>
    <col min="12324" max="12324" width="4.5703125" style="1" bestFit="1" customWidth="1"/>
    <col min="12325" max="12325" width="6" style="1" customWidth="1"/>
    <col min="12326" max="12326" width="5.85546875" style="1" bestFit="1" customWidth="1"/>
    <col min="12327" max="12327" width="9.140625" style="1" bestFit="1" customWidth="1"/>
    <col min="12328" max="12328" width="6.5703125" style="1" bestFit="1" customWidth="1"/>
    <col min="12329" max="12329" width="8.85546875" style="1" bestFit="1" customWidth="1"/>
    <col min="12330" max="12330" width="8.28515625" style="1" bestFit="1" customWidth="1"/>
    <col min="12331" max="12544" width="11.42578125" style="1"/>
    <col min="12545" max="12545" width="16.140625" style="1" customWidth="1"/>
    <col min="12546" max="12546" width="11.5703125" style="1" customWidth="1"/>
    <col min="12547" max="12547" width="12.140625" style="1" customWidth="1"/>
    <col min="12548" max="12548" width="13" style="1" customWidth="1"/>
    <col min="12549" max="12549" width="12" style="1" customWidth="1"/>
    <col min="12550" max="12550" width="10.7109375" style="1" customWidth="1"/>
    <col min="12551" max="12551" width="15.7109375" style="1" customWidth="1"/>
    <col min="12552" max="12552" width="14.140625" style="1" customWidth="1"/>
    <col min="12553" max="12553" width="14" style="1" customWidth="1"/>
    <col min="12554" max="12554" width="13.7109375" style="1" customWidth="1"/>
    <col min="12555" max="12555" width="16.42578125" style="1" customWidth="1"/>
    <col min="12556" max="12556" width="12.7109375" style="1" customWidth="1"/>
    <col min="12557" max="12557" width="14" style="1" customWidth="1"/>
    <col min="12558" max="12558" width="13" style="1" customWidth="1"/>
    <col min="12559" max="12560" width="13.140625" style="1" customWidth="1"/>
    <col min="12561" max="12561" width="13.7109375" style="1" customWidth="1"/>
    <col min="12562" max="12562" width="10.5703125" style="1" customWidth="1"/>
    <col min="12563" max="12563" width="12.140625" style="1" bestFit="1" customWidth="1"/>
    <col min="12564" max="12564" width="15.5703125" style="1" customWidth="1"/>
    <col min="12565" max="12565" width="8.28515625" style="1" customWidth="1"/>
    <col min="12566" max="12566" width="11.42578125" style="1"/>
    <col min="12567" max="12567" width="12.7109375" style="1" customWidth="1"/>
    <col min="12568" max="12568" width="13.140625" style="1" customWidth="1"/>
    <col min="12569" max="12569" width="11.7109375" style="1" customWidth="1"/>
    <col min="12570" max="12573" width="11.42578125" style="1"/>
    <col min="12574" max="12574" width="15.7109375" style="1" customWidth="1"/>
    <col min="12575" max="12575" width="5" style="1" bestFit="1" customWidth="1"/>
    <col min="12576" max="12576" width="6.42578125" style="1" bestFit="1" customWidth="1"/>
    <col min="12577" max="12577" width="5.42578125" style="1" bestFit="1" customWidth="1"/>
    <col min="12578" max="12578" width="4.28515625" style="1" bestFit="1" customWidth="1"/>
    <col min="12579" max="12579" width="5" style="1" bestFit="1" customWidth="1"/>
    <col min="12580" max="12580" width="4.5703125" style="1" bestFit="1" customWidth="1"/>
    <col min="12581" max="12581" width="6" style="1" customWidth="1"/>
    <col min="12582" max="12582" width="5.85546875" style="1" bestFit="1" customWidth="1"/>
    <col min="12583" max="12583" width="9.140625" style="1" bestFit="1" customWidth="1"/>
    <col min="12584" max="12584" width="6.5703125" style="1" bestFit="1" customWidth="1"/>
    <col min="12585" max="12585" width="8.85546875" style="1" bestFit="1" customWidth="1"/>
    <col min="12586" max="12586" width="8.28515625" style="1" bestFit="1" customWidth="1"/>
    <col min="12587" max="12800" width="11.42578125" style="1"/>
    <col min="12801" max="12801" width="16.140625" style="1" customWidth="1"/>
    <col min="12802" max="12802" width="11.5703125" style="1" customWidth="1"/>
    <col min="12803" max="12803" width="12.140625" style="1" customWidth="1"/>
    <col min="12804" max="12804" width="13" style="1" customWidth="1"/>
    <col min="12805" max="12805" width="12" style="1" customWidth="1"/>
    <col min="12806" max="12806" width="10.7109375" style="1" customWidth="1"/>
    <col min="12807" max="12807" width="15.7109375" style="1" customWidth="1"/>
    <col min="12808" max="12808" width="14.140625" style="1" customWidth="1"/>
    <col min="12809" max="12809" width="14" style="1" customWidth="1"/>
    <col min="12810" max="12810" width="13.7109375" style="1" customWidth="1"/>
    <col min="12811" max="12811" width="16.42578125" style="1" customWidth="1"/>
    <col min="12812" max="12812" width="12.7109375" style="1" customWidth="1"/>
    <col min="12813" max="12813" width="14" style="1" customWidth="1"/>
    <col min="12814" max="12814" width="13" style="1" customWidth="1"/>
    <col min="12815" max="12816" width="13.140625" style="1" customWidth="1"/>
    <col min="12817" max="12817" width="13.7109375" style="1" customWidth="1"/>
    <col min="12818" max="12818" width="10.5703125" style="1" customWidth="1"/>
    <col min="12819" max="12819" width="12.140625" style="1" bestFit="1" customWidth="1"/>
    <col min="12820" max="12820" width="15.5703125" style="1" customWidth="1"/>
    <col min="12821" max="12821" width="8.28515625" style="1" customWidth="1"/>
    <col min="12822" max="12822" width="11.42578125" style="1"/>
    <col min="12823" max="12823" width="12.7109375" style="1" customWidth="1"/>
    <col min="12824" max="12824" width="13.140625" style="1" customWidth="1"/>
    <col min="12825" max="12825" width="11.7109375" style="1" customWidth="1"/>
    <col min="12826" max="12829" width="11.42578125" style="1"/>
    <col min="12830" max="12830" width="15.7109375" style="1" customWidth="1"/>
    <col min="12831" max="12831" width="5" style="1" bestFit="1" customWidth="1"/>
    <col min="12832" max="12832" width="6.42578125" style="1" bestFit="1" customWidth="1"/>
    <col min="12833" max="12833" width="5.42578125" style="1" bestFit="1" customWidth="1"/>
    <col min="12834" max="12834" width="4.28515625" style="1" bestFit="1" customWidth="1"/>
    <col min="12835" max="12835" width="5" style="1" bestFit="1" customWidth="1"/>
    <col min="12836" max="12836" width="4.5703125" style="1" bestFit="1" customWidth="1"/>
    <col min="12837" max="12837" width="6" style="1" customWidth="1"/>
    <col min="12838" max="12838" width="5.85546875" style="1" bestFit="1" customWidth="1"/>
    <col min="12839" max="12839" width="9.140625" style="1" bestFit="1" customWidth="1"/>
    <col min="12840" max="12840" width="6.5703125" style="1" bestFit="1" customWidth="1"/>
    <col min="12841" max="12841" width="8.85546875" style="1" bestFit="1" customWidth="1"/>
    <col min="12842" max="12842" width="8.28515625" style="1" bestFit="1" customWidth="1"/>
    <col min="12843" max="13056" width="11.42578125" style="1"/>
    <col min="13057" max="13057" width="16.140625" style="1" customWidth="1"/>
    <col min="13058" max="13058" width="11.5703125" style="1" customWidth="1"/>
    <col min="13059" max="13059" width="12.140625" style="1" customWidth="1"/>
    <col min="13060" max="13060" width="13" style="1" customWidth="1"/>
    <col min="13061" max="13061" width="12" style="1" customWidth="1"/>
    <col min="13062" max="13062" width="10.7109375" style="1" customWidth="1"/>
    <col min="13063" max="13063" width="15.7109375" style="1" customWidth="1"/>
    <col min="13064" max="13064" width="14.140625" style="1" customWidth="1"/>
    <col min="13065" max="13065" width="14" style="1" customWidth="1"/>
    <col min="13066" max="13066" width="13.7109375" style="1" customWidth="1"/>
    <col min="13067" max="13067" width="16.42578125" style="1" customWidth="1"/>
    <col min="13068" max="13068" width="12.7109375" style="1" customWidth="1"/>
    <col min="13069" max="13069" width="14" style="1" customWidth="1"/>
    <col min="13070" max="13070" width="13" style="1" customWidth="1"/>
    <col min="13071" max="13072" width="13.140625" style="1" customWidth="1"/>
    <col min="13073" max="13073" width="13.7109375" style="1" customWidth="1"/>
    <col min="13074" max="13074" width="10.5703125" style="1" customWidth="1"/>
    <col min="13075" max="13075" width="12.140625" style="1" bestFit="1" customWidth="1"/>
    <col min="13076" max="13076" width="15.5703125" style="1" customWidth="1"/>
    <col min="13077" max="13077" width="8.28515625" style="1" customWidth="1"/>
    <col min="13078" max="13078" width="11.42578125" style="1"/>
    <col min="13079" max="13079" width="12.7109375" style="1" customWidth="1"/>
    <col min="13080" max="13080" width="13.140625" style="1" customWidth="1"/>
    <col min="13081" max="13081" width="11.7109375" style="1" customWidth="1"/>
    <col min="13082" max="13085" width="11.42578125" style="1"/>
    <col min="13086" max="13086" width="15.7109375" style="1" customWidth="1"/>
    <col min="13087" max="13087" width="5" style="1" bestFit="1" customWidth="1"/>
    <col min="13088" max="13088" width="6.42578125" style="1" bestFit="1" customWidth="1"/>
    <col min="13089" max="13089" width="5.42578125" style="1" bestFit="1" customWidth="1"/>
    <col min="13090" max="13090" width="4.28515625" style="1" bestFit="1" customWidth="1"/>
    <col min="13091" max="13091" width="5" style="1" bestFit="1" customWidth="1"/>
    <col min="13092" max="13092" width="4.5703125" style="1" bestFit="1" customWidth="1"/>
    <col min="13093" max="13093" width="6" style="1" customWidth="1"/>
    <col min="13094" max="13094" width="5.85546875" style="1" bestFit="1" customWidth="1"/>
    <col min="13095" max="13095" width="9.140625" style="1" bestFit="1" customWidth="1"/>
    <col min="13096" max="13096" width="6.5703125" style="1" bestFit="1" customWidth="1"/>
    <col min="13097" max="13097" width="8.85546875" style="1" bestFit="1" customWidth="1"/>
    <col min="13098" max="13098" width="8.28515625" style="1" bestFit="1" customWidth="1"/>
    <col min="13099" max="13312" width="11.42578125" style="1"/>
    <col min="13313" max="13313" width="16.140625" style="1" customWidth="1"/>
    <col min="13314" max="13314" width="11.5703125" style="1" customWidth="1"/>
    <col min="13315" max="13315" width="12.140625" style="1" customWidth="1"/>
    <col min="13316" max="13316" width="13" style="1" customWidth="1"/>
    <col min="13317" max="13317" width="12" style="1" customWidth="1"/>
    <col min="13318" max="13318" width="10.7109375" style="1" customWidth="1"/>
    <col min="13319" max="13319" width="15.7109375" style="1" customWidth="1"/>
    <col min="13320" max="13320" width="14.140625" style="1" customWidth="1"/>
    <col min="13321" max="13321" width="14" style="1" customWidth="1"/>
    <col min="13322" max="13322" width="13.7109375" style="1" customWidth="1"/>
    <col min="13323" max="13323" width="16.42578125" style="1" customWidth="1"/>
    <col min="13324" max="13324" width="12.7109375" style="1" customWidth="1"/>
    <col min="13325" max="13325" width="14" style="1" customWidth="1"/>
    <col min="13326" max="13326" width="13" style="1" customWidth="1"/>
    <col min="13327" max="13328" width="13.140625" style="1" customWidth="1"/>
    <col min="13329" max="13329" width="13.7109375" style="1" customWidth="1"/>
    <col min="13330" max="13330" width="10.5703125" style="1" customWidth="1"/>
    <col min="13331" max="13331" width="12.140625" style="1" bestFit="1" customWidth="1"/>
    <col min="13332" max="13332" width="15.5703125" style="1" customWidth="1"/>
    <col min="13333" max="13333" width="8.28515625" style="1" customWidth="1"/>
    <col min="13334" max="13334" width="11.42578125" style="1"/>
    <col min="13335" max="13335" width="12.7109375" style="1" customWidth="1"/>
    <col min="13336" max="13336" width="13.140625" style="1" customWidth="1"/>
    <col min="13337" max="13337" width="11.7109375" style="1" customWidth="1"/>
    <col min="13338" max="13341" width="11.42578125" style="1"/>
    <col min="13342" max="13342" width="15.7109375" style="1" customWidth="1"/>
    <col min="13343" max="13343" width="5" style="1" bestFit="1" customWidth="1"/>
    <col min="13344" max="13344" width="6.42578125" style="1" bestFit="1" customWidth="1"/>
    <col min="13345" max="13345" width="5.42578125" style="1" bestFit="1" customWidth="1"/>
    <col min="13346" max="13346" width="4.28515625" style="1" bestFit="1" customWidth="1"/>
    <col min="13347" max="13347" width="5" style="1" bestFit="1" customWidth="1"/>
    <col min="13348" max="13348" width="4.5703125" style="1" bestFit="1" customWidth="1"/>
    <col min="13349" max="13349" width="6" style="1" customWidth="1"/>
    <col min="13350" max="13350" width="5.85546875" style="1" bestFit="1" customWidth="1"/>
    <col min="13351" max="13351" width="9.140625" style="1" bestFit="1" customWidth="1"/>
    <col min="13352" max="13352" width="6.5703125" style="1" bestFit="1" customWidth="1"/>
    <col min="13353" max="13353" width="8.85546875" style="1" bestFit="1" customWidth="1"/>
    <col min="13354" max="13354" width="8.28515625" style="1" bestFit="1" customWidth="1"/>
    <col min="13355" max="13568" width="11.42578125" style="1"/>
    <col min="13569" max="13569" width="16.140625" style="1" customWidth="1"/>
    <col min="13570" max="13570" width="11.5703125" style="1" customWidth="1"/>
    <col min="13571" max="13571" width="12.140625" style="1" customWidth="1"/>
    <col min="13572" max="13572" width="13" style="1" customWidth="1"/>
    <col min="13573" max="13573" width="12" style="1" customWidth="1"/>
    <col min="13574" max="13574" width="10.7109375" style="1" customWidth="1"/>
    <col min="13575" max="13575" width="15.7109375" style="1" customWidth="1"/>
    <col min="13576" max="13576" width="14.140625" style="1" customWidth="1"/>
    <col min="13577" max="13577" width="14" style="1" customWidth="1"/>
    <col min="13578" max="13578" width="13.7109375" style="1" customWidth="1"/>
    <col min="13579" max="13579" width="16.42578125" style="1" customWidth="1"/>
    <col min="13580" max="13580" width="12.7109375" style="1" customWidth="1"/>
    <col min="13581" max="13581" width="14" style="1" customWidth="1"/>
    <col min="13582" max="13582" width="13" style="1" customWidth="1"/>
    <col min="13583" max="13584" width="13.140625" style="1" customWidth="1"/>
    <col min="13585" max="13585" width="13.7109375" style="1" customWidth="1"/>
    <col min="13586" max="13586" width="10.5703125" style="1" customWidth="1"/>
    <col min="13587" max="13587" width="12.140625" style="1" bestFit="1" customWidth="1"/>
    <col min="13588" max="13588" width="15.5703125" style="1" customWidth="1"/>
    <col min="13589" max="13589" width="8.28515625" style="1" customWidth="1"/>
    <col min="13590" max="13590" width="11.42578125" style="1"/>
    <col min="13591" max="13591" width="12.7109375" style="1" customWidth="1"/>
    <col min="13592" max="13592" width="13.140625" style="1" customWidth="1"/>
    <col min="13593" max="13593" width="11.7109375" style="1" customWidth="1"/>
    <col min="13594" max="13597" width="11.42578125" style="1"/>
    <col min="13598" max="13598" width="15.7109375" style="1" customWidth="1"/>
    <col min="13599" max="13599" width="5" style="1" bestFit="1" customWidth="1"/>
    <col min="13600" max="13600" width="6.42578125" style="1" bestFit="1" customWidth="1"/>
    <col min="13601" max="13601" width="5.42578125" style="1" bestFit="1" customWidth="1"/>
    <col min="13602" max="13602" width="4.28515625" style="1" bestFit="1" customWidth="1"/>
    <col min="13603" max="13603" width="5" style="1" bestFit="1" customWidth="1"/>
    <col min="13604" max="13604" width="4.5703125" style="1" bestFit="1" customWidth="1"/>
    <col min="13605" max="13605" width="6" style="1" customWidth="1"/>
    <col min="13606" max="13606" width="5.85546875" style="1" bestFit="1" customWidth="1"/>
    <col min="13607" max="13607" width="9.140625" style="1" bestFit="1" customWidth="1"/>
    <col min="13608" max="13608" width="6.5703125" style="1" bestFit="1" customWidth="1"/>
    <col min="13609" max="13609" width="8.85546875" style="1" bestFit="1" customWidth="1"/>
    <col min="13610" max="13610" width="8.28515625" style="1" bestFit="1" customWidth="1"/>
    <col min="13611" max="13824" width="11.42578125" style="1"/>
    <col min="13825" max="13825" width="16.140625" style="1" customWidth="1"/>
    <col min="13826" max="13826" width="11.5703125" style="1" customWidth="1"/>
    <col min="13827" max="13827" width="12.140625" style="1" customWidth="1"/>
    <col min="13828" max="13828" width="13" style="1" customWidth="1"/>
    <col min="13829" max="13829" width="12" style="1" customWidth="1"/>
    <col min="13830" max="13830" width="10.7109375" style="1" customWidth="1"/>
    <col min="13831" max="13831" width="15.7109375" style="1" customWidth="1"/>
    <col min="13832" max="13832" width="14.140625" style="1" customWidth="1"/>
    <col min="13833" max="13833" width="14" style="1" customWidth="1"/>
    <col min="13834" max="13834" width="13.7109375" style="1" customWidth="1"/>
    <col min="13835" max="13835" width="16.42578125" style="1" customWidth="1"/>
    <col min="13836" max="13836" width="12.7109375" style="1" customWidth="1"/>
    <col min="13837" max="13837" width="14" style="1" customWidth="1"/>
    <col min="13838" max="13838" width="13" style="1" customWidth="1"/>
    <col min="13839" max="13840" width="13.140625" style="1" customWidth="1"/>
    <col min="13841" max="13841" width="13.7109375" style="1" customWidth="1"/>
    <col min="13842" max="13842" width="10.5703125" style="1" customWidth="1"/>
    <col min="13843" max="13843" width="12.140625" style="1" bestFit="1" customWidth="1"/>
    <col min="13844" max="13844" width="15.5703125" style="1" customWidth="1"/>
    <col min="13845" max="13845" width="8.28515625" style="1" customWidth="1"/>
    <col min="13846" max="13846" width="11.42578125" style="1"/>
    <col min="13847" max="13847" width="12.7109375" style="1" customWidth="1"/>
    <col min="13848" max="13848" width="13.140625" style="1" customWidth="1"/>
    <col min="13849" max="13849" width="11.7109375" style="1" customWidth="1"/>
    <col min="13850" max="13853" width="11.42578125" style="1"/>
    <col min="13854" max="13854" width="15.7109375" style="1" customWidth="1"/>
    <col min="13855" max="13855" width="5" style="1" bestFit="1" customWidth="1"/>
    <col min="13856" max="13856" width="6.42578125" style="1" bestFit="1" customWidth="1"/>
    <col min="13857" max="13857" width="5.42578125" style="1" bestFit="1" customWidth="1"/>
    <col min="13858" max="13858" width="4.28515625" style="1" bestFit="1" customWidth="1"/>
    <col min="13859" max="13859" width="5" style="1" bestFit="1" customWidth="1"/>
    <col min="13860" max="13860" width="4.5703125" style="1" bestFit="1" customWidth="1"/>
    <col min="13861" max="13861" width="6" style="1" customWidth="1"/>
    <col min="13862" max="13862" width="5.85546875" style="1" bestFit="1" customWidth="1"/>
    <col min="13863" max="13863" width="9.140625" style="1" bestFit="1" customWidth="1"/>
    <col min="13864" max="13864" width="6.5703125" style="1" bestFit="1" customWidth="1"/>
    <col min="13865" max="13865" width="8.85546875" style="1" bestFit="1" customWidth="1"/>
    <col min="13866" max="13866" width="8.28515625" style="1" bestFit="1" customWidth="1"/>
    <col min="13867" max="14080" width="11.42578125" style="1"/>
    <col min="14081" max="14081" width="16.140625" style="1" customWidth="1"/>
    <col min="14082" max="14082" width="11.5703125" style="1" customWidth="1"/>
    <col min="14083" max="14083" width="12.140625" style="1" customWidth="1"/>
    <col min="14084" max="14084" width="13" style="1" customWidth="1"/>
    <col min="14085" max="14085" width="12" style="1" customWidth="1"/>
    <col min="14086" max="14086" width="10.7109375" style="1" customWidth="1"/>
    <col min="14087" max="14087" width="15.7109375" style="1" customWidth="1"/>
    <col min="14088" max="14088" width="14.140625" style="1" customWidth="1"/>
    <col min="14089" max="14089" width="14" style="1" customWidth="1"/>
    <col min="14090" max="14090" width="13.7109375" style="1" customWidth="1"/>
    <col min="14091" max="14091" width="16.42578125" style="1" customWidth="1"/>
    <col min="14092" max="14092" width="12.7109375" style="1" customWidth="1"/>
    <col min="14093" max="14093" width="14" style="1" customWidth="1"/>
    <col min="14094" max="14094" width="13" style="1" customWidth="1"/>
    <col min="14095" max="14096" width="13.140625" style="1" customWidth="1"/>
    <col min="14097" max="14097" width="13.7109375" style="1" customWidth="1"/>
    <col min="14098" max="14098" width="10.5703125" style="1" customWidth="1"/>
    <col min="14099" max="14099" width="12.140625" style="1" bestFit="1" customWidth="1"/>
    <col min="14100" max="14100" width="15.5703125" style="1" customWidth="1"/>
    <col min="14101" max="14101" width="8.28515625" style="1" customWidth="1"/>
    <col min="14102" max="14102" width="11.42578125" style="1"/>
    <col min="14103" max="14103" width="12.7109375" style="1" customWidth="1"/>
    <col min="14104" max="14104" width="13.140625" style="1" customWidth="1"/>
    <col min="14105" max="14105" width="11.7109375" style="1" customWidth="1"/>
    <col min="14106" max="14109" width="11.42578125" style="1"/>
    <col min="14110" max="14110" width="15.7109375" style="1" customWidth="1"/>
    <col min="14111" max="14111" width="5" style="1" bestFit="1" customWidth="1"/>
    <col min="14112" max="14112" width="6.42578125" style="1" bestFit="1" customWidth="1"/>
    <col min="14113" max="14113" width="5.42578125" style="1" bestFit="1" customWidth="1"/>
    <col min="14114" max="14114" width="4.28515625" style="1" bestFit="1" customWidth="1"/>
    <col min="14115" max="14115" width="5" style="1" bestFit="1" customWidth="1"/>
    <col min="14116" max="14116" width="4.5703125" style="1" bestFit="1" customWidth="1"/>
    <col min="14117" max="14117" width="6" style="1" customWidth="1"/>
    <col min="14118" max="14118" width="5.85546875" style="1" bestFit="1" customWidth="1"/>
    <col min="14119" max="14119" width="9.140625" style="1" bestFit="1" customWidth="1"/>
    <col min="14120" max="14120" width="6.5703125" style="1" bestFit="1" customWidth="1"/>
    <col min="14121" max="14121" width="8.85546875" style="1" bestFit="1" customWidth="1"/>
    <col min="14122" max="14122" width="8.28515625" style="1" bestFit="1" customWidth="1"/>
    <col min="14123" max="14336" width="11.42578125" style="1"/>
    <col min="14337" max="14337" width="16.140625" style="1" customWidth="1"/>
    <col min="14338" max="14338" width="11.5703125" style="1" customWidth="1"/>
    <col min="14339" max="14339" width="12.140625" style="1" customWidth="1"/>
    <col min="14340" max="14340" width="13" style="1" customWidth="1"/>
    <col min="14341" max="14341" width="12" style="1" customWidth="1"/>
    <col min="14342" max="14342" width="10.7109375" style="1" customWidth="1"/>
    <col min="14343" max="14343" width="15.7109375" style="1" customWidth="1"/>
    <col min="14344" max="14344" width="14.140625" style="1" customWidth="1"/>
    <col min="14345" max="14345" width="14" style="1" customWidth="1"/>
    <col min="14346" max="14346" width="13.7109375" style="1" customWidth="1"/>
    <col min="14347" max="14347" width="16.42578125" style="1" customWidth="1"/>
    <col min="14348" max="14348" width="12.7109375" style="1" customWidth="1"/>
    <col min="14349" max="14349" width="14" style="1" customWidth="1"/>
    <col min="14350" max="14350" width="13" style="1" customWidth="1"/>
    <col min="14351" max="14352" width="13.140625" style="1" customWidth="1"/>
    <col min="14353" max="14353" width="13.7109375" style="1" customWidth="1"/>
    <col min="14354" max="14354" width="10.5703125" style="1" customWidth="1"/>
    <col min="14355" max="14355" width="12.140625" style="1" bestFit="1" customWidth="1"/>
    <col min="14356" max="14356" width="15.5703125" style="1" customWidth="1"/>
    <col min="14357" max="14357" width="8.28515625" style="1" customWidth="1"/>
    <col min="14358" max="14358" width="11.42578125" style="1"/>
    <col min="14359" max="14359" width="12.7109375" style="1" customWidth="1"/>
    <col min="14360" max="14360" width="13.140625" style="1" customWidth="1"/>
    <col min="14361" max="14361" width="11.7109375" style="1" customWidth="1"/>
    <col min="14362" max="14365" width="11.42578125" style="1"/>
    <col min="14366" max="14366" width="15.7109375" style="1" customWidth="1"/>
    <col min="14367" max="14367" width="5" style="1" bestFit="1" customWidth="1"/>
    <col min="14368" max="14368" width="6.42578125" style="1" bestFit="1" customWidth="1"/>
    <col min="14369" max="14369" width="5.42578125" style="1" bestFit="1" customWidth="1"/>
    <col min="14370" max="14370" width="4.28515625" style="1" bestFit="1" customWidth="1"/>
    <col min="14371" max="14371" width="5" style="1" bestFit="1" customWidth="1"/>
    <col min="14372" max="14372" width="4.5703125" style="1" bestFit="1" customWidth="1"/>
    <col min="14373" max="14373" width="6" style="1" customWidth="1"/>
    <col min="14374" max="14374" width="5.85546875" style="1" bestFit="1" customWidth="1"/>
    <col min="14375" max="14375" width="9.140625" style="1" bestFit="1" customWidth="1"/>
    <col min="14376" max="14376" width="6.5703125" style="1" bestFit="1" customWidth="1"/>
    <col min="14377" max="14377" width="8.85546875" style="1" bestFit="1" customWidth="1"/>
    <col min="14378" max="14378" width="8.28515625" style="1" bestFit="1" customWidth="1"/>
    <col min="14379" max="14592" width="11.42578125" style="1"/>
    <col min="14593" max="14593" width="16.140625" style="1" customWidth="1"/>
    <col min="14594" max="14594" width="11.5703125" style="1" customWidth="1"/>
    <col min="14595" max="14595" width="12.140625" style="1" customWidth="1"/>
    <col min="14596" max="14596" width="13" style="1" customWidth="1"/>
    <col min="14597" max="14597" width="12" style="1" customWidth="1"/>
    <col min="14598" max="14598" width="10.7109375" style="1" customWidth="1"/>
    <col min="14599" max="14599" width="15.7109375" style="1" customWidth="1"/>
    <col min="14600" max="14600" width="14.140625" style="1" customWidth="1"/>
    <col min="14601" max="14601" width="14" style="1" customWidth="1"/>
    <col min="14602" max="14602" width="13.7109375" style="1" customWidth="1"/>
    <col min="14603" max="14603" width="16.42578125" style="1" customWidth="1"/>
    <col min="14604" max="14604" width="12.7109375" style="1" customWidth="1"/>
    <col min="14605" max="14605" width="14" style="1" customWidth="1"/>
    <col min="14606" max="14606" width="13" style="1" customWidth="1"/>
    <col min="14607" max="14608" width="13.140625" style="1" customWidth="1"/>
    <col min="14609" max="14609" width="13.7109375" style="1" customWidth="1"/>
    <col min="14610" max="14610" width="10.5703125" style="1" customWidth="1"/>
    <col min="14611" max="14611" width="12.140625" style="1" bestFit="1" customWidth="1"/>
    <col min="14612" max="14612" width="15.5703125" style="1" customWidth="1"/>
    <col min="14613" max="14613" width="8.28515625" style="1" customWidth="1"/>
    <col min="14614" max="14614" width="11.42578125" style="1"/>
    <col min="14615" max="14615" width="12.7109375" style="1" customWidth="1"/>
    <col min="14616" max="14616" width="13.140625" style="1" customWidth="1"/>
    <col min="14617" max="14617" width="11.7109375" style="1" customWidth="1"/>
    <col min="14618" max="14621" width="11.42578125" style="1"/>
    <col min="14622" max="14622" width="15.7109375" style="1" customWidth="1"/>
    <col min="14623" max="14623" width="5" style="1" bestFit="1" customWidth="1"/>
    <col min="14624" max="14624" width="6.42578125" style="1" bestFit="1" customWidth="1"/>
    <col min="14625" max="14625" width="5.42578125" style="1" bestFit="1" customWidth="1"/>
    <col min="14626" max="14626" width="4.28515625" style="1" bestFit="1" customWidth="1"/>
    <col min="14627" max="14627" width="5" style="1" bestFit="1" customWidth="1"/>
    <col min="14628" max="14628" width="4.5703125" style="1" bestFit="1" customWidth="1"/>
    <col min="14629" max="14629" width="6" style="1" customWidth="1"/>
    <col min="14630" max="14630" width="5.85546875" style="1" bestFit="1" customWidth="1"/>
    <col min="14631" max="14631" width="9.140625" style="1" bestFit="1" customWidth="1"/>
    <col min="14632" max="14632" width="6.5703125" style="1" bestFit="1" customWidth="1"/>
    <col min="14633" max="14633" width="8.85546875" style="1" bestFit="1" customWidth="1"/>
    <col min="14634" max="14634" width="8.28515625" style="1" bestFit="1" customWidth="1"/>
    <col min="14635" max="14848" width="11.42578125" style="1"/>
    <col min="14849" max="14849" width="16.140625" style="1" customWidth="1"/>
    <col min="14850" max="14850" width="11.5703125" style="1" customWidth="1"/>
    <col min="14851" max="14851" width="12.140625" style="1" customWidth="1"/>
    <col min="14852" max="14852" width="13" style="1" customWidth="1"/>
    <col min="14853" max="14853" width="12" style="1" customWidth="1"/>
    <col min="14854" max="14854" width="10.7109375" style="1" customWidth="1"/>
    <col min="14855" max="14855" width="15.7109375" style="1" customWidth="1"/>
    <col min="14856" max="14856" width="14.140625" style="1" customWidth="1"/>
    <col min="14857" max="14857" width="14" style="1" customWidth="1"/>
    <col min="14858" max="14858" width="13.7109375" style="1" customWidth="1"/>
    <col min="14859" max="14859" width="16.42578125" style="1" customWidth="1"/>
    <col min="14860" max="14860" width="12.7109375" style="1" customWidth="1"/>
    <col min="14861" max="14861" width="14" style="1" customWidth="1"/>
    <col min="14862" max="14862" width="13" style="1" customWidth="1"/>
    <col min="14863" max="14864" width="13.140625" style="1" customWidth="1"/>
    <col min="14865" max="14865" width="13.7109375" style="1" customWidth="1"/>
    <col min="14866" max="14866" width="10.5703125" style="1" customWidth="1"/>
    <col min="14867" max="14867" width="12.140625" style="1" bestFit="1" customWidth="1"/>
    <col min="14868" max="14868" width="15.5703125" style="1" customWidth="1"/>
    <col min="14869" max="14869" width="8.28515625" style="1" customWidth="1"/>
    <col min="14870" max="14870" width="11.42578125" style="1"/>
    <col min="14871" max="14871" width="12.7109375" style="1" customWidth="1"/>
    <col min="14872" max="14872" width="13.140625" style="1" customWidth="1"/>
    <col min="14873" max="14873" width="11.7109375" style="1" customWidth="1"/>
    <col min="14874" max="14877" width="11.42578125" style="1"/>
    <col min="14878" max="14878" width="15.7109375" style="1" customWidth="1"/>
    <col min="14879" max="14879" width="5" style="1" bestFit="1" customWidth="1"/>
    <col min="14880" max="14880" width="6.42578125" style="1" bestFit="1" customWidth="1"/>
    <col min="14881" max="14881" width="5.42578125" style="1" bestFit="1" customWidth="1"/>
    <col min="14882" max="14882" width="4.28515625" style="1" bestFit="1" customWidth="1"/>
    <col min="14883" max="14883" width="5" style="1" bestFit="1" customWidth="1"/>
    <col min="14884" max="14884" width="4.5703125" style="1" bestFit="1" customWidth="1"/>
    <col min="14885" max="14885" width="6" style="1" customWidth="1"/>
    <col min="14886" max="14886" width="5.85546875" style="1" bestFit="1" customWidth="1"/>
    <col min="14887" max="14887" width="9.140625" style="1" bestFit="1" customWidth="1"/>
    <col min="14888" max="14888" width="6.5703125" style="1" bestFit="1" customWidth="1"/>
    <col min="14889" max="14889" width="8.85546875" style="1" bestFit="1" customWidth="1"/>
    <col min="14890" max="14890" width="8.28515625" style="1" bestFit="1" customWidth="1"/>
    <col min="14891" max="15104" width="11.42578125" style="1"/>
    <col min="15105" max="15105" width="16.140625" style="1" customWidth="1"/>
    <col min="15106" max="15106" width="11.5703125" style="1" customWidth="1"/>
    <col min="15107" max="15107" width="12.140625" style="1" customWidth="1"/>
    <col min="15108" max="15108" width="13" style="1" customWidth="1"/>
    <col min="15109" max="15109" width="12" style="1" customWidth="1"/>
    <col min="15110" max="15110" width="10.7109375" style="1" customWidth="1"/>
    <col min="15111" max="15111" width="15.7109375" style="1" customWidth="1"/>
    <col min="15112" max="15112" width="14.140625" style="1" customWidth="1"/>
    <col min="15113" max="15113" width="14" style="1" customWidth="1"/>
    <col min="15114" max="15114" width="13.7109375" style="1" customWidth="1"/>
    <col min="15115" max="15115" width="16.42578125" style="1" customWidth="1"/>
    <col min="15116" max="15116" width="12.7109375" style="1" customWidth="1"/>
    <col min="15117" max="15117" width="14" style="1" customWidth="1"/>
    <col min="15118" max="15118" width="13" style="1" customWidth="1"/>
    <col min="15119" max="15120" width="13.140625" style="1" customWidth="1"/>
    <col min="15121" max="15121" width="13.7109375" style="1" customWidth="1"/>
    <col min="15122" max="15122" width="10.5703125" style="1" customWidth="1"/>
    <col min="15123" max="15123" width="12.140625" style="1" bestFit="1" customWidth="1"/>
    <col min="15124" max="15124" width="15.5703125" style="1" customWidth="1"/>
    <col min="15125" max="15125" width="8.28515625" style="1" customWidth="1"/>
    <col min="15126" max="15126" width="11.42578125" style="1"/>
    <col min="15127" max="15127" width="12.7109375" style="1" customWidth="1"/>
    <col min="15128" max="15128" width="13.140625" style="1" customWidth="1"/>
    <col min="15129" max="15129" width="11.7109375" style="1" customWidth="1"/>
    <col min="15130" max="15133" width="11.42578125" style="1"/>
    <col min="15134" max="15134" width="15.7109375" style="1" customWidth="1"/>
    <col min="15135" max="15135" width="5" style="1" bestFit="1" customWidth="1"/>
    <col min="15136" max="15136" width="6.42578125" style="1" bestFit="1" customWidth="1"/>
    <col min="15137" max="15137" width="5.42578125" style="1" bestFit="1" customWidth="1"/>
    <col min="15138" max="15138" width="4.28515625" style="1" bestFit="1" customWidth="1"/>
    <col min="15139" max="15139" width="5" style="1" bestFit="1" customWidth="1"/>
    <col min="15140" max="15140" width="4.5703125" style="1" bestFit="1" customWidth="1"/>
    <col min="15141" max="15141" width="6" style="1" customWidth="1"/>
    <col min="15142" max="15142" width="5.85546875" style="1" bestFit="1" customWidth="1"/>
    <col min="15143" max="15143" width="9.140625" style="1" bestFit="1" customWidth="1"/>
    <col min="15144" max="15144" width="6.5703125" style="1" bestFit="1" customWidth="1"/>
    <col min="15145" max="15145" width="8.85546875" style="1" bestFit="1" customWidth="1"/>
    <col min="15146" max="15146" width="8.28515625" style="1" bestFit="1" customWidth="1"/>
    <col min="15147" max="15360" width="11.42578125" style="1"/>
    <col min="15361" max="15361" width="16.140625" style="1" customWidth="1"/>
    <col min="15362" max="15362" width="11.5703125" style="1" customWidth="1"/>
    <col min="15363" max="15363" width="12.140625" style="1" customWidth="1"/>
    <col min="15364" max="15364" width="13" style="1" customWidth="1"/>
    <col min="15365" max="15365" width="12" style="1" customWidth="1"/>
    <col min="15366" max="15366" width="10.7109375" style="1" customWidth="1"/>
    <col min="15367" max="15367" width="15.7109375" style="1" customWidth="1"/>
    <col min="15368" max="15368" width="14.140625" style="1" customWidth="1"/>
    <col min="15369" max="15369" width="14" style="1" customWidth="1"/>
    <col min="15370" max="15370" width="13.7109375" style="1" customWidth="1"/>
    <col min="15371" max="15371" width="16.42578125" style="1" customWidth="1"/>
    <col min="15372" max="15372" width="12.7109375" style="1" customWidth="1"/>
    <col min="15373" max="15373" width="14" style="1" customWidth="1"/>
    <col min="15374" max="15374" width="13" style="1" customWidth="1"/>
    <col min="15375" max="15376" width="13.140625" style="1" customWidth="1"/>
    <col min="15377" max="15377" width="13.7109375" style="1" customWidth="1"/>
    <col min="15378" max="15378" width="10.5703125" style="1" customWidth="1"/>
    <col min="15379" max="15379" width="12.140625" style="1" bestFit="1" customWidth="1"/>
    <col min="15380" max="15380" width="15.5703125" style="1" customWidth="1"/>
    <col min="15381" max="15381" width="8.28515625" style="1" customWidth="1"/>
    <col min="15382" max="15382" width="11.42578125" style="1"/>
    <col min="15383" max="15383" width="12.7109375" style="1" customWidth="1"/>
    <col min="15384" max="15384" width="13.140625" style="1" customWidth="1"/>
    <col min="15385" max="15385" width="11.7109375" style="1" customWidth="1"/>
    <col min="15386" max="15389" width="11.42578125" style="1"/>
    <col min="15390" max="15390" width="15.7109375" style="1" customWidth="1"/>
    <col min="15391" max="15391" width="5" style="1" bestFit="1" customWidth="1"/>
    <col min="15392" max="15392" width="6.42578125" style="1" bestFit="1" customWidth="1"/>
    <col min="15393" max="15393" width="5.42578125" style="1" bestFit="1" customWidth="1"/>
    <col min="15394" max="15394" width="4.28515625" style="1" bestFit="1" customWidth="1"/>
    <col min="15395" max="15395" width="5" style="1" bestFit="1" customWidth="1"/>
    <col min="15396" max="15396" width="4.5703125" style="1" bestFit="1" customWidth="1"/>
    <col min="15397" max="15397" width="6" style="1" customWidth="1"/>
    <col min="15398" max="15398" width="5.85546875" style="1" bestFit="1" customWidth="1"/>
    <col min="15399" max="15399" width="9.140625" style="1" bestFit="1" customWidth="1"/>
    <col min="15400" max="15400" width="6.5703125" style="1" bestFit="1" customWidth="1"/>
    <col min="15401" max="15401" width="8.85546875" style="1" bestFit="1" customWidth="1"/>
    <col min="15402" max="15402" width="8.28515625" style="1" bestFit="1" customWidth="1"/>
    <col min="15403" max="15616" width="11.42578125" style="1"/>
    <col min="15617" max="15617" width="16.140625" style="1" customWidth="1"/>
    <col min="15618" max="15618" width="11.5703125" style="1" customWidth="1"/>
    <col min="15619" max="15619" width="12.140625" style="1" customWidth="1"/>
    <col min="15620" max="15620" width="13" style="1" customWidth="1"/>
    <col min="15621" max="15621" width="12" style="1" customWidth="1"/>
    <col min="15622" max="15622" width="10.7109375" style="1" customWidth="1"/>
    <col min="15623" max="15623" width="15.7109375" style="1" customWidth="1"/>
    <col min="15624" max="15624" width="14.140625" style="1" customWidth="1"/>
    <col min="15625" max="15625" width="14" style="1" customWidth="1"/>
    <col min="15626" max="15626" width="13.7109375" style="1" customWidth="1"/>
    <col min="15627" max="15627" width="16.42578125" style="1" customWidth="1"/>
    <col min="15628" max="15628" width="12.7109375" style="1" customWidth="1"/>
    <col min="15629" max="15629" width="14" style="1" customWidth="1"/>
    <col min="15630" max="15630" width="13" style="1" customWidth="1"/>
    <col min="15631" max="15632" width="13.140625" style="1" customWidth="1"/>
    <col min="15633" max="15633" width="13.7109375" style="1" customWidth="1"/>
    <col min="15634" max="15634" width="10.5703125" style="1" customWidth="1"/>
    <col min="15635" max="15635" width="12.140625" style="1" bestFit="1" customWidth="1"/>
    <col min="15636" max="15636" width="15.5703125" style="1" customWidth="1"/>
    <col min="15637" max="15637" width="8.28515625" style="1" customWidth="1"/>
    <col min="15638" max="15638" width="11.42578125" style="1"/>
    <col min="15639" max="15639" width="12.7109375" style="1" customWidth="1"/>
    <col min="15640" max="15640" width="13.140625" style="1" customWidth="1"/>
    <col min="15641" max="15641" width="11.7109375" style="1" customWidth="1"/>
    <col min="15642" max="15645" width="11.42578125" style="1"/>
    <col min="15646" max="15646" width="15.7109375" style="1" customWidth="1"/>
    <col min="15647" max="15647" width="5" style="1" bestFit="1" customWidth="1"/>
    <col min="15648" max="15648" width="6.42578125" style="1" bestFit="1" customWidth="1"/>
    <col min="15649" max="15649" width="5.42578125" style="1" bestFit="1" customWidth="1"/>
    <col min="15650" max="15650" width="4.28515625" style="1" bestFit="1" customWidth="1"/>
    <col min="15651" max="15651" width="5" style="1" bestFit="1" customWidth="1"/>
    <col min="15652" max="15652" width="4.5703125" style="1" bestFit="1" customWidth="1"/>
    <col min="15653" max="15653" width="6" style="1" customWidth="1"/>
    <col min="15654" max="15654" width="5.85546875" style="1" bestFit="1" customWidth="1"/>
    <col min="15655" max="15655" width="9.140625" style="1" bestFit="1" customWidth="1"/>
    <col min="15656" max="15656" width="6.5703125" style="1" bestFit="1" customWidth="1"/>
    <col min="15657" max="15657" width="8.85546875" style="1" bestFit="1" customWidth="1"/>
    <col min="15658" max="15658" width="8.28515625" style="1" bestFit="1" customWidth="1"/>
    <col min="15659" max="15872" width="11.42578125" style="1"/>
    <col min="15873" max="15873" width="16.140625" style="1" customWidth="1"/>
    <col min="15874" max="15874" width="11.5703125" style="1" customWidth="1"/>
    <col min="15875" max="15875" width="12.140625" style="1" customWidth="1"/>
    <col min="15876" max="15876" width="13" style="1" customWidth="1"/>
    <col min="15877" max="15877" width="12" style="1" customWidth="1"/>
    <col min="15878" max="15878" width="10.7109375" style="1" customWidth="1"/>
    <col min="15879" max="15879" width="15.7109375" style="1" customWidth="1"/>
    <col min="15880" max="15880" width="14.140625" style="1" customWidth="1"/>
    <col min="15881" max="15881" width="14" style="1" customWidth="1"/>
    <col min="15882" max="15882" width="13.7109375" style="1" customWidth="1"/>
    <col min="15883" max="15883" width="16.42578125" style="1" customWidth="1"/>
    <col min="15884" max="15884" width="12.7109375" style="1" customWidth="1"/>
    <col min="15885" max="15885" width="14" style="1" customWidth="1"/>
    <col min="15886" max="15886" width="13" style="1" customWidth="1"/>
    <col min="15887" max="15888" width="13.140625" style="1" customWidth="1"/>
    <col min="15889" max="15889" width="13.7109375" style="1" customWidth="1"/>
    <col min="15890" max="15890" width="10.5703125" style="1" customWidth="1"/>
    <col min="15891" max="15891" width="12.140625" style="1" bestFit="1" customWidth="1"/>
    <col min="15892" max="15892" width="15.5703125" style="1" customWidth="1"/>
    <col min="15893" max="15893" width="8.28515625" style="1" customWidth="1"/>
    <col min="15894" max="15894" width="11.42578125" style="1"/>
    <col min="15895" max="15895" width="12.7109375" style="1" customWidth="1"/>
    <col min="15896" max="15896" width="13.140625" style="1" customWidth="1"/>
    <col min="15897" max="15897" width="11.7109375" style="1" customWidth="1"/>
    <col min="15898" max="15901" width="11.42578125" style="1"/>
    <col min="15902" max="15902" width="15.7109375" style="1" customWidth="1"/>
    <col min="15903" max="15903" width="5" style="1" bestFit="1" customWidth="1"/>
    <col min="15904" max="15904" width="6.42578125" style="1" bestFit="1" customWidth="1"/>
    <col min="15905" max="15905" width="5.42578125" style="1" bestFit="1" customWidth="1"/>
    <col min="15906" max="15906" width="4.28515625" style="1" bestFit="1" customWidth="1"/>
    <col min="15907" max="15907" width="5" style="1" bestFit="1" customWidth="1"/>
    <col min="15908" max="15908" width="4.5703125" style="1" bestFit="1" customWidth="1"/>
    <col min="15909" max="15909" width="6" style="1" customWidth="1"/>
    <col min="15910" max="15910" width="5.85546875" style="1" bestFit="1" customWidth="1"/>
    <col min="15911" max="15911" width="9.140625" style="1" bestFit="1" customWidth="1"/>
    <col min="15912" max="15912" width="6.5703125" style="1" bestFit="1" customWidth="1"/>
    <col min="15913" max="15913" width="8.85546875" style="1" bestFit="1" customWidth="1"/>
    <col min="15914" max="15914" width="8.28515625" style="1" bestFit="1" customWidth="1"/>
    <col min="15915" max="16128" width="11.42578125" style="1"/>
    <col min="16129" max="16129" width="16.140625" style="1" customWidth="1"/>
    <col min="16130" max="16130" width="11.5703125" style="1" customWidth="1"/>
    <col min="16131" max="16131" width="12.140625" style="1" customWidth="1"/>
    <col min="16132" max="16132" width="13" style="1" customWidth="1"/>
    <col min="16133" max="16133" width="12" style="1" customWidth="1"/>
    <col min="16134" max="16134" width="10.7109375" style="1" customWidth="1"/>
    <col min="16135" max="16135" width="15.7109375" style="1" customWidth="1"/>
    <col min="16136" max="16136" width="14.140625" style="1" customWidth="1"/>
    <col min="16137" max="16137" width="14" style="1" customWidth="1"/>
    <col min="16138" max="16138" width="13.7109375" style="1" customWidth="1"/>
    <col min="16139" max="16139" width="16.42578125" style="1" customWidth="1"/>
    <col min="16140" max="16140" width="12.7109375" style="1" customWidth="1"/>
    <col min="16141" max="16141" width="14" style="1" customWidth="1"/>
    <col min="16142" max="16142" width="13" style="1" customWidth="1"/>
    <col min="16143" max="16144" width="13.140625" style="1" customWidth="1"/>
    <col min="16145" max="16145" width="13.7109375" style="1" customWidth="1"/>
    <col min="16146" max="16146" width="10.5703125" style="1" customWidth="1"/>
    <col min="16147" max="16147" width="12.140625" style="1" bestFit="1" customWidth="1"/>
    <col min="16148" max="16148" width="15.5703125" style="1" customWidth="1"/>
    <col min="16149" max="16149" width="8.28515625" style="1" customWidth="1"/>
    <col min="16150" max="16150" width="11.42578125" style="1"/>
    <col min="16151" max="16151" width="12.7109375" style="1" customWidth="1"/>
    <col min="16152" max="16152" width="13.140625" style="1" customWidth="1"/>
    <col min="16153" max="16153" width="11.7109375" style="1" customWidth="1"/>
    <col min="16154" max="16157" width="11.42578125" style="1"/>
    <col min="16158" max="16158" width="15.7109375" style="1" customWidth="1"/>
    <col min="16159" max="16159" width="5" style="1" bestFit="1" customWidth="1"/>
    <col min="16160" max="16160" width="6.42578125" style="1" bestFit="1" customWidth="1"/>
    <col min="16161" max="16161" width="5.42578125" style="1" bestFit="1" customWidth="1"/>
    <col min="16162" max="16162" width="4.28515625" style="1" bestFit="1" customWidth="1"/>
    <col min="16163" max="16163" width="5" style="1" bestFit="1" customWidth="1"/>
    <col min="16164" max="16164" width="4.5703125" style="1" bestFit="1" customWidth="1"/>
    <col min="16165" max="16165" width="6" style="1" customWidth="1"/>
    <col min="16166" max="16166" width="5.85546875" style="1" bestFit="1" customWidth="1"/>
    <col min="16167" max="16167" width="9.140625" style="1" bestFit="1" customWidth="1"/>
    <col min="16168" max="16168" width="6.5703125" style="1" bestFit="1" customWidth="1"/>
    <col min="16169" max="16169" width="8.85546875" style="1" bestFit="1" customWidth="1"/>
    <col min="16170" max="16170" width="8.28515625" style="1" bestFit="1" customWidth="1"/>
    <col min="16171"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274</v>
      </c>
      <c r="D5" s="24"/>
      <c r="E5" s="24"/>
      <c r="F5" s="24"/>
      <c r="G5" s="24"/>
      <c r="H5" s="24"/>
      <c r="I5" s="25"/>
      <c r="J5" s="25"/>
      <c r="K5" s="122"/>
      <c r="L5" s="25"/>
      <c r="M5" s="25"/>
      <c r="N5" s="25"/>
      <c r="O5" s="25"/>
      <c r="P5" s="25"/>
      <c r="Q5" s="27"/>
      <c r="R5" s="27"/>
      <c r="S5" s="27"/>
      <c r="T5" s="27"/>
      <c r="U5" s="27"/>
      <c r="V5" s="27"/>
      <c r="W5" s="27"/>
      <c r="X5" s="27"/>
      <c r="Y5" s="27"/>
      <c r="Z5" s="27"/>
      <c r="AA5" s="27"/>
      <c r="AB5" s="27"/>
      <c r="AC5" s="27"/>
      <c r="AD5" s="27"/>
    </row>
    <row r="7" spans="1:42" s="29" customFormat="1" ht="24" customHeight="1"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40.5"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180" x14ac:dyDescent="0.25">
      <c r="A9" s="34" t="s">
        <v>275</v>
      </c>
      <c r="B9" s="34" t="s">
        <v>276</v>
      </c>
      <c r="C9" s="34" t="s">
        <v>277</v>
      </c>
      <c r="D9" s="34">
        <v>251510000</v>
      </c>
      <c r="E9" s="74" t="s">
        <v>279</v>
      </c>
      <c r="F9" s="34" t="s">
        <v>280</v>
      </c>
      <c r="G9" s="34" t="s">
        <v>281</v>
      </c>
      <c r="H9" s="36">
        <v>956400000</v>
      </c>
      <c r="I9" s="123">
        <v>1454860545</v>
      </c>
      <c r="J9" s="36">
        <v>1581679931</v>
      </c>
      <c r="K9" s="36">
        <v>0</v>
      </c>
      <c r="L9" s="36"/>
      <c r="M9" s="36"/>
      <c r="N9" s="36">
        <f>H9+K9</f>
        <v>956400000</v>
      </c>
      <c r="O9" s="36">
        <f>I9+L9</f>
        <v>1454860545</v>
      </c>
      <c r="P9" s="36">
        <f>J9+M9</f>
        <v>1581679931</v>
      </c>
      <c r="Q9" s="36"/>
      <c r="R9" s="36"/>
      <c r="S9" s="36">
        <v>644539955</v>
      </c>
      <c r="T9" s="37">
        <v>0</v>
      </c>
      <c r="U9" s="37" t="s">
        <v>316</v>
      </c>
      <c r="V9" s="37"/>
      <c r="W9" s="34"/>
      <c r="X9" s="34"/>
      <c r="Y9" s="34"/>
      <c r="Z9" s="34"/>
      <c r="AA9" s="34">
        <v>220</v>
      </c>
      <c r="AB9" s="34"/>
      <c r="AC9" s="34"/>
      <c r="AD9" s="10" t="s">
        <v>317</v>
      </c>
      <c r="AE9" s="124"/>
      <c r="AF9" s="124">
        <v>11</v>
      </c>
      <c r="AG9" s="124">
        <v>12</v>
      </c>
      <c r="AH9" s="124">
        <v>13</v>
      </c>
      <c r="AI9" s="124">
        <v>15</v>
      </c>
      <c r="AJ9" s="124">
        <v>19</v>
      </c>
      <c r="AK9" s="124">
        <v>16</v>
      </c>
      <c r="AL9" s="124">
        <v>18</v>
      </c>
      <c r="AM9" s="124">
        <v>18</v>
      </c>
      <c r="AN9" s="124">
        <v>18</v>
      </c>
      <c r="AO9" s="124">
        <v>28</v>
      </c>
      <c r="AP9" s="124">
        <v>14</v>
      </c>
    </row>
    <row r="10" spans="1:42" ht="84" x14ac:dyDescent="0.25">
      <c r="A10" s="34"/>
      <c r="B10" s="34"/>
      <c r="C10" s="34"/>
      <c r="D10" s="34"/>
      <c r="E10" s="74"/>
      <c r="F10" s="34"/>
      <c r="G10" s="34"/>
      <c r="H10" s="36"/>
      <c r="I10" s="39"/>
      <c r="J10" s="39"/>
      <c r="K10" s="39"/>
      <c r="L10" s="39"/>
      <c r="M10" s="39"/>
      <c r="N10" s="36">
        <f t="shared" ref="N10:P24" si="0">H10+K10</f>
        <v>0</v>
      </c>
      <c r="O10" s="36">
        <f t="shared" si="0"/>
        <v>0</v>
      </c>
      <c r="P10" s="36">
        <f t="shared" si="0"/>
        <v>0</v>
      </c>
      <c r="Q10" s="39"/>
      <c r="R10" s="39"/>
      <c r="S10" s="36">
        <f t="shared" ref="S10:S24" si="1">Q10+R10</f>
        <v>0</v>
      </c>
      <c r="T10" s="37" t="s">
        <v>318</v>
      </c>
      <c r="U10" s="37" t="s">
        <v>316</v>
      </c>
      <c r="V10" s="37">
        <v>124</v>
      </c>
      <c r="W10" s="10"/>
      <c r="X10" s="10"/>
      <c r="Y10" s="10">
        <v>93</v>
      </c>
      <c r="Z10" s="10">
        <f>93+105</f>
        <v>198</v>
      </c>
      <c r="AA10" s="34">
        <v>365</v>
      </c>
      <c r="AB10" s="10">
        <v>180</v>
      </c>
      <c r="AC10" s="10">
        <v>365</v>
      </c>
      <c r="AD10" s="10"/>
      <c r="AE10" s="124"/>
      <c r="AF10" s="124">
        <v>10</v>
      </c>
      <c r="AG10" s="124">
        <v>11</v>
      </c>
      <c r="AH10" s="124">
        <v>10</v>
      </c>
      <c r="AI10" s="124">
        <v>11</v>
      </c>
      <c r="AJ10" s="124">
        <v>11</v>
      </c>
      <c r="AK10" s="124">
        <v>12</v>
      </c>
      <c r="AL10" s="124">
        <v>12</v>
      </c>
      <c r="AM10" s="124">
        <v>12</v>
      </c>
      <c r="AN10" s="124">
        <v>12</v>
      </c>
      <c r="AO10" s="124">
        <v>12</v>
      </c>
      <c r="AP10" s="124">
        <v>11</v>
      </c>
    </row>
    <row r="11" spans="1:42" ht="72" x14ac:dyDescent="0.25">
      <c r="A11" s="34"/>
      <c r="B11" s="34"/>
      <c r="C11" s="34"/>
      <c r="D11" s="34"/>
      <c r="E11" s="74"/>
      <c r="F11" s="34"/>
      <c r="G11" s="34"/>
      <c r="H11" s="36"/>
      <c r="I11" s="39"/>
      <c r="J11" s="39"/>
      <c r="K11" s="39"/>
      <c r="L11" s="39"/>
      <c r="M11" s="39"/>
      <c r="N11" s="36">
        <f t="shared" si="0"/>
        <v>0</v>
      </c>
      <c r="O11" s="36">
        <f t="shared" si="0"/>
        <v>0</v>
      </c>
      <c r="P11" s="36">
        <f t="shared" si="0"/>
        <v>0</v>
      </c>
      <c r="Q11" s="39"/>
      <c r="R11" s="39"/>
      <c r="S11" s="36">
        <f t="shared" si="1"/>
        <v>0</v>
      </c>
      <c r="T11" s="37" t="s">
        <v>319</v>
      </c>
      <c r="U11" s="37" t="s">
        <v>316</v>
      </c>
      <c r="V11" s="37">
        <v>14</v>
      </c>
      <c r="W11" s="10"/>
      <c r="X11" s="10"/>
      <c r="Y11" s="10">
        <v>18</v>
      </c>
      <c r="Z11" s="10">
        <f>18+9</f>
        <v>27</v>
      </c>
      <c r="AA11" s="34">
        <v>365</v>
      </c>
      <c r="AB11" s="10">
        <v>180</v>
      </c>
      <c r="AC11" s="10">
        <v>365</v>
      </c>
      <c r="AD11" s="10"/>
      <c r="AE11" s="124"/>
      <c r="AF11" s="124">
        <v>1</v>
      </c>
      <c r="AG11" s="124">
        <v>1</v>
      </c>
      <c r="AH11" s="124">
        <v>1</v>
      </c>
      <c r="AI11" s="124">
        <v>1</v>
      </c>
      <c r="AJ11" s="124">
        <v>1</v>
      </c>
      <c r="AK11" s="124">
        <v>1</v>
      </c>
      <c r="AL11" s="124">
        <v>2</v>
      </c>
      <c r="AM11" s="124">
        <v>2</v>
      </c>
      <c r="AN11" s="124">
        <v>2</v>
      </c>
      <c r="AO11" s="124">
        <v>1</v>
      </c>
      <c r="AP11" s="124">
        <v>1</v>
      </c>
    </row>
    <row r="12" spans="1:42" ht="84" x14ac:dyDescent="0.25">
      <c r="A12" s="34"/>
      <c r="B12" s="34"/>
      <c r="C12" s="34"/>
      <c r="D12" s="34"/>
      <c r="E12" s="74"/>
      <c r="F12" s="34"/>
      <c r="G12" s="34"/>
      <c r="H12" s="36"/>
      <c r="I12" s="39"/>
      <c r="J12" s="39"/>
      <c r="K12" s="39"/>
      <c r="L12" s="39"/>
      <c r="M12" s="39"/>
      <c r="N12" s="36">
        <f t="shared" si="0"/>
        <v>0</v>
      </c>
      <c r="O12" s="36">
        <f t="shared" si="0"/>
        <v>0</v>
      </c>
      <c r="P12" s="36">
        <f t="shared" si="0"/>
        <v>0</v>
      </c>
      <c r="Q12" s="39"/>
      <c r="R12" s="39"/>
      <c r="S12" s="36">
        <f t="shared" si="1"/>
        <v>0</v>
      </c>
      <c r="T12" s="37" t="s">
        <v>320</v>
      </c>
      <c r="U12" s="37" t="s">
        <v>316</v>
      </c>
      <c r="V12" s="37">
        <v>14</v>
      </c>
      <c r="W12" s="10"/>
      <c r="X12" s="10"/>
      <c r="Y12" s="10">
        <v>7</v>
      </c>
      <c r="Z12" s="10">
        <f>7+106</f>
        <v>113</v>
      </c>
      <c r="AA12" s="34">
        <v>365</v>
      </c>
      <c r="AB12" s="10">
        <v>180</v>
      </c>
      <c r="AC12" s="10">
        <v>365</v>
      </c>
      <c r="AD12" s="10"/>
      <c r="AE12" s="124"/>
      <c r="AF12" s="124"/>
      <c r="AG12" s="124"/>
      <c r="AH12" s="124"/>
      <c r="AI12" s="124"/>
      <c r="AJ12" s="124">
        <v>5</v>
      </c>
      <c r="AK12" s="124"/>
      <c r="AL12" s="124"/>
      <c r="AM12" s="124"/>
      <c r="AN12" s="124">
        <v>1</v>
      </c>
      <c r="AO12" s="124">
        <v>8</v>
      </c>
      <c r="AP12" s="124"/>
    </row>
    <row r="13" spans="1:42" ht="72" x14ac:dyDescent="0.25">
      <c r="A13" s="34"/>
      <c r="B13" s="34"/>
      <c r="C13" s="34"/>
      <c r="D13" s="34"/>
      <c r="E13" s="74"/>
      <c r="F13" s="34"/>
      <c r="G13" s="34"/>
      <c r="H13" s="36"/>
      <c r="I13" s="39"/>
      <c r="J13" s="39"/>
      <c r="K13" s="39"/>
      <c r="L13" s="39"/>
      <c r="M13" s="39"/>
      <c r="N13" s="36">
        <f t="shared" si="0"/>
        <v>0</v>
      </c>
      <c r="O13" s="36">
        <f t="shared" si="0"/>
        <v>0</v>
      </c>
      <c r="P13" s="36">
        <f t="shared" si="0"/>
        <v>0</v>
      </c>
      <c r="Q13" s="39"/>
      <c r="R13" s="39"/>
      <c r="S13" s="36">
        <f t="shared" si="1"/>
        <v>0</v>
      </c>
      <c r="T13" s="37" t="s">
        <v>321</v>
      </c>
      <c r="U13" s="37" t="s">
        <v>316</v>
      </c>
      <c r="V13" s="37">
        <v>4</v>
      </c>
      <c r="W13" s="10"/>
      <c r="X13" s="10"/>
      <c r="Y13" s="10">
        <v>2</v>
      </c>
      <c r="Z13" s="10">
        <f>2+9</f>
        <v>11</v>
      </c>
      <c r="AA13" s="34">
        <v>365</v>
      </c>
      <c r="AB13" s="10">
        <v>180</v>
      </c>
      <c r="AC13" s="10">
        <v>365</v>
      </c>
      <c r="AD13" s="10"/>
      <c r="AE13" s="124"/>
      <c r="AF13" s="124"/>
      <c r="AG13" s="124"/>
      <c r="AH13" s="124"/>
      <c r="AI13" s="124">
        <v>1</v>
      </c>
      <c r="AJ13" s="124"/>
      <c r="AK13" s="124"/>
      <c r="AL13" s="124"/>
      <c r="AM13" s="124"/>
      <c r="AN13" s="124"/>
      <c r="AO13" s="124">
        <v>3</v>
      </c>
      <c r="AP13" s="124"/>
    </row>
    <row r="14" spans="1:42" ht="96" x14ac:dyDescent="0.25">
      <c r="A14" s="34"/>
      <c r="B14" s="34"/>
      <c r="C14" s="34"/>
      <c r="D14" s="34"/>
      <c r="E14" s="74"/>
      <c r="F14" s="34"/>
      <c r="G14" s="34"/>
      <c r="H14" s="36"/>
      <c r="I14" s="39"/>
      <c r="J14" s="39"/>
      <c r="K14" s="39"/>
      <c r="L14" s="39"/>
      <c r="M14" s="39"/>
      <c r="N14" s="36">
        <f t="shared" si="0"/>
        <v>0</v>
      </c>
      <c r="O14" s="36">
        <f t="shared" si="0"/>
        <v>0</v>
      </c>
      <c r="P14" s="36">
        <f t="shared" si="0"/>
        <v>0</v>
      </c>
      <c r="Q14" s="39"/>
      <c r="R14" s="39"/>
      <c r="S14" s="36">
        <f t="shared" si="1"/>
        <v>0</v>
      </c>
      <c r="T14" s="37" t="s">
        <v>322</v>
      </c>
      <c r="U14" s="37" t="s">
        <v>316</v>
      </c>
      <c r="V14" s="37">
        <v>23</v>
      </c>
      <c r="W14" s="10"/>
      <c r="X14" s="10"/>
      <c r="Y14" s="10">
        <v>25</v>
      </c>
      <c r="Z14" s="10">
        <f>25+9</f>
        <v>34</v>
      </c>
      <c r="AA14" s="34">
        <v>365</v>
      </c>
      <c r="AB14" s="10">
        <v>180</v>
      </c>
      <c r="AC14" s="10">
        <v>365</v>
      </c>
      <c r="AD14" s="10"/>
      <c r="AE14" s="124"/>
      <c r="AF14" s="124"/>
      <c r="AG14" s="124"/>
      <c r="AH14" s="124">
        <v>2</v>
      </c>
      <c r="AI14" s="124">
        <v>2</v>
      </c>
      <c r="AJ14" s="124">
        <v>2</v>
      </c>
      <c r="AK14" s="124">
        <v>3</v>
      </c>
      <c r="AL14" s="124">
        <v>4</v>
      </c>
      <c r="AM14" s="124">
        <v>3</v>
      </c>
      <c r="AN14" s="124">
        <v>2</v>
      </c>
      <c r="AO14" s="124">
        <v>3</v>
      </c>
      <c r="AP14" s="124">
        <v>2</v>
      </c>
    </row>
    <row r="15" spans="1:42" ht="84" x14ac:dyDescent="0.25">
      <c r="A15" s="34"/>
      <c r="B15" s="34"/>
      <c r="C15" s="34"/>
      <c r="D15" s="34"/>
      <c r="E15" s="74"/>
      <c r="F15" s="34"/>
      <c r="G15" s="34"/>
      <c r="H15" s="36"/>
      <c r="I15" s="39"/>
      <c r="J15" s="39"/>
      <c r="K15" s="39"/>
      <c r="L15" s="39"/>
      <c r="M15" s="39"/>
      <c r="N15" s="36">
        <f t="shared" si="0"/>
        <v>0</v>
      </c>
      <c r="O15" s="36">
        <f t="shared" si="0"/>
        <v>0</v>
      </c>
      <c r="P15" s="36">
        <f t="shared" si="0"/>
        <v>0</v>
      </c>
      <c r="Q15" s="39"/>
      <c r="R15" s="39"/>
      <c r="S15" s="36">
        <f t="shared" si="1"/>
        <v>0</v>
      </c>
      <c r="T15" s="37" t="s">
        <v>323</v>
      </c>
      <c r="U15" s="37" t="s">
        <v>316</v>
      </c>
      <c r="V15" s="37">
        <v>3</v>
      </c>
      <c r="W15" s="10"/>
      <c r="X15" s="10"/>
      <c r="Y15" s="10">
        <v>1</v>
      </c>
      <c r="Z15" s="10">
        <f>1+9</f>
        <v>10</v>
      </c>
      <c r="AA15" s="34">
        <v>365</v>
      </c>
      <c r="AB15" s="10">
        <v>180</v>
      </c>
      <c r="AC15" s="10">
        <v>365</v>
      </c>
      <c r="AD15" s="10"/>
      <c r="AE15" s="124"/>
      <c r="AF15" s="124"/>
      <c r="AG15" s="124"/>
      <c r="AH15" s="124"/>
      <c r="AI15" s="124"/>
      <c r="AJ15" s="124"/>
      <c r="AK15" s="124"/>
      <c r="AL15" s="124"/>
      <c r="AM15" s="124">
        <v>1</v>
      </c>
      <c r="AN15" s="124">
        <v>1</v>
      </c>
      <c r="AO15" s="124">
        <v>1</v>
      </c>
      <c r="AP15" s="124"/>
    </row>
    <row r="16" spans="1:42" ht="101.25" customHeight="1" x14ac:dyDescent="0.25">
      <c r="A16" s="34" t="s">
        <v>275</v>
      </c>
      <c r="B16" s="34" t="s">
        <v>276</v>
      </c>
      <c r="C16" s="34" t="s">
        <v>277</v>
      </c>
      <c r="D16" s="34">
        <v>251560000</v>
      </c>
      <c r="E16" s="74" t="s">
        <v>286</v>
      </c>
      <c r="F16" s="34" t="s">
        <v>287</v>
      </c>
      <c r="G16" s="34" t="s">
        <v>288</v>
      </c>
      <c r="H16" s="36">
        <v>83200000</v>
      </c>
      <c r="I16" s="123">
        <v>409000000</v>
      </c>
      <c r="J16" s="39">
        <v>452284590</v>
      </c>
      <c r="K16" s="39"/>
      <c r="L16" s="39"/>
      <c r="M16" s="39"/>
      <c r="N16" s="36">
        <f t="shared" si="0"/>
        <v>83200000</v>
      </c>
      <c r="O16" s="36">
        <f t="shared" si="0"/>
        <v>409000000</v>
      </c>
      <c r="P16" s="36">
        <f t="shared" si="0"/>
        <v>452284590</v>
      </c>
      <c r="Q16" s="39"/>
      <c r="R16" s="39"/>
      <c r="S16" s="36">
        <v>7500000</v>
      </c>
      <c r="T16" s="37">
        <v>0</v>
      </c>
      <c r="U16" s="37">
        <v>0</v>
      </c>
      <c r="V16" s="37">
        <v>0</v>
      </c>
      <c r="W16" s="10"/>
      <c r="X16" s="10"/>
      <c r="Y16" s="10"/>
      <c r="Z16" s="10"/>
      <c r="AA16" s="34">
        <v>0</v>
      </c>
      <c r="AB16" s="10"/>
      <c r="AC16" s="10"/>
      <c r="AD16" s="10"/>
      <c r="AE16" s="124"/>
      <c r="AF16" s="124"/>
      <c r="AG16" s="124"/>
      <c r="AH16" s="124"/>
      <c r="AI16" s="124"/>
      <c r="AJ16" s="124"/>
      <c r="AK16" s="124"/>
      <c r="AL16" s="124"/>
      <c r="AM16" s="124"/>
      <c r="AN16" s="124"/>
      <c r="AO16" s="124"/>
      <c r="AP16" s="124"/>
    </row>
    <row r="17" spans="1:42" ht="36" x14ac:dyDescent="0.25">
      <c r="A17" s="34"/>
      <c r="B17" s="34"/>
      <c r="C17" s="34"/>
      <c r="D17" s="34"/>
      <c r="E17" s="74"/>
      <c r="F17" s="34"/>
      <c r="G17" s="34"/>
      <c r="H17" s="36"/>
      <c r="I17" s="39"/>
      <c r="J17" s="39"/>
      <c r="K17" s="39"/>
      <c r="L17" s="39"/>
      <c r="M17" s="39"/>
      <c r="N17" s="36">
        <f t="shared" si="0"/>
        <v>0</v>
      </c>
      <c r="O17" s="36">
        <f t="shared" si="0"/>
        <v>0</v>
      </c>
      <c r="P17" s="36">
        <f t="shared" si="0"/>
        <v>0</v>
      </c>
      <c r="Q17" s="39"/>
      <c r="R17" s="39"/>
      <c r="S17" s="36">
        <f t="shared" si="1"/>
        <v>0</v>
      </c>
      <c r="T17" s="37" t="s">
        <v>324</v>
      </c>
      <c r="U17" s="37" t="s">
        <v>325</v>
      </c>
      <c r="V17" s="125">
        <v>0.8</v>
      </c>
      <c r="W17" s="126"/>
      <c r="X17" s="10"/>
      <c r="Y17" s="10">
        <v>100</v>
      </c>
      <c r="Z17" s="10">
        <v>100</v>
      </c>
      <c r="AA17" s="34">
        <v>120</v>
      </c>
      <c r="AB17" s="10">
        <v>120</v>
      </c>
      <c r="AC17" s="10">
        <v>240</v>
      </c>
      <c r="AD17" s="10"/>
      <c r="AE17" s="127"/>
      <c r="AF17" s="127"/>
      <c r="AG17" s="127"/>
      <c r="AH17" s="127"/>
      <c r="AI17" s="127"/>
      <c r="AJ17" s="127"/>
      <c r="AK17" s="127">
        <v>0.1</v>
      </c>
      <c r="AL17" s="127">
        <v>0.15</v>
      </c>
      <c r="AM17" s="127">
        <v>0.15</v>
      </c>
      <c r="AN17" s="127">
        <v>0.15</v>
      </c>
      <c r="AO17" s="127">
        <v>0.15</v>
      </c>
      <c r="AP17" s="127">
        <v>0.1</v>
      </c>
    </row>
    <row r="18" spans="1:42" ht="36" x14ac:dyDescent="0.25">
      <c r="A18" s="34"/>
      <c r="B18" s="34"/>
      <c r="C18" s="34"/>
      <c r="D18" s="34"/>
      <c r="E18" s="74"/>
      <c r="F18" s="34"/>
      <c r="G18" s="34"/>
      <c r="H18" s="36"/>
      <c r="I18" s="39"/>
      <c r="J18" s="39"/>
      <c r="K18" s="39"/>
      <c r="L18" s="39"/>
      <c r="M18" s="39"/>
      <c r="N18" s="36">
        <f t="shared" si="0"/>
        <v>0</v>
      </c>
      <c r="O18" s="36">
        <f t="shared" si="0"/>
        <v>0</v>
      </c>
      <c r="P18" s="36">
        <f t="shared" si="0"/>
        <v>0</v>
      </c>
      <c r="Q18" s="39"/>
      <c r="R18" s="39"/>
      <c r="S18" s="36">
        <f t="shared" si="1"/>
        <v>0</v>
      </c>
      <c r="T18" s="37" t="s">
        <v>326</v>
      </c>
      <c r="U18" s="37" t="s">
        <v>316</v>
      </c>
      <c r="V18" s="37">
        <v>10</v>
      </c>
      <c r="W18" s="10"/>
      <c r="X18" s="10"/>
      <c r="Y18" s="10">
        <v>0</v>
      </c>
      <c r="Z18" s="10">
        <v>22</v>
      </c>
      <c r="AA18" s="34">
        <v>120</v>
      </c>
      <c r="AB18" s="10">
        <v>120</v>
      </c>
      <c r="AC18" s="10">
        <v>240</v>
      </c>
      <c r="AD18" s="10"/>
      <c r="AE18" s="124"/>
      <c r="AF18" s="124"/>
      <c r="AG18" s="124"/>
      <c r="AH18" s="124"/>
      <c r="AI18" s="124"/>
      <c r="AJ18" s="124"/>
      <c r="AK18" s="124">
        <v>1</v>
      </c>
      <c r="AL18" s="124">
        <v>2</v>
      </c>
      <c r="AM18" s="124">
        <v>2</v>
      </c>
      <c r="AN18" s="124">
        <v>2</v>
      </c>
      <c r="AO18" s="124">
        <v>2</v>
      </c>
      <c r="AP18" s="124">
        <v>1</v>
      </c>
    </row>
    <row r="19" spans="1:42" ht="84" x14ac:dyDescent="0.25">
      <c r="A19" s="34" t="s">
        <v>275</v>
      </c>
      <c r="B19" s="34" t="s">
        <v>276</v>
      </c>
      <c r="C19" s="34" t="s">
        <v>277</v>
      </c>
      <c r="D19" s="34">
        <v>251520000</v>
      </c>
      <c r="E19" s="74" t="s">
        <v>292</v>
      </c>
      <c r="F19" s="34" t="s">
        <v>293</v>
      </c>
      <c r="G19" s="34" t="s">
        <v>294</v>
      </c>
      <c r="H19" s="36">
        <v>1078000000</v>
      </c>
      <c r="I19" s="123">
        <v>1428000000</v>
      </c>
      <c r="J19" s="39">
        <v>1499191153</v>
      </c>
      <c r="K19" s="39"/>
      <c r="L19" s="39"/>
      <c r="M19" s="39"/>
      <c r="N19" s="36">
        <f t="shared" si="0"/>
        <v>1078000000</v>
      </c>
      <c r="O19" s="36">
        <f t="shared" si="0"/>
        <v>1428000000</v>
      </c>
      <c r="P19" s="36">
        <f t="shared" si="0"/>
        <v>1499191153</v>
      </c>
      <c r="Q19" s="39"/>
      <c r="R19" s="39"/>
      <c r="S19" s="36">
        <v>18361874</v>
      </c>
      <c r="T19" s="37" t="s">
        <v>294</v>
      </c>
      <c r="U19" s="37" t="s">
        <v>316</v>
      </c>
      <c r="V19" s="37">
        <v>3</v>
      </c>
      <c r="W19" s="10"/>
      <c r="X19" s="10"/>
      <c r="Y19" s="10">
        <v>0</v>
      </c>
      <c r="Z19" s="10">
        <v>0</v>
      </c>
      <c r="AA19" s="34">
        <v>330</v>
      </c>
      <c r="AB19" s="10">
        <v>180</v>
      </c>
      <c r="AC19" s="10">
        <v>330</v>
      </c>
      <c r="AD19" s="10"/>
      <c r="AE19" s="124"/>
      <c r="AF19" s="124"/>
      <c r="AG19" s="124"/>
      <c r="AH19" s="124"/>
      <c r="AI19" s="124"/>
      <c r="AJ19" s="124"/>
      <c r="AK19" s="124"/>
      <c r="AL19" s="124"/>
      <c r="AM19" s="124">
        <v>1</v>
      </c>
      <c r="AN19" s="124"/>
      <c r="AO19" s="124">
        <v>1</v>
      </c>
      <c r="AP19" s="124">
        <v>1</v>
      </c>
    </row>
    <row r="20" spans="1:42" ht="72" x14ac:dyDescent="0.25">
      <c r="A20" s="34" t="s">
        <v>275</v>
      </c>
      <c r="B20" s="34" t="s">
        <v>276</v>
      </c>
      <c r="C20" s="34" t="s">
        <v>277</v>
      </c>
      <c r="D20" s="34">
        <v>251530000</v>
      </c>
      <c r="E20" s="74" t="s">
        <v>298</v>
      </c>
      <c r="F20" s="34" t="s">
        <v>299</v>
      </c>
      <c r="G20" s="34" t="s">
        <v>300</v>
      </c>
      <c r="H20" s="36">
        <v>1489895680</v>
      </c>
      <c r="I20" s="123">
        <v>1050000000</v>
      </c>
      <c r="J20" s="39">
        <v>1310030000</v>
      </c>
      <c r="K20" s="39"/>
      <c r="L20" s="39"/>
      <c r="M20" s="39"/>
      <c r="N20" s="36">
        <f t="shared" si="0"/>
        <v>1489895680</v>
      </c>
      <c r="O20" s="36">
        <f t="shared" si="0"/>
        <v>1050000000</v>
      </c>
      <c r="P20" s="36">
        <f t="shared" si="0"/>
        <v>1310030000</v>
      </c>
      <c r="Q20" s="39"/>
      <c r="R20" s="39"/>
      <c r="S20" s="36">
        <v>665328400</v>
      </c>
      <c r="T20" s="37" t="s">
        <v>327</v>
      </c>
      <c r="U20" s="37" t="s">
        <v>325</v>
      </c>
      <c r="V20" s="125">
        <v>0.6</v>
      </c>
      <c r="W20" s="126"/>
      <c r="X20" s="10"/>
      <c r="Y20" s="126">
        <v>0.63</v>
      </c>
      <c r="Z20" s="126">
        <v>1</v>
      </c>
      <c r="AA20" s="34">
        <v>365</v>
      </c>
      <c r="AB20" s="10">
        <v>180</v>
      </c>
      <c r="AC20" s="10">
        <v>365</v>
      </c>
      <c r="AD20" s="10"/>
      <c r="AE20" s="127">
        <v>0.6</v>
      </c>
      <c r="AF20" s="127">
        <v>0.6</v>
      </c>
      <c r="AG20" s="127">
        <v>0.6</v>
      </c>
      <c r="AH20" s="127">
        <v>0.6</v>
      </c>
      <c r="AI20" s="127">
        <v>0.6</v>
      </c>
      <c r="AJ20" s="127">
        <v>0.6</v>
      </c>
      <c r="AK20" s="127">
        <v>0.6</v>
      </c>
      <c r="AL20" s="127">
        <v>0.6</v>
      </c>
      <c r="AM20" s="127">
        <v>0.6</v>
      </c>
      <c r="AN20" s="127">
        <v>0.6</v>
      </c>
      <c r="AO20" s="127">
        <v>0.6</v>
      </c>
      <c r="AP20" s="127">
        <v>0.6</v>
      </c>
    </row>
    <row r="21" spans="1:42" ht="84" x14ac:dyDescent="0.25">
      <c r="A21" s="34" t="s">
        <v>275</v>
      </c>
      <c r="B21" s="34" t="s">
        <v>276</v>
      </c>
      <c r="C21" s="34" t="s">
        <v>277</v>
      </c>
      <c r="D21" s="34">
        <v>251540000</v>
      </c>
      <c r="E21" s="74" t="s">
        <v>303</v>
      </c>
      <c r="F21" s="34" t="s">
        <v>304</v>
      </c>
      <c r="G21" s="34" t="s">
        <v>305</v>
      </c>
      <c r="H21" s="36">
        <v>300000000</v>
      </c>
      <c r="I21" s="123">
        <v>300000000</v>
      </c>
      <c r="J21" s="39">
        <v>251897320</v>
      </c>
      <c r="K21" s="39"/>
      <c r="L21" s="39"/>
      <c r="M21" s="39"/>
      <c r="N21" s="36">
        <f t="shared" si="0"/>
        <v>300000000</v>
      </c>
      <c r="O21" s="36">
        <f t="shared" si="0"/>
        <v>300000000</v>
      </c>
      <c r="P21" s="36">
        <f t="shared" si="0"/>
        <v>251897320</v>
      </c>
      <c r="Q21" s="39"/>
      <c r="R21" s="39"/>
      <c r="S21" s="36">
        <v>51897320</v>
      </c>
      <c r="T21" s="37" t="s">
        <v>328</v>
      </c>
      <c r="U21" s="37" t="s">
        <v>325</v>
      </c>
      <c r="V21" s="125">
        <v>0.8</v>
      </c>
      <c r="W21" s="126"/>
      <c r="X21" s="10"/>
      <c r="Y21" s="126">
        <v>1</v>
      </c>
      <c r="Z21" s="126">
        <v>1</v>
      </c>
      <c r="AA21" s="34">
        <v>365</v>
      </c>
      <c r="AB21" s="10">
        <v>180</v>
      </c>
      <c r="AC21" s="10">
        <v>365</v>
      </c>
      <c r="AD21" s="10"/>
      <c r="AE21" s="127">
        <v>0.8</v>
      </c>
      <c r="AF21" s="127">
        <v>0.8</v>
      </c>
      <c r="AG21" s="127">
        <v>0.8</v>
      </c>
      <c r="AH21" s="127">
        <v>0.8</v>
      </c>
      <c r="AI21" s="127">
        <v>0.8</v>
      </c>
      <c r="AJ21" s="127">
        <v>0.8</v>
      </c>
      <c r="AK21" s="127">
        <v>0.8</v>
      </c>
      <c r="AL21" s="127">
        <v>0.8</v>
      </c>
      <c r="AM21" s="127">
        <v>0.8</v>
      </c>
      <c r="AN21" s="127">
        <v>0.8</v>
      </c>
      <c r="AO21" s="127">
        <v>0.8</v>
      </c>
      <c r="AP21" s="127">
        <v>0.8</v>
      </c>
    </row>
    <row r="22" spans="1:42" ht="96" x14ac:dyDescent="0.25">
      <c r="A22" s="34" t="s">
        <v>275</v>
      </c>
      <c r="B22" s="34" t="s">
        <v>276</v>
      </c>
      <c r="C22" s="34" t="s">
        <v>277</v>
      </c>
      <c r="D22" s="34">
        <v>251570000</v>
      </c>
      <c r="E22" s="74" t="s">
        <v>308</v>
      </c>
      <c r="F22" s="34" t="s">
        <v>309</v>
      </c>
      <c r="G22" s="34" t="s">
        <v>310</v>
      </c>
      <c r="H22" s="36">
        <v>1892504320</v>
      </c>
      <c r="I22" s="123">
        <v>860196955</v>
      </c>
      <c r="J22" s="39">
        <v>853331000</v>
      </c>
      <c r="K22" s="39"/>
      <c r="L22" s="39"/>
      <c r="M22" s="39"/>
      <c r="N22" s="36">
        <f t="shared" si="0"/>
        <v>1892504320</v>
      </c>
      <c r="O22" s="36">
        <f t="shared" si="0"/>
        <v>860196955</v>
      </c>
      <c r="P22" s="36">
        <f t="shared" si="0"/>
        <v>853331000</v>
      </c>
      <c r="Q22" s="39"/>
      <c r="R22" s="39"/>
      <c r="S22" s="36">
        <v>23055000</v>
      </c>
      <c r="T22" s="37" t="s">
        <v>329</v>
      </c>
      <c r="U22" s="37" t="s">
        <v>325</v>
      </c>
      <c r="V22" s="125">
        <v>0.45</v>
      </c>
      <c r="W22" s="126"/>
      <c r="X22" s="10"/>
      <c r="Y22" s="126">
        <v>0.2</v>
      </c>
      <c r="Z22" s="126">
        <v>0.2</v>
      </c>
      <c r="AA22" s="34">
        <v>220</v>
      </c>
      <c r="AB22" s="10">
        <v>180</v>
      </c>
      <c r="AC22" s="10">
        <v>220</v>
      </c>
      <c r="AD22" s="10"/>
      <c r="AE22" s="124"/>
      <c r="AF22" s="127">
        <v>0.05</v>
      </c>
      <c r="AG22" s="124"/>
      <c r="AH22" s="124"/>
      <c r="AI22" s="127">
        <v>0.2</v>
      </c>
      <c r="AJ22" s="124"/>
      <c r="AK22" s="124"/>
      <c r="AL22" s="124"/>
      <c r="AM22" s="124"/>
      <c r="AN22" s="124"/>
      <c r="AO22" s="124"/>
      <c r="AP22" s="127">
        <v>0.2</v>
      </c>
    </row>
    <row r="23" spans="1:42" ht="132" x14ac:dyDescent="0.25">
      <c r="A23" s="34" t="s">
        <v>275</v>
      </c>
      <c r="B23" s="34" t="s">
        <v>276</v>
      </c>
      <c r="C23" s="34" t="s">
        <v>277</v>
      </c>
      <c r="D23" s="34">
        <v>251570000</v>
      </c>
      <c r="E23" s="74" t="s">
        <v>313</v>
      </c>
      <c r="F23" s="34" t="s">
        <v>314</v>
      </c>
      <c r="G23" s="34" t="s">
        <v>315</v>
      </c>
      <c r="H23" s="36">
        <v>5634821119</v>
      </c>
      <c r="I23" s="39">
        <v>11739210664</v>
      </c>
      <c r="J23" s="39">
        <v>11739210664</v>
      </c>
      <c r="K23" s="36">
        <v>5634821119</v>
      </c>
      <c r="L23" s="39"/>
      <c r="M23" s="39">
        <v>11739210664</v>
      </c>
      <c r="N23" s="36">
        <f t="shared" si="0"/>
        <v>11269642238</v>
      </c>
      <c r="O23" s="36">
        <f t="shared" si="0"/>
        <v>11739210664</v>
      </c>
      <c r="P23" s="36">
        <f t="shared" si="0"/>
        <v>23478421328</v>
      </c>
      <c r="Q23" s="39"/>
      <c r="R23" s="39"/>
      <c r="S23" s="36">
        <v>1624238777</v>
      </c>
      <c r="T23" s="37" t="s">
        <v>330</v>
      </c>
      <c r="U23" s="37" t="s">
        <v>316</v>
      </c>
      <c r="V23" s="37">
        <v>8</v>
      </c>
      <c r="W23" s="10"/>
      <c r="X23" s="10"/>
      <c r="Y23" s="10">
        <v>8</v>
      </c>
      <c r="Z23" s="10">
        <f>8+10</f>
        <v>18</v>
      </c>
      <c r="AA23" s="34">
        <v>365</v>
      </c>
      <c r="AB23" s="10">
        <v>180</v>
      </c>
      <c r="AC23" s="10">
        <v>365</v>
      </c>
      <c r="AD23" s="10"/>
      <c r="AE23" s="124">
        <v>5</v>
      </c>
      <c r="AF23" s="124">
        <v>8</v>
      </c>
      <c r="AG23" s="124">
        <v>8</v>
      </c>
      <c r="AH23" s="124">
        <v>8</v>
      </c>
      <c r="AI23" s="124">
        <v>8</v>
      </c>
      <c r="AJ23" s="124">
        <v>8</v>
      </c>
      <c r="AK23" s="124">
        <v>8</v>
      </c>
      <c r="AL23" s="124">
        <v>8</v>
      </c>
      <c r="AM23" s="124">
        <v>8</v>
      </c>
      <c r="AN23" s="124">
        <v>8</v>
      </c>
      <c r="AO23" s="124">
        <v>8</v>
      </c>
      <c r="AP23" s="124">
        <v>8</v>
      </c>
    </row>
    <row r="24" spans="1:42" x14ac:dyDescent="0.25">
      <c r="A24" s="34">
        <v>0</v>
      </c>
      <c r="B24" s="34">
        <v>0</v>
      </c>
      <c r="C24" s="34">
        <v>0</v>
      </c>
      <c r="D24" s="34">
        <v>0</v>
      </c>
      <c r="E24" s="34">
        <v>0</v>
      </c>
      <c r="F24" s="27"/>
      <c r="G24" s="34">
        <v>0</v>
      </c>
      <c r="H24" s="36">
        <v>0</v>
      </c>
      <c r="I24" s="39"/>
      <c r="J24" s="39"/>
      <c r="K24" s="39"/>
      <c r="L24" s="39"/>
      <c r="M24" s="39"/>
      <c r="N24" s="36">
        <f t="shared" si="0"/>
        <v>0</v>
      </c>
      <c r="O24" s="36">
        <f t="shared" si="0"/>
        <v>0</v>
      </c>
      <c r="P24" s="36">
        <f t="shared" si="0"/>
        <v>0</v>
      </c>
      <c r="Q24" s="39"/>
      <c r="R24" s="39"/>
      <c r="S24" s="36">
        <f t="shared" si="1"/>
        <v>0</v>
      </c>
      <c r="T24" s="37">
        <v>0</v>
      </c>
      <c r="U24" s="37">
        <v>0</v>
      </c>
      <c r="V24" s="37">
        <v>0</v>
      </c>
      <c r="W24" s="10"/>
      <c r="X24" s="10"/>
      <c r="Y24" s="10"/>
      <c r="Z24" s="10"/>
      <c r="AA24" s="34">
        <v>0</v>
      </c>
      <c r="AB24" s="10"/>
      <c r="AC24" s="10"/>
      <c r="AD24" s="10"/>
      <c r="AE24" s="124">
        <v>0</v>
      </c>
      <c r="AF24" s="124">
        <v>0</v>
      </c>
      <c r="AG24" s="124">
        <v>0</v>
      </c>
      <c r="AH24" s="124">
        <v>0</v>
      </c>
      <c r="AI24" s="124">
        <v>0</v>
      </c>
      <c r="AJ24" s="124">
        <v>0</v>
      </c>
      <c r="AK24" s="124">
        <v>0</v>
      </c>
      <c r="AL24" s="124">
        <v>0</v>
      </c>
      <c r="AM24" s="124">
        <v>0</v>
      </c>
      <c r="AN24" s="124">
        <v>0</v>
      </c>
      <c r="AO24" s="124">
        <v>0</v>
      </c>
      <c r="AP24" s="124">
        <v>0</v>
      </c>
    </row>
    <row r="25" spans="1:42" x14ac:dyDescent="0.25">
      <c r="A25" s="128"/>
      <c r="B25" s="128"/>
      <c r="C25" s="128"/>
      <c r="D25" s="128"/>
      <c r="E25" s="128"/>
      <c r="F25" s="128"/>
      <c r="G25" s="128"/>
      <c r="H25" s="128"/>
    </row>
  </sheetData>
  <sheetProtection algorithmName="SHA-512" hashValue="nctlVNZoWGfy9/ep2MTVku7/HGRIyzQ+hO5WNR8DvyUAfjP/9NbsqXsFffbarpQtyNHD+79BGRnVhYWxGt11lg==" saltValue="J3XsF81RZxDwHX2SaGXM6w==" spinCount="100000" sheet="1" formatColumn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Y114"/>
  <sheetViews>
    <sheetView topLeftCell="A7" zoomScale="80" zoomScaleNormal="80" workbookViewId="0">
      <pane ySplit="2" topLeftCell="A9" activePane="bottomLeft" state="frozen"/>
      <selection activeCell="A7" sqref="A7"/>
      <selection pane="bottomLeft" activeCell="D10" sqref="D10"/>
    </sheetView>
  </sheetViews>
  <sheetFormatPr baseColWidth="10" defaultRowHeight="15" x14ac:dyDescent="0.25"/>
  <cols>
    <col min="1" max="1" width="12.140625" style="1" customWidth="1"/>
    <col min="2" max="2" width="15.42578125" style="1" customWidth="1"/>
    <col min="3" max="3" width="19.42578125" style="1" customWidth="1"/>
    <col min="4" max="4" width="13" style="1" customWidth="1"/>
    <col min="5" max="5" width="15.5703125" style="1" customWidth="1"/>
    <col min="6" max="6" width="13.85546875" style="1" customWidth="1"/>
    <col min="7" max="7" width="26.5703125" style="1" customWidth="1"/>
    <col min="8" max="8" width="16" style="1" customWidth="1"/>
    <col min="9" max="9" width="17.28515625" style="1" customWidth="1"/>
    <col min="10" max="10" width="20.42578125" style="331" customWidth="1"/>
    <col min="11" max="11" width="18.5703125" style="1" customWidth="1"/>
    <col min="12" max="12" width="18.7109375" style="1" customWidth="1"/>
    <col min="13" max="13" width="20.7109375" style="331" customWidth="1"/>
    <col min="14" max="15" width="15.5703125" style="1" customWidth="1"/>
    <col min="16" max="16" width="17.42578125" style="331" customWidth="1"/>
    <col min="17" max="17" width="20.5703125" style="331" customWidth="1"/>
    <col min="18" max="18" width="22" style="1" customWidth="1"/>
    <col min="19" max="19" width="16.28515625" style="331" customWidth="1"/>
    <col min="20" max="20" width="36.85546875" style="1" customWidth="1"/>
    <col min="21" max="21" width="16.28515625" style="1" customWidth="1"/>
    <col min="22" max="22" width="10.7109375" style="69" customWidth="1"/>
    <col min="23" max="23" width="13.7109375" style="1" hidden="1" customWidth="1"/>
    <col min="24" max="24" width="15.42578125" style="1" hidden="1" customWidth="1"/>
    <col min="25" max="25" width="10.7109375" style="1" customWidth="1"/>
    <col min="26" max="26" width="10.7109375" style="536" customWidth="1"/>
    <col min="27" max="27" width="10.7109375" style="1" hidden="1" customWidth="1"/>
    <col min="28" max="28" width="10.7109375" style="1" customWidth="1"/>
    <col min="29" max="29" width="10.7109375" style="536" customWidth="1"/>
    <col min="30" max="30" width="56"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97" width="11.42578125" style="27"/>
    <col min="98" max="16384" width="11.42578125" style="1"/>
  </cols>
  <sheetData>
    <row r="1" spans="1:97" x14ac:dyDescent="0.25">
      <c r="A1" s="605" t="s">
        <v>0</v>
      </c>
      <c r="B1" s="605"/>
      <c r="C1" s="605"/>
      <c r="D1" s="605"/>
      <c r="E1" s="605"/>
      <c r="F1" s="605"/>
      <c r="G1" s="605"/>
      <c r="H1" s="605"/>
      <c r="I1" s="605"/>
      <c r="J1" s="605"/>
      <c r="K1" s="605"/>
      <c r="L1" s="605"/>
      <c r="M1" s="605"/>
      <c r="N1" s="605"/>
      <c r="O1" s="605"/>
      <c r="P1" s="605"/>
    </row>
    <row r="2" spans="1:97" x14ac:dyDescent="0.25">
      <c r="A2" s="605" t="s">
        <v>1</v>
      </c>
      <c r="B2" s="605"/>
      <c r="C2" s="605"/>
      <c r="D2" s="605"/>
      <c r="E2" s="605"/>
      <c r="F2" s="605"/>
      <c r="G2" s="605"/>
      <c r="H2" s="605"/>
      <c r="I2" s="605"/>
      <c r="J2" s="605"/>
      <c r="K2" s="605"/>
      <c r="L2" s="605"/>
      <c r="M2" s="605"/>
      <c r="N2" s="605"/>
      <c r="O2" s="605"/>
      <c r="P2" s="605"/>
    </row>
    <row r="3" spans="1:97" x14ac:dyDescent="0.25">
      <c r="A3" s="605" t="s">
        <v>61</v>
      </c>
      <c r="B3" s="605"/>
      <c r="C3" s="605"/>
      <c r="D3" s="605"/>
      <c r="E3" s="605"/>
      <c r="F3" s="605"/>
      <c r="G3" s="605"/>
      <c r="H3" s="605"/>
      <c r="I3" s="605"/>
      <c r="J3" s="605"/>
      <c r="K3" s="605"/>
      <c r="L3" s="605"/>
      <c r="M3" s="605"/>
      <c r="N3" s="605"/>
      <c r="O3" s="605"/>
      <c r="P3" s="605"/>
    </row>
    <row r="4" spans="1:97" x14ac:dyDescent="0.25">
      <c r="A4" s="605">
        <v>2013</v>
      </c>
      <c r="B4" s="605"/>
      <c r="C4" s="605"/>
      <c r="D4" s="605"/>
      <c r="E4" s="605"/>
      <c r="F4" s="605"/>
      <c r="G4" s="605"/>
      <c r="H4" s="605"/>
      <c r="I4" s="605"/>
      <c r="J4" s="605"/>
      <c r="K4" s="605"/>
      <c r="L4" s="605"/>
      <c r="M4" s="605"/>
      <c r="N4" s="605"/>
      <c r="O4" s="605"/>
      <c r="P4" s="605"/>
    </row>
    <row r="5" spans="1:97" x14ac:dyDescent="0.25">
      <c r="A5" s="606" t="s">
        <v>4</v>
      </c>
      <c r="B5" s="606"/>
      <c r="C5" s="24" t="s">
        <v>3984</v>
      </c>
      <c r="D5" s="24"/>
      <c r="E5" s="24"/>
      <c r="F5" s="24"/>
      <c r="G5" s="24"/>
      <c r="H5" s="24"/>
      <c r="I5" s="25"/>
      <c r="J5" s="25"/>
      <c r="K5" s="24"/>
      <c r="L5" s="25"/>
      <c r="M5" s="25"/>
      <c r="N5" s="25"/>
      <c r="O5" s="25"/>
      <c r="P5" s="25"/>
      <c r="Q5" s="543"/>
      <c r="R5" s="27"/>
      <c r="S5" s="543"/>
      <c r="T5" s="27"/>
      <c r="U5" s="27"/>
      <c r="V5" s="73"/>
      <c r="W5" s="27"/>
      <c r="X5" s="27"/>
      <c r="Y5" s="27"/>
      <c r="Z5" s="544"/>
      <c r="AA5" s="27"/>
      <c r="AB5" s="27"/>
      <c r="AC5" s="544"/>
      <c r="AD5" s="27"/>
    </row>
    <row r="7" spans="1:97" s="29" customFormat="1" ht="14.25"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row>
    <row r="8" spans="1:97" ht="48" x14ac:dyDescent="0.25">
      <c r="A8" s="604"/>
      <c r="B8" s="604"/>
      <c r="C8" s="604"/>
      <c r="D8" s="604"/>
      <c r="E8" s="604"/>
      <c r="F8" s="604"/>
      <c r="G8" s="604"/>
      <c r="H8" s="604"/>
      <c r="I8" s="608"/>
      <c r="J8" s="629"/>
      <c r="K8" s="604"/>
      <c r="L8" s="608"/>
      <c r="M8" s="629"/>
      <c r="N8" s="604"/>
      <c r="O8" s="608"/>
      <c r="P8" s="629"/>
      <c r="Q8" s="628"/>
      <c r="R8" s="604"/>
      <c r="S8" s="627"/>
      <c r="T8" s="30" t="s">
        <v>76</v>
      </c>
      <c r="U8" s="30" t="s">
        <v>77</v>
      </c>
      <c r="V8" s="32" t="s">
        <v>78</v>
      </c>
      <c r="W8" s="31" t="s">
        <v>79</v>
      </c>
      <c r="X8" s="31" t="s">
        <v>80</v>
      </c>
      <c r="Y8" s="31" t="s">
        <v>81</v>
      </c>
      <c r="Z8" s="31" t="s">
        <v>1646</v>
      </c>
      <c r="AA8" s="32" t="s">
        <v>83</v>
      </c>
      <c r="AB8" s="31" t="s">
        <v>84</v>
      </c>
      <c r="AC8" s="31" t="s">
        <v>4267</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97" ht="36" x14ac:dyDescent="0.25">
      <c r="A9" s="34" t="s">
        <v>23</v>
      </c>
      <c r="B9" s="34" t="s">
        <v>136</v>
      </c>
      <c r="C9" s="34" t="s">
        <v>137</v>
      </c>
      <c r="D9" s="34">
        <v>211180000</v>
      </c>
      <c r="E9" s="74" t="s">
        <v>3985</v>
      </c>
      <c r="F9" s="34">
        <v>222234001</v>
      </c>
      <c r="G9" s="34" t="s">
        <v>3986</v>
      </c>
      <c r="H9" s="520">
        <v>400000000</v>
      </c>
      <c r="I9" s="520">
        <f>H9+'[5]FORMATOS PRODUCTOS '!I9</f>
        <v>715732298</v>
      </c>
      <c r="J9" s="522">
        <f>H9+'[5]FORMATOS PRODUCTOS '!J9</f>
        <v>969034918</v>
      </c>
      <c r="K9" s="521">
        <v>0</v>
      </c>
      <c r="L9" s="75"/>
      <c r="M9" s="522"/>
      <c r="N9" s="75">
        <f>H9+K9</f>
        <v>400000000</v>
      </c>
      <c r="O9" s="75">
        <f>I9+L9</f>
        <v>715732298</v>
      </c>
      <c r="P9" s="522">
        <f>J9+M9</f>
        <v>969034918</v>
      </c>
      <c r="Q9" s="546">
        <f>J9-5417181</f>
        <v>963617737</v>
      </c>
      <c r="R9" s="529">
        <v>0</v>
      </c>
      <c r="S9" s="522">
        <f>Q9+R9</f>
        <v>963617737</v>
      </c>
      <c r="T9" s="37">
        <v>0</v>
      </c>
      <c r="U9" s="37">
        <v>0</v>
      </c>
      <c r="V9" s="77">
        <v>0</v>
      </c>
      <c r="W9" s="34"/>
      <c r="X9" s="34"/>
      <c r="Y9" s="34"/>
      <c r="Z9" s="547"/>
      <c r="AA9" s="34">
        <v>0</v>
      </c>
      <c r="AB9" s="34"/>
      <c r="AC9" s="547"/>
      <c r="AD9" s="10"/>
      <c r="AE9" s="10">
        <v>0</v>
      </c>
      <c r="AF9" s="10">
        <v>0</v>
      </c>
      <c r="AG9" s="10">
        <v>0</v>
      </c>
      <c r="AH9" s="10">
        <v>0</v>
      </c>
      <c r="AI9" s="10">
        <v>0</v>
      </c>
      <c r="AJ9" s="10">
        <v>0</v>
      </c>
      <c r="AK9" s="10">
        <v>0</v>
      </c>
      <c r="AL9" s="10">
        <v>0</v>
      </c>
      <c r="AM9" s="10">
        <v>0</v>
      </c>
      <c r="AN9" s="10">
        <v>0</v>
      </c>
      <c r="AO9" s="10">
        <v>0</v>
      </c>
      <c r="AP9" s="10">
        <v>0</v>
      </c>
    </row>
    <row r="10" spans="1:97" ht="105" x14ac:dyDescent="0.25">
      <c r="A10" s="34">
        <v>0</v>
      </c>
      <c r="B10" s="34">
        <v>0</v>
      </c>
      <c r="C10" s="34">
        <v>0</v>
      </c>
      <c r="D10" s="34">
        <v>0</v>
      </c>
      <c r="E10" s="74">
        <v>0</v>
      </c>
      <c r="F10" s="34">
        <v>0</v>
      </c>
      <c r="G10" s="34">
        <v>0</v>
      </c>
      <c r="H10" s="520">
        <v>0</v>
      </c>
      <c r="I10" s="520"/>
      <c r="J10" s="522"/>
      <c r="K10" s="75"/>
      <c r="L10" s="75"/>
      <c r="M10" s="522"/>
      <c r="N10" s="75">
        <f t="shared" ref="N10:P47" si="0">H10+K10</f>
        <v>0</v>
      </c>
      <c r="O10" s="75">
        <f t="shared" si="0"/>
        <v>0</v>
      </c>
      <c r="P10" s="522">
        <f t="shared" si="0"/>
        <v>0</v>
      </c>
      <c r="Q10" s="548"/>
      <c r="R10" s="75"/>
      <c r="S10" s="522">
        <f t="shared" ref="S10:S87" si="1">Q10+R10</f>
        <v>0</v>
      </c>
      <c r="T10" s="37" t="s">
        <v>4150</v>
      </c>
      <c r="U10" s="37" t="s">
        <v>4151</v>
      </c>
      <c r="V10" s="77">
        <v>1</v>
      </c>
      <c r="W10" s="397">
        <v>0</v>
      </c>
      <c r="X10" s="10"/>
      <c r="Y10" s="397">
        <v>0</v>
      </c>
      <c r="Z10" s="539">
        <v>1</v>
      </c>
      <c r="AA10" s="34">
        <v>180</v>
      </c>
      <c r="AB10" s="10"/>
      <c r="AC10" s="539">
        <v>360</v>
      </c>
      <c r="AD10" s="10" t="s">
        <v>4152</v>
      </c>
      <c r="AE10" s="10" t="s">
        <v>102</v>
      </c>
      <c r="AF10" s="10" t="s">
        <v>102</v>
      </c>
      <c r="AG10" s="10" t="s">
        <v>102</v>
      </c>
      <c r="AH10" s="10" t="s">
        <v>102</v>
      </c>
      <c r="AI10" s="10" t="s">
        <v>102</v>
      </c>
      <c r="AJ10" s="10" t="s">
        <v>102</v>
      </c>
      <c r="AK10" s="10" t="s">
        <v>102</v>
      </c>
      <c r="AL10" s="10" t="s">
        <v>102</v>
      </c>
      <c r="AM10" s="10" t="s">
        <v>102</v>
      </c>
      <c r="AN10" s="10" t="s">
        <v>102</v>
      </c>
      <c r="AO10" s="10" t="s">
        <v>102</v>
      </c>
      <c r="AP10" s="10" t="s">
        <v>102</v>
      </c>
    </row>
    <row r="11" spans="1:97" ht="60" x14ac:dyDescent="0.25">
      <c r="A11" s="34"/>
      <c r="B11" s="34"/>
      <c r="C11" s="34"/>
      <c r="D11" s="34"/>
      <c r="E11" s="74"/>
      <c r="F11" s="34"/>
      <c r="G11" s="34"/>
      <c r="H11" s="520"/>
      <c r="I11" s="520"/>
      <c r="J11" s="522"/>
      <c r="K11" s="75"/>
      <c r="L11" s="75"/>
      <c r="M11" s="522"/>
      <c r="N11" s="75"/>
      <c r="O11" s="75"/>
      <c r="P11" s="522"/>
      <c r="Q11" s="548"/>
      <c r="R11" s="75"/>
      <c r="S11" s="522"/>
      <c r="T11" s="37" t="s">
        <v>4153</v>
      </c>
      <c r="U11" s="37" t="s">
        <v>4151</v>
      </c>
      <c r="V11" s="77"/>
      <c r="W11" s="397">
        <v>0</v>
      </c>
      <c r="X11" s="10">
        <v>2</v>
      </c>
      <c r="Y11" s="397">
        <v>0</v>
      </c>
      <c r="Z11" s="539">
        <v>2</v>
      </c>
      <c r="AA11" s="34">
        <v>180</v>
      </c>
      <c r="AB11" s="14">
        <v>45</v>
      </c>
      <c r="AC11" s="539">
        <v>120</v>
      </c>
      <c r="AD11" s="10" t="s">
        <v>4154</v>
      </c>
      <c r="AE11" s="10"/>
      <c r="AF11" s="10"/>
      <c r="AG11" s="10"/>
      <c r="AH11" s="10"/>
      <c r="AI11" s="10"/>
      <c r="AJ11" s="10"/>
      <c r="AK11" s="10"/>
      <c r="AL11" s="10"/>
      <c r="AM11" s="10" t="s">
        <v>102</v>
      </c>
      <c r="AN11" s="10" t="s">
        <v>102</v>
      </c>
      <c r="AO11" s="10" t="s">
        <v>102</v>
      </c>
      <c r="AP11" s="10" t="s">
        <v>102</v>
      </c>
    </row>
    <row r="12" spans="1:97" ht="45" x14ac:dyDescent="0.25">
      <c r="A12" s="34"/>
      <c r="B12" s="34"/>
      <c r="C12" s="34"/>
      <c r="D12" s="34"/>
      <c r="E12" s="74"/>
      <c r="F12" s="34"/>
      <c r="G12" s="34"/>
      <c r="H12" s="520"/>
      <c r="I12" s="520"/>
      <c r="J12" s="522"/>
      <c r="K12" s="75"/>
      <c r="L12" s="75"/>
      <c r="M12" s="522"/>
      <c r="N12" s="75"/>
      <c r="O12" s="75"/>
      <c r="P12" s="522"/>
      <c r="Q12" s="548"/>
      <c r="R12" s="75"/>
      <c r="S12" s="522"/>
      <c r="T12" s="37" t="s">
        <v>4155</v>
      </c>
      <c r="U12" s="77" t="s">
        <v>222</v>
      </c>
      <c r="V12" s="77">
        <v>15</v>
      </c>
      <c r="W12" s="397"/>
      <c r="X12" s="10"/>
      <c r="Y12" s="397">
        <v>0</v>
      </c>
      <c r="Z12" s="539">
        <v>15</v>
      </c>
      <c r="AA12" s="34">
        <v>90</v>
      </c>
      <c r="AB12" s="397"/>
      <c r="AC12" s="539">
        <v>120</v>
      </c>
      <c r="AD12" s="10" t="s">
        <v>4156</v>
      </c>
      <c r="AE12" s="10" t="s">
        <v>102</v>
      </c>
      <c r="AF12" s="10" t="s">
        <v>102</v>
      </c>
      <c r="AG12" s="10" t="s">
        <v>102</v>
      </c>
      <c r="AH12" s="10" t="s">
        <v>102</v>
      </c>
      <c r="AI12" s="10" t="s">
        <v>102</v>
      </c>
      <c r="AJ12" s="10" t="s">
        <v>102</v>
      </c>
      <c r="AK12" s="10" t="s">
        <v>102</v>
      </c>
      <c r="AL12" s="10" t="s">
        <v>102</v>
      </c>
      <c r="AM12" s="10" t="s">
        <v>102</v>
      </c>
      <c r="AN12" s="10" t="s">
        <v>102</v>
      </c>
      <c r="AO12" s="10" t="s">
        <v>102</v>
      </c>
      <c r="AP12" s="10" t="s">
        <v>102</v>
      </c>
    </row>
    <row r="13" spans="1:97" ht="48" x14ac:dyDescent="0.25">
      <c r="A13" s="34" t="s">
        <v>275</v>
      </c>
      <c r="B13" s="34" t="s">
        <v>3989</v>
      </c>
      <c r="C13" s="34" t="s">
        <v>3990</v>
      </c>
      <c r="D13" s="34">
        <v>253110000</v>
      </c>
      <c r="E13" s="74" t="s">
        <v>3992</v>
      </c>
      <c r="F13" s="34">
        <v>182110001</v>
      </c>
      <c r="G13" s="34" t="s">
        <v>3993</v>
      </c>
      <c r="H13" s="520">
        <v>1574483118</v>
      </c>
      <c r="I13" s="520">
        <f>H13+'[5]FORMATOS PRODUCTOS '!I11</f>
        <v>1574483118</v>
      </c>
      <c r="J13" s="522">
        <f>H13+'[5]FORMATOS PRODUCTOS '!J11</f>
        <v>1540697319</v>
      </c>
      <c r="K13" s="75"/>
      <c r="L13" s="75"/>
      <c r="M13" s="522"/>
      <c r="N13" s="75">
        <f t="shared" si="0"/>
        <v>1574483118</v>
      </c>
      <c r="O13" s="75">
        <f t="shared" si="0"/>
        <v>1574483118</v>
      </c>
      <c r="P13" s="522">
        <f>J13+M13</f>
        <v>1540697319</v>
      </c>
      <c r="Q13" s="548">
        <f>P13-19116578</f>
        <v>1521580741</v>
      </c>
      <c r="R13" s="75"/>
      <c r="S13" s="522">
        <f t="shared" si="1"/>
        <v>1521580741</v>
      </c>
      <c r="T13" s="37">
        <v>0</v>
      </c>
      <c r="U13" s="37">
        <v>0</v>
      </c>
      <c r="V13" s="77">
        <v>0</v>
      </c>
      <c r="W13" s="10"/>
      <c r="X13" s="10"/>
      <c r="Y13" s="10"/>
      <c r="Z13" s="539"/>
      <c r="AA13" s="34">
        <v>0</v>
      </c>
      <c r="AB13" s="10"/>
      <c r="AC13" s="539"/>
      <c r="AD13" s="10"/>
      <c r="AE13" s="10">
        <v>0</v>
      </c>
      <c r="AF13" s="10">
        <v>0</v>
      </c>
      <c r="AG13" s="10">
        <v>0</v>
      </c>
      <c r="AH13" s="10">
        <v>0</v>
      </c>
      <c r="AI13" s="10">
        <v>0</v>
      </c>
      <c r="AJ13" s="10">
        <v>0</v>
      </c>
      <c r="AK13" s="10">
        <v>0</v>
      </c>
      <c r="AL13" s="10">
        <v>0</v>
      </c>
      <c r="AM13" s="10">
        <v>0</v>
      </c>
      <c r="AN13" s="10">
        <v>0</v>
      </c>
      <c r="AO13" s="10">
        <v>0</v>
      </c>
      <c r="AP13" s="10">
        <v>0</v>
      </c>
    </row>
    <row r="14" spans="1:97" ht="75" x14ac:dyDescent="0.25">
      <c r="A14" s="34">
        <v>0</v>
      </c>
      <c r="B14" s="34">
        <v>0</v>
      </c>
      <c r="C14" s="34">
        <v>0</v>
      </c>
      <c r="D14" s="34">
        <v>0</v>
      </c>
      <c r="E14" s="74">
        <v>0</v>
      </c>
      <c r="F14" s="34">
        <v>0</v>
      </c>
      <c r="G14" s="34">
        <v>0</v>
      </c>
      <c r="H14" s="520">
        <v>0</v>
      </c>
      <c r="I14" s="520"/>
      <c r="J14" s="522"/>
      <c r="K14" s="75"/>
      <c r="L14" s="75"/>
      <c r="M14" s="522"/>
      <c r="N14" s="75">
        <f t="shared" si="0"/>
        <v>0</v>
      </c>
      <c r="O14" s="75">
        <f t="shared" si="0"/>
        <v>0</v>
      </c>
      <c r="P14" s="522">
        <f t="shared" si="0"/>
        <v>0</v>
      </c>
      <c r="Q14" s="548"/>
      <c r="R14" s="75"/>
      <c r="S14" s="522">
        <f t="shared" si="1"/>
        <v>0</v>
      </c>
      <c r="T14" s="37" t="s">
        <v>4157</v>
      </c>
      <c r="U14" s="37" t="s">
        <v>4151</v>
      </c>
      <c r="V14" s="77">
        <v>8</v>
      </c>
      <c r="W14" s="10"/>
      <c r="X14" s="10"/>
      <c r="Y14" s="397">
        <v>0</v>
      </c>
      <c r="Z14" s="539">
        <v>8</v>
      </c>
      <c r="AA14" s="34">
        <v>360</v>
      </c>
      <c r="AB14" s="10"/>
      <c r="AC14" s="539">
        <v>360</v>
      </c>
      <c r="AD14" s="10" t="s">
        <v>4158</v>
      </c>
      <c r="AE14" s="10" t="s">
        <v>102</v>
      </c>
      <c r="AF14" s="10" t="s">
        <v>102</v>
      </c>
      <c r="AG14" s="10" t="s">
        <v>102</v>
      </c>
      <c r="AH14" s="10" t="s">
        <v>102</v>
      </c>
      <c r="AI14" s="10" t="s">
        <v>102</v>
      </c>
      <c r="AJ14" s="10" t="s">
        <v>102</v>
      </c>
      <c r="AK14" s="10" t="s">
        <v>102</v>
      </c>
      <c r="AL14" s="10" t="s">
        <v>102</v>
      </c>
      <c r="AM14" s="10" t="s">
        <v>102</v>
      </c>
      <c r="AN14" s="10" t="s">
        <v>102</v>
      </c>
      <c r="AO14" s="10" t="s">
        <v>102</v>
      </c>
      <c r="AP14" s="10" t="s">
        <v>102</v>
      </c>
    </row>
    <row r="15" spans="1:97" ht="24" x14ac:dyDescent="0.25">
      <c r="A15" s="34">
        <v>0</v>
      </c>
      <c r="B15" s="34">
        <v>0</v>
      </c>
      <c r="C15" s="34">
        <v>0</v>
      </c>
      <c r="D15" s="34">
        <v>0</v>
      </c>
      <c r="E15" s="74">
        <v>0</v>
      </c>
      <c r="F15" s="34">
        <v>0</v>
      </c>
      <c r="G15" s="34">
        <v>0</v>
      </c>
      <c r="H15" s="520">
        <v>0</v>
      </c>
      <c r="I15" s="520">
        <v>0</v>
      </c>
      <c r="J15" s="522"/>
      <c r="K15" s="75"/>
      <c r="L15" s="75"/>
      <c r="M15" s="522"/>
      <c r="N15" s="75">
        <f t="shared" si="0"/>
        <v>0</v>
      </c>
      <c r="O15" s="75">
        <f t="shared" si="0"/>
        <v>0</v>
      </c>
      <c r="P15" s="522">
        <f t="shared" si="0"/>
        <v>0</v>
      </c>
      <c r="Q15" s="548"/>
      <c r="R15" s="75"/>
      <c r="S15" s="522">
        <f t="shared" si="1"/>
        <v>0</v>
      </c>
      <c r="T15" s="37" t="s">
        <v>534</v>
      </c>
      <c r="U15" s="37" t="s">
        <v>4159</v>
      </c>
      <c r="V15" s="77">
        <v>2</v>
      </c>
      <c r="W15" s="10"/>
      <c r="X15" s="10"/>
      <c r="Y15" s="14">
        <v>2</v>
      </c>
      <c r="Z15" s="539">
        <v>2</v>
      </c>
      <c r="AA15" s="34">
        <v>330</v>
      </c>
      <c r="AB15" s="523">
        <v>6</v>
      </c>
      <c r="AC15" s="539">
        <f>7*30</f>
        <v>210</v>
      </c>
      <c r="AD15" s="10" t="s">
        <v>4160</v>
      </c>
      <c r="AE15" s="10"/>
      <c r="AF15" s="10"/>
      <c r="AG15" s="10"/>
      <c r="AH15" s="10"/>
      <c r="AI15" s="10"/>
      <c r="AJ15" s="10" t="s">
        <v>102</v>
      </c>
      <c r="AK15" s="10" t="s">
        <v>102</v>
      </c>
      <c r="AL15" s="10" t="s">
        <v>102</v>
      </c>
      <c r="AM15" s="10" t="s">
        <v>102</v>
      </c>
      <c r="AN15" s="10" t="s">
        <v>102</v>
      </c>
      <c r="AO15" s="10" t="s">
        <v>102</v>
      </c>
      <c r="AP15" s="10" t="s">
        <v>102</v>
      </c>
    </row>
    <row r="16" spans="1:97" ht="48" x14ac:dyDescent="0.25">
      <c r="A16" s="34" t="s">
        <v>275</v>
      </c>
      <c r="B16" s="34" t="s">
        <v>3989</v>
      </c>
      <c r="C16" s="34" t="s">
        <v>3990</v>
      </c>
      <c r="D16" s="34">
        <v>253110000</v>
      </c>
      <c r="E16" s="74" t="s">
        <v>3996</v>
      </c>
      <c r="F16" s="34">
        <v>182124001</v>
      </c>
      <c r="G16" s="34" t="s">
        <v>3997</v>
      </c>
      <c r="H16" s="520">
        <v>1500000000</v>
      </c>
      <c r="I16" s="524" t="s">
        <v>2726</v>
      </c>
      <c r="J16" s="522">
        <f>H16+'[5]FORMATOS PRODUCTOS '!J12</f>
        <v>1751955147</v>
      </c>
      <c r="K16" s="75"/>
      <c r="L16" s="75"/>
      <c r="M16" s="522"/>
      <c r="N16" s="75">
        <f t="shared" si="0"/>
        <v>1500000000</v>
      </c>
      <c r="O16" s="75">
        <f t="shared" si="0"/>
        <v>0</v>
      </c>
      <c r="P16" s="522">
        <f>J16+M16</f>
        <v>1751955147</v>
      </c>
      <c r="Q16" s="522">
        <f>1751955147-94999999</f>
        <v>1656955148</v>
      </c>
      <c r="R16" s="75"/>
      <c r="S16" s="522">
        <f t="shared" si="1"/>
        <v>1656955148</v>
      </c>
      <c r="T16" s="37">
        <v>0</v>
      </c>
      <c r="U16" s="37">
        <v>0</v>
      </c>
      <c r="V16" s="77">
        <v>0</v>
      </c>
      <c r="W16" s="10"/>
      <c r="X16" s="10"/>
      <c r="Y16" s="10"/>
      <c r="Z16" s="539"/>
      <c r="AA16" s="34">
        <v>0</v>
      </c>
      <c r="AB16" s="10"/>
      <c r="AC16" s="539"/>
      <c r="AD16" s="10"/>
      <c r="AE16" s="10">
        <v>0</v>
      </c>
      <c r="AF16" s="10">
        <v>0</v>
      </c>
      <c r="AG16" s="10">
        <v>0</v>
      </c>
      <c r="AH16" s="10">
        <v>0</v>
      </c>
      <c r="AI16" s="10">
        <v>0</v>
      </c>
      <c r="AJ16" s="10">
        <v>0</v>
      </c>
      <c r="AK16" s="10">
        <v>0</v>
      </c>
      <c r="AL16" s="10">
        <v>0</v>
      </c>
      <c r="AM16" s="10">
        <v>0</v>
      </c>
      <c r="AN16" s="10">
        <v>0</v>
      </c>
      <c r="AO16" s="10">
        <v>0</v>
      </c>
      <c r="AP16" s="10">
        <v>0</v>
      </c>
    </row>
    <row r="17" spans="1:97" ht="180" x14ac:dyDescent="0.25">
      <c r="A17" s="34">
        <v>0</v>
      </c>
      <c r="B17" s="34">
        <v>0</v>
      </c>
      <c r="C17" s="34">
        <v>0</v>
      </c>
      <c r="D17" s="34">
        <v>0</v>
      </c>
      <c r="E17" s="74">
        <v>0</v>
      </c>
      <c r="F17" s="34">
        <v>0</v>
      </c>
      <c r="G17" s="34">
        <v>0</v>
      </c>
      <c r="H17" s="520">
        <v>0</v>
      </c>
      <c r="I17" s="520">
        <v>0</v>
      </c>
      <c r="J17" s="522"/>
      <c r="K17" s="75"/>
      <c r="L17" s="75"/>
      <c r="M17" s="522"/>
      <c r="N17" s="75">
        <f t="shared" si="0"/>
        <v>0</v>
      </c>
      <c r="O17" s="75">
        <f t="shared" si="0"/>
        <v>0</v>
      </c>
      <c r="P17" s="522">
        <f t="shared" si="0"/>
        <v>0</v>
      </c>
      <c r="Q17" s="548"/>
      <c r="R17" s="75"/>
      <c r="S17" s="522">
        <f t="shared" si="1"/>
        <v>0</v>
      </c>
      <c r="T17" s="37" t="s">
        <v>4161</v>
      </c>
      <c r="U17" s="37" t="s">
        <v>4151</v>
      </c>
      <c r="V17" s="77">
        <v>1</v>
      </c>
      <c r="W17" s="10">
        <v>3</v>
      </c>
      <c r="X17" s="10">
        <v>1</v>
      </c>
      <c r="Y17" s="10">
        <v>0</v>
      </c>
      <c r="Z17" s="539">
        <v>4</v>
      </c>
      <c r="AA17" s="34">
        <v>210</v>
      </c>
      <c r="AB17" s="397">
        <v>0</v>
      </c>
      <c r="AC17" s="539">
        <v>360</v>
      </c>
      <c r="AD17" s="10" t="s">
        <v>4162</v>
      </c>
      <c r="AE17" s="10" t="s">
        <v>102</v>
      </c>
      <c r="AF17" s="10" t="s">
        <v>102</v>
      </c>
      <c r="AG17" s="10" t="s">
        <v>102</v>
      </c>
      <c r="AH17" s="10" t="s">
        <v>102</v>
      </c>
      <c r="AI17" s="10" t="s">
        <v>102</v>
      </c>
      <c r="AJ17" s="10" t="s">
        <v>102</v>
      </c>
      <c r="AK17" s="10" t="s">
        <v>102</v>
      </c>
      <c r="AL17" s="10" t="s">
        <v>102</v>
      </c>
      <c r="AM17" s="10" t="s">
        <v>102</v>
      </c>
      <c r="AN17" s="10" t="s">
        <v>102</v>
      </c>
      <c r="AO17" s="10" t="s">
        <v>102</v>
      </c>
      <c r="AP17" s="10" t="s">
        <v>102</v>
      </c>
    </row>
    <row r="18" spans="1:97" ht="48" x14ac:dyDescent="0.25">
      <c r="A18" s="34" t="s">
        <v>275</v>
      </c>
      <c r="B18" s="34" t="s">
        <v>3989</v>
      </c>
      <c r="C18" s="34" t="s">
        <v>3990</v>
      </c>
      <c r="D18" s="34">
        <v>253120000</v>
      </c>
      <c r="E18" s="74" t="s">
        <v>4001</v>
      </c>
      <c r="F18" s="34">
        <v>182189001</v>
      </c>
      <c r="G18" s="34" t="s">
        <v>4002</v>
      </c>
      <c r="H18" s="520">
        <v>150392000</v>
      </c>
      <c r="I18" s="524" t="s">
        <v>2726</v>
      </c>
      <c r="J18" s="522">
        <f>H18+'[5]FORMATOS PRODUCTOS '!J13</f>
        <v>150392000</v>
      </c>
      <c r="K18" s="75"/>
      <c r="L18" s="75"/>
      <c r="M18" s="522"/>
      <c r="N18" s="75">
        <f t="shared" si="0"/>
        <v>150392000</v>
      </c>
      <c r="O18" s="75">
        <f t="shared" si="0"/>
        <v>0</v>
      </c>
      <c r="P18" s="522">
        <f t="shared" si="0"/>
        <v>150392000</v>
      </c>
      <c r="Q18" s="546">
        <v>150392000</v>
      </c>
      <c r="R18" s="75"/>
      <c r="S18" s="522">
        <f t="shared" si="1"/>
        <v>150392000</v>
      </c>
      <c r="T18" s="37">
        <v>0</v>
      </c>
      <c r="U18" s="37">
        <v>0</v>
      </c>
      <c r="V18" s="77">
        <v>0</v>
      </c>
      <c r="W18" s="10"/>
      <c r="X18" s="10"/>
      <c r="Y18" s="10"/>
      <c r="Z18" s="539"/>
      <c r="AA18" s="34">
        <v>0</v>
      </c>
      <c r="AB18" s="10"/>
      <c r="AC18" s="539"/>
      <c r="AD18" s="10"/>
      <c r="AE18" s="10">
        <v>0</v>
      </c>
      <c r="AF18" s="10">
        <v>0</v>
      </c>
      <c r="AG18" s="10">
        <v>0</v>
      </c>
      <c r="AH18" s="10">
        <v>0</v>
      </c>
      <c r="AI18" s="10">
        <v>0</v>
      </c>
      <c r="AJ18" s="10">
        <v>0</v>
      </c>
      <c r="AK18" s="10">
        <v>0</v>
      </c>
      <c r="AL18" s="10">
        <v>0</v>
      </c>
      <c r="AM18" s="10">
        <v>0</v>
      </c>
      <c r="AN18" s="10">
        <v>0</v>
      </c>
      <c r="AO18" s="10">
        <v>0</v>
      </c>
      <c r="AP18" s="10">
        <v>0</v>
      </c>
    </row>
    <row r="19" spans="1:97" ht="92.25" customHeight="1" x14ac:dyDescent="0.25">
      <c r="A19" s="34"/>
      <c r="B19" s="34"/>
      <c r="C19" s="34"/>
      <c r="D19" s="34"/>
      <c r="E19" s="74"/>
      <c r="F19" s="34"/>
      <c r="G19" s="34"/>
      <c r="H19" s="520"/>
      <c r="I19" s="520"/>
      <c r="J19" s="522"/>
      <c r="K19" s="75"/>
      <c r="L19" s="75"/>
      <c r="M19" s="522"/>
      <c r="N19" s="75"/>
      <c r="O19" s="75"/>
      <c r="P19" s="522"/>
      <c r="Q19" s="548"/>
      <c r="R19" s="75"/>
      <c r="S19" s="522"/>
      <c r="T19" s="37" t="s">
        <v>4163</v>
      </c>
      <c r="U19" s="37" t="s">
        <v>4151</v>
      </c>
      <c r="V19" s="77">
        <v>1</v>
      </c>
      <c r="W19" s="81">
        <v>1</v>
      </c>
      <c r="X19" s="10"/>
      <c r="Y19" s="81">
        <v>1</v>
      </c>
      <c r="Z19" s="539">
        <v>1</v>
      </c>
      <c r="AA19" s="34">
        <v>150</v>
      </c>
      <c r="AB19" s="397">
        <v>0</v>
      </c>
      <c r="AC19" s="539">
        <v>180</v>
      </c>
      <c r="AD19" s="10" t="s">
        <v>4164</v>
      </c>
      <c r="AE19" s="10"/>
      <c r="AF19" s="10"/>
      <c r="AG19" s="10"/>
      <c r="AH19" s="10"/>
      <c r="AI19" s="10"/>
      <c r="AJ19" s="10"/>
      <c r="AK19" s="10" t="s">
        <v>102</v>
      </c>
      <c r="AL19" s="10" t="s">
        <v>102</v>
      </c>
      <c r="AM19" s="10" t="s">
        <v>102</v>
      </c>
      <c r="AN19" s="10" t="s">
        <v>102</v>
      </c>
      <c r="AO19" s="10" t="s">
        <v>102</v>
      </c>
      <c r="AP19" s="10" t="s">
        <v>102</v>
      </c>
    </row>
    <row r="20" spans="1:97" ht="108" x14ac:dyDescent="0.25">
      <c r="A20" s="34">
        <v>0</v>
      </c>
      <c r="B20" s="34">
        <v>0</v>
      </c>
      <c r="C20" s="34">
        <v>0</v>
      </c>
      <c r="D20" s="34">
        <v>0</v>
      </c>
      <c r="E20" s="525" t="s">
        <v>4005</v>
      </c>
      <c r="F20" s="34" t="s">
        <v>4006</v>
      </c>
      <c r="G20" s="34" t="s">
        <v>4007</v>
      </c>
      <c r="H20" s="520"/>
      <c r="I20" s="520">
        <f>H20+'[5]FORMATOS PRODUCTOS '!I14</f>
        <v>160000000</v>
      </c>
      <c r="J20" s="522">
        <f>H20+'[5]FORMATOS PRODUCTOS '!J14</f>
        <v>160000000</v>
      </c>
      <c r="K20" s="75"/>
      <c r="L20" s="75">
        <v>314225999</v>
      </c>
      <c r="M20" s="522">
        <f>L20</f>
        <v>314225999</v>
      </c>
      <c r="N20" s="75">
        <f t="shared" si="0"/>
        <v>0</v>
      </c>
      <c r="O20" s="75">
        <f>I20+L20</f>
        <v>474225999</v>
      </c>
      <c r="P20" s="522">
        <f t="shared" si="0"/>
        <v>474225999</v>
      </c>
      <c r="Q20" s="549">
        <f>J20</f>
        <v>160000000</v>
      </c>
      <c r="R20" s="550">
        <f>L20</f>
        <v>314225999</v>
      </c>
      <c r="S20" s="526">
        <f>Q20+R20</f>
        <v>474225999</v>
      </c>
      <c r="T20" s="37">
        <v>0</v>
      </c>
      <c r="U20" s="37">
        <v>0</v>
      </c>
      <c r="V20" s="77">
        <v>0</v>
      </c>
      <c r="W20" s="10"/>
      <c r="X20" s="10"/>
      <c r="Y20" s="10"/>
      <c r="Z20" s="539"/>
      <c r="AA20" s="34">
        <v>0</v>
      </c>
      <c r="AB20" s="10"/>
      <c r="AC20" s="539"/>
      <c r="AD20" s="10"/>
      <c r="AE20" s="10">
        <v>0</v>
      </c>
      <c r="AF20" s="10">
        <v>0</v>
      </c>
      <c r="AG20" s="10">
        <v>0</v>
      </c>
      <c r="AH20" s="10">
        <v>0</v>
      </c>
      <c r="AI20" s="10">
        <v>0</v>
      </c>
      <c r="AJ20" s="10">
        <v>0</v>
      </c>
      <c r="AK20" s="10">
        <v>0</v>
      </c>
      <c r="AL20" s="10">
        <v>0</v>
      </c>
      <c r="AM20" s="10">
        <v>0</v>
      </c>
      <c r="AN20" s="10">
        <v>0</v>
      </c>
      <c r="AO20" s="10">
        <v>0</v>
      </c>
      <c r="AP20" s="10">
        <v>0</v>
      </c>
    </row>
    <row r="21" spans="1:97" ht="71.25" x14ac:dyDescent="0.25">
      <c r="A21" s="34">
        <v>0</v>
      </c>
      <c r="B21" s="34">
        <v>0</v>
      </c>
      <c r="C21" s="34">
        <v>0</v>
      </c>
      <c r="D21" s="34">
        <v>0</v>
      </c>
      <c r="E21" s="74">
        <v>0</v>
      </c>
      <c r="F21" s="34">
        <v>0</v>
      </c>
      <c r="G21" s="34">
        <v>0</v>
      </c>
      <c r="H21" s="520">
        <v>0</v>
      </c>
      <c r="I21" s="520">
        <v>0</v>
      </c>
      <c r="J21" s="522"/>
      <c r="K21" s="75"/>
      <c r="L21" s="75"/>
      <c r="M21" s="522"/>
      <c r="N21" s="75">
        <f t="shared" si="0"/>
        <v>0</v>
      </c>
      <c r="O21" s="75">
        <f t="shared" si="0"/>
        <v>0</v>
      </c>
      <c r="P21" s="522">
        <f t="shared" si="0"/>
        <v>0</v>
      </c>
      <c r="Q21" s="548"/>
      <c r="R21" s="75"/>
      <c r="S21" s="522">
        <f t="shared" si="1"/>
        <v>0</v>
      </c>
      <c r="T21" s="37" t="s">
        <v>4165</v>
      </c>
      <c r="U21" s="37" t="s">
        <v>4151</v>
      </c>
      <c r="V21" s="77">
        <v>1</v>
      </c>
      <c r="W21" s="397">
        <v>0</v>
      </c>
      <c r="X21" s="10"/>
      <c r="Y21" s="397">
        <v>0</v>
      </c>
      <c r="Z21" s="539">
        <v>1</v>
      </c>
      <c r="AA21" s="34">
        <v>270</v>
      </c>
      <c r="AB21" s="14">
        <v>30</v>
      </c>
      <c r="AC21" s="539">
        <v>120</v>
      </c>
      <c r="AD21" s="551" t="s">
        <v>4166</v>
      </c>
      <c r="AE21" s="10">
        <v>0</v>
      </c>
      <c r="AF21" s="10">
        <v>0</v>
      </c>
      <c r="AG21" s="10"/>
      <c r="AH21" s="10"/>
      <c r="AI21" s="10"/>
      <c r="AJ21" s="10"/>
      <c r="AK21" s="10"/>
      <c r="AL21" s="10"/>
      <c r="AM21" s="10" t="s">
        <v>102</v>
      </c>
      <c r="AN21" s="10" t="s">
        <v>102</v>
      </c>
      <c r="AO21" s="10" t="s">
        <v>102</v>
      </c>
      <c r="AP21" s="10" t="s">
        <v>102</v>
      </c>
    </row>
    <row r="22" spans="1:97" ht="71.25" x14ac:dyDescent="0.25">
      <c r="A22" s="34">
        <v>0</v>
      </c>
      <c r="B22" s="34">
        <v>0</v>
      </c>
      <c r="C22" s="34">
        <v>0</v>
      </c>
      <c r="D22" s="34">
        <v>0</v>
      </c>
      <c r="E22" s="74">
        <v>0</v>
      </c>
      <c r="F22" s="34">
        <v>0</v>
      </c>
      <c r="G22" s="34">
        <v>0</v>
      </c>
      <c r="H22" s="520">
        <v>0</v>
      </c>
      <c r="I22" s="520">
        <v>0</v>
      </c>
      <c r="J22" s="522"/>
      <c r="K22" s="75"/>
      <c r="L22" s="75"/>
      <c r="M22" s="522"/>
      <c r="N22" s="75">
        <f t="shared" si="0"/>
        <v>0</v>
      </c>
      <c r="O22" s="75">
        <f t="shared" si="0"/>
        <v>0</v>
      </c>
      <c r="P22" s="522">
        <f t="shared" si="0"/>
        <v>0</v>
      </c>
      <c r="Q22" s="548"/>
      <c r="R22" s="75"/>
      <c r="S22" s="522">
        <f t="shared" si="1"/>
        <v>0</v>
      </c>
      <c r="T22" s="37" t="s">
        <v>4167</v>
      </c>
      <c r="U22" s="37" t="s">
        <v>4151</v>
      </c>
      <c r="V22" s="77">
        <v>1</v>
      </c>
      <c r="W22" s="397">
        <v>0</v>
      </c>
      <c r="X22" s="10"/>
      <c r="Y22" s="397">
        <v>0</v>
      </c>
      <c r="Z22" s="539">
        <v>1</v>
      </c>
      <c r="AA22" s="34">
        <v>270</v>
      </c>
      <c r="AB22" s="14">
        <v>30</v>
      </c>
      <c r="AC22" s="539">
        <v>120</v>
      </c>
      <c r="AD22" s="551" t="s">
        <v>4168</v>
      </c>
      <c r="AE22" s="10">
        <v>0</v>
      </c>
      <c r="AF22" s="10">
        <v>0</v>
      </c>
      <c r="AG22" s="10">
        <v>0</v>
      </c>
      <c r="AH22" s="10"/>
      <c r="AI22" s="10"/>
      <c r="AJ22" s="10"/>
      <c r="AK22" s="10"/>
      <c r="AL22" s="10"/>
      <c r="AM22" s="10" t="s">
        <v>102</v>
      </c>
      <c r="AN22" s="10" t="s">
        <v>102</v>
      </c>
      <c r="AO22" s="10" t="s">
        <v>102</v>
      </c>
      <c r="AP22" s="10" t="s">
        <v>102</v>
      </c>
    </row>
    <row r="23" spans="1:97" ht="71.25" x14ac:dyDescent="0.25">
      <c r="A23" s="34">
        <v>0</v>
      </c>
      <c r="B23" s="34">
        <v>0</v>
      </c>
      <c r="C23" s="34">
        <v>0</v>
      </c>
      <c r="D23" s="34">
        <v>0</v>
      </c>
      <c r="E23" s="74">
        <v>0</v>
      </c>
      <c r="F23" s="34">
        <v>0</v>
      </c>
      <c r="G23" s="34">
        <v>0</v>
      </c>
      <c r="H23" s="520">
        <v>0</v>
      </c>
      <c r="I23" s="520">
        <v>0</v>
      </c>
      <c r="J23" s="522"/>
      <c r="K23" s="75"/>
      <c r="L23" s="75"/>
      <c r="M23" s="522"/>
      <c r="N23" s="75">
        <f t="shared" si="0"/>
        <v>0</v>
      </c>
      <c r="O23" s="75">
        <f t="shared" si="0"/>
        <v>0</v>
      </c>
      <c r="P23" s="522">
        <f t="shared" si="0"/>
        <v>0</v>
      </c>
      <c r="Q23" s="548"/>
      <c r="R23" s="75"/>
      <c r="S23" s="522">
        <f t="shared" si="1"/>
        <v>0</v>
      </c>
      <c r="T23" s="37" t="s">
        <v>4169</v>
      </c>
      <c r="U23" s="37" t="s">
        <v>4170</v>
      </c>
      <c r="V23" s="77">
        <v>1</v>
      </c>
      <c r="W23" s="397">
        <v>0</v>
      </c>
      <c r="X23" s="10"/>
      <c r="Y23" s="397">
        <v>0</v>
      </c>
      <c r="Z23" s="539">
        <v>1</v>
      </c>
      <c r="AA23" s="34">
        <v>270</v>
      </c>
      <c r="AB23" s="14">
        <v>30</v>
      </c>
      <c r="AC23" s="539">
        <v>60</v>
      </c>
      <c r="AD23" s="551" t="s">
        <v>4171</v>
      </c>
      <c r="AE23" s="10">
        <v>0</v>
      </c>
      <c r="AF23" s="10">
        <v>0</v>
      </c>
      <c r="AG23" s="10">
        <v>0</v>
      </c>
      <c r="AH23" s="10"/>
      <c r="AI23" s="10"/>
      <c r="AJ23" s="10"/>
      <c r="AK23" s="10"/>
      <c r="AL23" s="10"/>
      <c r="AM23" s="10"/>
      <c r="AN23" s="10"/>
      <c r="AO23" s="10" t="s">
        <v>102</v>
      </c>
      <c r="AP23" s="10" t="s">
        <v>102</v>
      </c>
    </row>
    <row r="24" spans="1:97" x14ac:dyDescent="0.25">
      <c r="A24" s="34"/>
      <c r="B24" s="34"/>
      <c r="C24" s="34"/>
      <c r="D24" s="34"/>
      <c r="E24" s="74"/>
      <c r="F24" s="27"/>
      <c r="G24" s="34"/>
      <c r="H24" s="520"/>
      <c r="I24" s="520"/>
      <c r="J24" s="522"/>
      <c r="K24" s="75"/>
      <c r="L24" s="75"/>
      <c r="M24" s="522"/>
      <c r="N24" s="75"/>
      <c r="O24" s="75"/>
      <c r="P24" s="522"/>
      <c r="Q24" s="548"/>
      <c r="R24" s="75"/>
      <c r="S24" s="522"/>
      <c r="T24" s="37"/>
      <c r="U24" s="37"/>
      <c r="V24" s="77"/>
      <c r="W24" s="397"/>
      <c r="X24" s="10"/>
      <c r="Y24" s="397"/>
      <c r="Z24" s="539"/>
      <c r="AA24" s="34"/>
      <c r="AB24" s="14"/>
      <c r="AC24" s="539"/>
      <c r="AD24" s="10"/>
      <c r="AE24" s="10"/>
      <c r="AF24" s="10"/>
      <c r="AG24" s="10"/>
      <c r="AH24" s="10"/>
      <c r="AI24" s="10"/>
      <c r="AJ24" s="10"/>
      <c r="AK24" s="10"/>
      <c r="AL24" s="10"/>
      <c r="AM24" s="10"/>
      <c r="AN24" s="10"/>
      <c r="AO24" s="10"/>
      <c r="AP24" s="10"/>
    </row>
    <row r="25" spans="1:97" s="172" customFormat="1" ht="72" x14ac:dyDescent="0.25">
      <c r="A25" s="34"/>
      <c r="B25" s="34"/>
      <c r="C25" s="34"/>
      <c r="D25" s="34"/>
      <c r="E25" s="525" t="s">
        <v>4009</v>
      </c>
      <c r="F25" s="34" t="s">
        <v>4010</v>
      </c>
      <c r="G25" s="34" t="s">
        <v>4011</v>
      </c>
      <c r="H25" s="520"/>
      <c r="I25" s="520"/>
      <c r="J25" s="522">
        <f>H25+'[5]FORMATOS PRODUCTOS '!J15</f>
        <v>0</v>
      </c>
      <c r="K25" s="75"/>
      <c r="L25" s="27"/>
      <c r="M25" s="522">
        <v>742903200</v>
      </c>
      <c r="N25" s="75"/>
      <c r="O25" s="75"/>
      <c r="P25" s="522"/>
      <c r="Q25" s="546">
        <v>0</v>
      </c>
      <c r="R25" s="529">
        <v>0</v>
      </c>
      <c r="S25" s="541">
        <v>0</v>
      </c>
      <c r="T25" s="37"/>
      <c r="U25" s="37"/>
      <c r="V25" s="77"/>
      <c r="W25" s="397"/>
      <c r="X25" s="10"/>
      <c r="Y25" s="397"/>
      <c r="Z25" s="539"/>
      <c r="AA25" s="34"/>
      <c r="AB25" s="14"/>
      <c r="AC25" s="539"/>
      <c r="AD25" s="10"/>
      <c r="AE25" s="10"/>
      <c r="AF25" s="10"/>
      <c r="AG25" s="10"/>
      <c r="AH25" s="10"/>
      <c r="AI25" s="10"/>
      <c r="AJ25" s="10"/>
      <c r="AK25" s="10"/>
      <c r="AL25" s="10"/>
      <c r="AM25" s="10"/>
      <c r="AN25" s="10"/>
      <c r="AO25" s="10"/>
      <c r="AP25" s="10"/>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row>
    <row r="26" spans="1:97" s="172" customFormat="1" ht="60" x14ac:dyDescent="0.25">
      <c r="A26" s="34"/>
      <c r="B26" s="34"/>
      <c r="C26" s="34"/>
      <c r="D26" s="34"/>
      <c r="E26" s="74"/>
      <c r="F26" s="34"/>
      <c r="G26" s="34"/>
      <c r="H26" s="520"/>
      <c r="I26" s="520"/>
      <c r="J26" s="522"/>
      <c r="K26" s="75"/>
      <c r="L26" s="75"/>
      <c r="M26" s="522"/>
      <c r="N26" s="75"/>
      <c r="O26" s="75"/>
      <c r="P26" s="522"/>
      <c r="Q26" s="548"/>
      <c r="R26" s="75"/>
      <c r="S26" s="522"/>
      <c r="T26" s="34" t="s">
        <v>4172</v>
      </c>
      <c r="U26" s="37" t="s">
        <v>4170</v>
      </c>
      <c r="V26" s="77"/>
      <c r="W26" s="397"/>
      <c r="X26" s="10"/>
      <c r="Y26" s="397"/>
      <c r="Z26" s="539">
        <v>0</v>
      </c>
      <c r="AA26" s="34"/>
      <c r="AB26" s="14"/>
      <c r="AC26" s="539">
        <v>0</v>
      </c>
      <c r="AD26" s="10" t="s">
        <v>4173</v>
      </c>
      <c r="AE26" s="10"/>
      <c r="AF26" s="10"/>
      <c r="AG26" s="10"/>
      <c r="AH26" s="10"/>
      <c r="AI26" s="10"/>
      <c r="AJ26" s="10"/>
      <c r="AK26" s="10"/>
      <c r="AL26" s="10"/>
      <c r="AM26" s="10"/>
      <c r="AN26" s="10"/>
      <c r="AO26" s="10"/>
      <c r="AP26" s="10"/>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row>
    <row r="27" spans="1:97" x14ac:dyDescent="0.25">
      <c r="A27" s="34"/>
      <c r="B27" s="34"/>
      <c r="C27" s="34"/>
      <c r="D27" s="34"/>
      <c r="E27" s="74"/>
      <c r="F27" s="34"/>
      <c r="G27" s="34"/>
      <c r="H27" s="520"/>
      <c r="I27" s="520"/>
      <c r="J27" s="522"/>
      <c r="K27" s="75"/>
      <c r="L27" s="75"/>
      <c r="M27" s="522"/>
      <c r="N27" s="75"/>
      <c r="O27" s="75"/>
      <c r="P27" s="522"/>
      <c r="Q27" s="548"/>
      <c r="R27" s="75"/>
      <c r="S27" s="522"/>
      <c r="T27" s="37"/>
      <c r="U27" s="37"/>
      <c r="V27" s="77"/>
      <c r="W27" s="397"/>
      <c r="X27" s="10"/>
      <c r="Y27" s="397"/>
      <c r="Z27" s="539"/>
      <c r="AA27" s="34"/>
      <c r="AB27" s="14"/>
      <c r="AC27" s="539"/>
      <c r="AD27" s="10"/>
      <c r="AE27" s="10"/>
      <c r="AF27" s="10"/>
      <c r="AG27" s="10"/>
      <c r="AH27" s="10"/>
      <c r="AI27" s="10"/>
      <c r="AJ27" s="10"/>
      <c r="AK27" s="10"/>
      <c r="AL27" s="10"/>
      <c r="AM27" s="10"/>
      <c r="AN27" s="10"/>
      <c r="AO27" s="10"/>
      <c r="AP27" s="10"/>
    </row>
    <row r="28" spans="1:97" ht="48" x14ac:dyDescent="0.25">
      <c r="A28" s="34" t="s">
        <v>275</v>
      </c>
      <c r="B28" s="34" t="s">
        <v>3989</v>
      </c>
      <c r="C28" s="34" t="s">
        <v>3990</v>
      </c>
      <c r="D28" s="34">
        <v>253130000</v>
      </c>
      <c r="E28" s="74" t="s">
        <v>4014</v>
      </c>
      <c r="F28" s="34">
        <v>182009001</v>
      </c>
      <c r="G28" s="34" t="s">
        <v>4015</v>
      </c>
      <c r="H28" s="520">
        <v>100000000</v>
      </c>
      <c r="I28" s="520">
        <f>H28+'[5]FORMATOS PRODUCTOS '!I16</f>
        <v>484503452</v>
      </c>
      <c r="J28" s="522">
        <f>H28+'[5]FORMATOS PRODUCTOS '!J16</f>
        <v>305735744</v>
      </c>
      <c r="K28" s="75"/>
      <c r="L28" s="75"/>
      <c r="M28" s="522"/>
      <c r="N28" s="75">
        <f t="shared" si="0"/>
        <v>100000000</v>
      </c>
      <c r="O28" s="75">
        <f t="shared" si="0"/>
        <v>484503452</v>
      </c>
      <c r="P28" s="522">
        <f t="shared" si="0"/>
        <v>305735744</v>
      </c>
      <c r="Q28" s="548">
        <v>136781701</v>
      </c>
      <c r="R28" s="75"/>
      <c r="S28" s="522">
        <f t="shared" si="1"/>
        <v>136781701</v>
      </c>
      <c r="T28" s="37">
        <v>0</v>
      </c>
      <c r="U28" s="37">
        <v>0</v>
      </c>
      <c r="V28" s="77">
        <v>0</v>
      </c>
      <c r="W28" s="10"/>
      <c r="X28" s="10"/>
      <c r="Y28" s="10"/>
      <c r="Z28" s="539"/>
      <c r="AA28" s="34">
        <v>0</v>
      </c>
      <c r="AB28" s="10"/>
      <c r="AC28" s="539"/>
      <c r="AD28" s="10"/>
      <c r="AE28" s="10">
        <v>0</v>
      </c>
      <c r="AF28" s="10">
        <v>0</v>
      </c>
      <c r="AG28" s="10">
        <v>0</v>
      </c>
      <c r="AH28" s="10">
        <v>0</v>
      </c>
      <c r="AI28" s="10">
        <v>0</v>
      </c>
      <c r="AJ28" s="10">
        <v>0</v>
      </c>
      <c r="AK28" s="10">
        <v>0</v>
      </c>
      <c r="AL28" s="10">
        <v>0</v>
      </c>
      <c r="AM28" s="10">
        <v>0</v>
      </c>
      <c r="AN28" s="10">
        <v>0</v>
      </c>
      <c r="AO28" s="10">
        <v>0</v>
      </c>
      <c r="AP28" s="10">
        <v>0</v>
      </c>
    </row>
    <row r="29" spans="1:97" ht="30" x14ac:dyDescent="0.25">
      <c r="A29" s="34">
        <v>0</v>
      </c>
      <c r="B29" s="34">
        <v>0</v>
      </c>
      <c r="C29" s="34">
        <v>0</v>
      </c>
      <c r="D29" s="34">
        <v>0</v>
      </c>
      <c r="E29" s="74">
        <v>0</v>
      </c>
      <c r="F29" s="34">
        <v>0</v>
      </c>
      <c r="G29" s="34">
        <v>0</v>
      </c>
      <c r="H29" s="520">
        <v>0</v>
      </c>
      <c r="I29" s="520">
        <v>0</v>
      </c>
      <c r="J29" s="522"/>
      <c r="K29" s="75"/>
      <c r="L29" s="75"/>
      <c r="M29" s="522"/>
      <c r="N29" s="75">
        <f t="shared" si="0"/>
        <v>0</v>
      </c>
      <c r="O29" s="75">
        <f t="shared" si="0"/>
        <v>0</v>
      </c>
      <c r="P29" s="522">
        <f t="shared" si="0"/>
        <v>0</v>
      </c>
      <c r="Q29" s="548"/>
      <c r="R29" s="75"/>
      <c r="S29" s="522">
        <f t="shared" si="1"/>
        <v>0</v>
      </c>
      <c r="T29" s="37" t="s">
        <v>4174</v>
      </c>
      <c r="U29" s="37" t="s">
        <v>2689</v>
      </c>
      <c r="V29" s="77">
        <v>5</v>
      </c>
      <c r="W29" s="77">
        <v>8</v>
      </c>
      <c r="X29" s="77"/>
      <c r="Y29" s="77">
        <v>8</v>
      </c>
      <c r="Z29" s="539">
        <v>2</v>
      </c>
      <c r="AA29" s="34">
        <v>360</v>
      </c>
      <c r="AB29" s="10"/>
      <c r="AC29" s="539">
        <v>360</v>
      </c>
      <c r="AD29" s="10" t="s">
        <v>4017</v>
      </c>
      <c r="AE29" s="10" t="s">
        <v>102</v>
      </c>
      <c r="AF29" s="10" t="s">
        <v>102</v>
      </c>
      <c r="AG29" s="10" t="s">
        <v>102</v>
      </c>
      <c r="AH29" s="10" t="s">
        <v>102</v>
      </c>
      <c r="AI29" s="10" t="s">
        <v>102</v>
      </c>
      <c r="AJ29" s="10" t="s">
        <v>102</v>
      </c>
      <c r="AK29" s="10" t="s">
        <v>102</v>
      </c>
      <c r="AL29" s="10" t="s">
        <v>102</v>
      </c>
      <c r="AM29" s="10" t="s">
        <v>102</v>
      </c>
      <c r="AN29" s="10" t="s">
        <v>102</v>
      </c>
      <c r="AO29" s="10" t="s">
        <v>102</v>
      </c>
      <c r="AP29" s="10" t="s">
        <v>102</v>
      </c>
    </row>
    <row r="30" spans="1:97" ht="48" x14ac:dyDescent="0.25">
      <c r="A30" s="34" t="s">
        <v>275</v>
      </c>
      <c r="B30" s="34" t="s">
        <v>3989</v>
      </c>
      <c r="C30" s="34" t="s">
        <v>3990</v>
      </c>
      <c r="D30" s="34">
        <v>253130000</v>
      </c>
      <c r="E30" s="74" t="s">
        <v>4018</v>
      </c>
      <c r="F30" s="34">
        <v>182167001</v>
      </c>
      <c r="G30" s="34" t="s">
        <v>4019</v>
      </c>
      <c r="H30" s="520">
        <v>949608000</v>
      </c>
      <c r="I30" s="520">
        <f>H30-610650200</f>
        <v>338957800</v>
      </c>
      <c r="J30" s="522">
        <f>H30+'[5]FORMATOS PRODUCTOS '!J17</f>
        <v>224999400</v>
      </c>
      <c r="K30" s="75"/>
      <c r="L30" s="75"/>
      <c r="M30" s="522"/>
      <c r="N30" s="75">
        <f t="shared" si="0"/>
        <v>949608000</v>
      </c>
      <c r="O30" s="75">
        <f t="shared" si="0"/>
        <v>338957800</v>
      </c>
      <c r="P30" s="522">
        <f t="shared" si="0"/>
        <v>224999400</v>
      </c>
      <c r="Q30" s="546">
        <f>P30</f>
        <v>224999400</v>
      </c>
      <c r="R30" s="75"/>
      <c r="S30" s="522">
        <f t="shared" si="1"/>
        <v>224999400</v>
      </c>
      <c r="T30" s="37">
        <v>0</v>
      </c>
      <c r="U30" s="37">
        <v>0</v>
      </c>
      <c r="V30" s="77">
        <v>0</v>
      </c>
      <c r="W30" s="10"/>
      <c r="X30" s="10"/>
      <c r="Y30" s="10"/>
      <c r="Z30" s="539"/>
      <c r="AA30" s="34">
        <v>0</v>
      </c>
      <c r="AB30" s="10"/>
      <c r="AC30" s="539"/>
      <c r="AD30" s="10"/>
      <c r="AE30" s="10">
        <v>0</v>
      </c>
      <c r="AF30" s="10">
        <v>0</v>
      </c>
      <c r="AG30" s="10">
        <v>0</v>
      </c>
      <c r="AH30" s="10">
        <v>0</v>
      </c>
      <c r="AI30" s="10">
        <v>0</v>
      </c>
      <c r="AJ30" s="10">
        <v>0</v>
      </c>
      <c r="AK30" s="10">
        <v>0</v>
      </c>
      <c r="AL30" s="10">
        <v>0</v>
      </c>
      <c r="AM30" s="10">
        <v>0</v>
      </c>
      <c r="AN30" s="10">
        <v>0</v>
      </c>
      <c r="AO30" s="10">
        <v>0</v>
      </c>
      <c r="AP30" s="10">
        <v>0</v>
      </c>
    </row>
    <row r="31" spans="1:97" ht="108.75" customHeight="1" x14ac:dyDescent="0.25">
      <c r="A31" s="34">
        <v>0</v>
      </c>
      <c r="B31" s="34">
        <v>0</v>
      </c>
      <c r="C31" s="34">
        <v>0</v>
      </c>
      <c r="D31" s="34">
        <v>0</v>
      </c>
      <c r="E31" s="74">
        <v>0</v>
      </c>
      <c r="F31" s="34">
        <v>0</v>
      </c>
      <c r="G31" s="34">
        <v>0</v>
      </c>
      <c r="H31" s="520">
        <v>0</v>
      </c>
      <c r="I31" s="520">
        <v>0</v>
      </c>
      <c r="J31" s="522"/>
      <c r="K31" s="75"/>
      <c r="L31" s="75"/>
      <c r="M31" s="522"/>
      <c r="N31" s="75">
        <f t="shared" si="0"/>
        <v>0</v>
      </c>
      <c r="O31" s="75">
        <f t="shared" si="0"/>
        <v>0</v>
      </c>
      <c r="P31" s="522">
        <f t="shared" si="0"/>
        <v>0</v>
      </c>
      <c r="Q31" s="548"/>
      <c r="R31" s="75"/>
      <c r="S31" s="522">
        <f t="shared" si="1"/>
        <v>0</v>
      </c>
      <c r="T31" s="37" t="s">
        <v>4175</v>
      </c>
      <c r="U31" s="37" t="s">
        <v>4151</v>
      </c>
      <c r="V31" s="77">
        <v>2</v>
      </c>
      <c r="W31" s="10">
        <v>2</v>
      </c>
      <c r="X31" s="14"/>
      <c r="Y31" s="397">
        <v>0</v>
      </c>
      <c r="Z31" s="539">
        <v>3</v>
      </c>
      <c r="AA31" s="34">
        <v>90</v>
      </c>
      <c r="AB31" s="397">
        <v>0</v>
      </c>
      <c r="AC31" s="539">
        <v>360</v>
      </c>
      <c r="AD31" s="10" t="s">
        <v>4176</v>
      </c>
      <c r="AE31" s="10" t="s">
        <v>102</v>
      </c>
      <c r="AF31" s="10" t="s">
        <v>102</v>
      </c>
      <c r="AG31" s="10" t="s">
        <v>102</v>
      </c>
      <c r="AH31" s="10" t="s">
        <v>102</v>
      </c>
      <c r="AI31" s="10" t="s">
        <v>102</v>
      </c>
      <c r="AJ31" s="10" t="s">
        <v>102</v>
      </c>
      <c r="AK31" s="10" t="s">
        <v>102</v>
      </c>
      <c r="AL31" s="10" t="s">
        <v>102</v>
      </c>
      <c r="AM31" s="10" t="s">
        <v>102</v>
      </c>
      <c r="AN31" s="10" t="s">
        <v>102</v>
      </c>
      <c r="AO31" s="10" t="s">
        <v>102</v>
      </c>
      <c r="AP31" s="10" t="s">
        <v>102</v>
      </c>
    </row>
    <row r="32" spans="1:97" ht="48" x14ac:dyDescent="0.25">
      <c r="A32" s="34" t="s">
        <v>275</v>
      </c>
      <c r="B32" s="34" t="s">
        <v>3989</v>
      </c>
      <c r="C32" s="34" t="s">
        <v>3990</v>
      </c>
      <c r="D32" s="34">
        <v>253130000</v>
      </c>
      <c r="E32" s="74" t="s">
        <v>4022</v>
      </c>
      <c r="F32" s="34">
        <v>182188001</v>
      </c>
      <c r="G32" s="34" t="s">
        <v>4023</v>
      </c>
      <c r="H32" s="520">
        <v>50000000</v>
      </c>
      <c r="I32" s="520">
        <f>H32+'[5]FORMATOS PRODUCTOS '!I18</f>
        <v>65292707</v>
      </c>
      <c r="J32" s="522">
        <f>H32+'[5]FORMATOS PRODUCTOS '!J18</f>
        <v>44064244</v>
      </c>
      <c r="K32" s="75"/>
      <c r="L32" s="75"/>
      <c r="M32" s="522"/>
      <c r="N32" s="75">
        <f t="shared" si="0"/>
        <v>50000000</v>
      </c>
      <c r="O32" s="75">
        <f t="shared" si="0"/>
        <v>65292707</v>
      </c>
      <c r="P32" s="522">
        <f t="shared" si="0"/>
        <v>44064244</v>
      </c>
      <c r="Q32" s="546">
        <f>P32-1909152</f>
        <v>42155092</v>
      </c>
      <c r="R32" s="75"/>
      <c r="S32" s="522">
        <f t="shared" si="1"/>
        <v>42155092</v>
      </c>
      <c r="T32" s="37">
        <v>0</v>
      </c>
      <c r="U32" s="37">
        <v>0</v>
      </c>
      <c r="V32" s="77">
        <v>0</v>
      </c>
      <c r="W32" s="10"/>
      <c r="X32" s="10"/>
      <c r="Y32" s="10"/>
      <c r="Z32" s="539"/>
      <c r="AA32" s="34">
        <v>0</v>
      </c>
      <c r="AB32" s="10"/>
      <c r="AC32" s="539"/>
      <c r="AD32" s="10"/>
      <c r="AE32" s="10">
        <v>0</v>
      </c>
      <c r="AF32" s="10">
        <v>0</v>
      </c>
      <c r="AG32" s="10">
        <v>0</v>
      </c>
      <c r="AH32" s="10">
        <v>0</v>
      </c>
      <c r="AI32" s="10">
        <v>0</v>
      </c>
      <c r="AJ32" s="10">
        <v>0</v>
      </c>
      <c r="AK32" s="10">
        <v>0</v>
      </c>
      <c r="AL32" s="10">
        <v>0</v>
      </c>
      <c r="AM32" s="10">
        <v>0</v>
      </c>
      <c r="AN32" s="10">
        <v>0</v>
      </c>
      <c r="AO32" s="10">
        <v>0</v>
      </c>
      <c r="AP32" s="10">
        <v>0</v>
      </c>
    </row>
    <row r="33" spans="1:97" ht="48" x14ac:dyDescent="0.25">
      <c r="A33" s="34">
        <v>0</v>
      </c>
      <c r="B33" s="34">
        <v>0</v>
      </c>
      <c r="C33" s="34">
        <v>0</v>
      </c>
      <c r="D33" s="34">
        <v>0</v>
      </c>
      <c r="E33" s="74">
        <v>0</v>
      </c>
      <c r="F33" s="34">
        <v>0</v>
      </c>
      <c r="G33" s="34">
        <v>0</v>
      </c>
      <c r="H33" s="520">
        <v>0</v>
      </c>
      <c r="I33" s="520">
        <v>0</v>
      </c>
      <c r="J33" s="522"/>
      <c r="K33" s="75"/>
      <c r="L33" s="75"/>
      <c r="M33" s="522"/>
      <c r="N33" s="75">
        <f t="shared" si="0"/>
        <v>0</v>
      </c>
      <c r="O33" s="75">
        <f t="shared" si="0"/>
        <v>0</v>
      </c>
      <c r="P33" s="522">
        <f t="shared" si="0"/>
        <v>0</v>
      </c>
      <c r="Q33" s="548"/>
      <c r="R33" s="75"/>
      <c r="S33" s="522">
        <f t="shared" si="1"/>
        <v>0</v>
      </c>
      <c r="T33" s="37" t="s">
        <v>4177</v>
      </c>
      <c r="U33" s="37" t="s">
        <v>4178</v>
      </c>
      <c r="V33" s="77">
        <v>2</v>
      </c>
      <c r="W33" s="10">
        <v>1</v>
      </c>
      <c r="X33" s="10"/>
      <c r="Y33" s="10">
        <v>1</v>
      </c>
      <c r="Z33" s="539">
        <v>1</v>
      </c>
      <c r="AA33" s="34">
        <v>330</v>
      </c>
      <c r="AB33" s="523">
        <v>6</v>
      </c>
      <c r="AC33" s="539">
        <f>7*30</f>
        <v>210</v>
      </c>
      <c r="AD33" s="10" t="s">
        <v>4179</v>
      </c>
      <c r="AE33" s="10">
        <v>0</v>
      </c>
      <c r="AF33" s="10"/>
      <c r="AG33" s="10"/>
      <c r="AH33" s="10"/>
      <c r="AI33" s="10"/>
      <c r="AJ33" s="10" t="s">
        <v>102</v>
      </c>
      <c r="AK33" s="10" t="s">
        <v>102</v>
      </c>
      <c r="AL33" s="10" t="s">
        <v>102</v>
      </c>
      <c r="AM33" s="10" t="s">
        <v>102</v>
      </c>
      <c r="AN33" s="10" t="s">
        <v>102</v>
      </c>
      <c r="AO33" s="10" t="s">
        <v>102</v>
      </c>
      <c r="AP33" s="10" t="s">
        <v>102</v>
      </c>
    </row>
    <row r="34" spans="1:97" ht="48" x14ac:dyDescent="0.25">
      <c r="A34" s="34" t="s">
        <v>275</v>
      </c>
      <c r="B34" s="34" t="s">
        <v>3989</v>
      </c>
      <c r="C34" s="34" t="s">
        <v>3990</v>
      </c>
      <c r="D34" s="34">
        <v>253130000</v>
      </c>
      <c r="E34" s="74" t="s">
        <v>4026</v>
      </c>
      <c r="F34" s="34">
        <v>182011001</v>
      </c>
      <c r="G34" s="34" t="s">
        <v>4027</v>
      </c>
      <c r="H34" s="520">
        <v>2621250000</v>
      </c>
      <c r="I34" s="520">
        <f>H34+'[5]FORMATOS PRODUCTOS '!I19</f>
        <v>5060234938</v>
      </c>
      <c r="J34" s="522">
        <f>H34+'[5]FORMATOS PRODUCTOS '!J19</f>
        <v>4234511487</v>
      </c>
      <c r="K34" s="75"/>
      <c r="L34" s="75"/>
      <c r="M34" s="522"/>
      <c r="N34" s="75">
        <f t="shared" si="0"/>
        <v>2621250000</v>
      </c>
      <c r="O34" s="75">
        <f t="shared" si="0"/>
        <v>5060234938</v>
      </c>
      <c r="P34" s="522">
        <f t="shared" si="0"/>
        <v>4234511487</v>
      </c>
      <c r="Q34" s="548">
        <f>P34-39885381</f>
        <v>4194626106</v>
      </c>
      <c r="R34" s="75"/>
      <c r="S34" s="522">
        <f>Q34+R34</f>
        <v>4194626106</v>
      </c>
      <c r="T34" s="37">
        <v>0</v>
      </c>
      <c r="U34" s="37">
        <v>0</v>
      </c>
      <c r="V34" s="77">
        <v>0</v>
      </c>
      <c r="W34" s="10"/>
      <c r="X34" s="10"/>
      <c r="Y34" s="10"/>
      <c r="Z34" s="539"/>
      <c r="AA34" s="34">
        <v>0</v>
      </c>
      <c r="AB34" s="10"/>
      <c r="AC34" s="539"/>
      <c r="AD34" s="10"/>
      <c r="AE34" s="10">
        <v>0</v>
      </c>
      <c r="AF34" s="10">
        <v>0</v>
      </c>
      <c r="AG34" s="10">
        <v>0</v>
      </c>
      <c r="AH34" s="10">
        <v>0</v>
      </c>
      <c r="AI34" s="10">
        <v>0</v>
      </c>
      <c r="AJ34" s="10">
        <v>0</v>
      </c>
      <c r="AK34" s="10">
        <v>0</v>
      </c>
      <c r="AL34" s="10">
        <v>0</v>
      </c>
      <c r="AM34" s="10">
        <v>0</v>
      </c>
      <c r="AN34" s="10">
        <v>0</v>
      </c>
      <c r="AO34" s="10">
        <v>0</v>
      </c>
      <c r="AP34" s="10">
        <v>0</v>
      </c>
    </row>
    <row r="35" spans="1:97" ht="57.75" customHeight="1" x14ac:dyDescent="0.25">
      <c r="A35" s="34">
        <v>0</v>
      </c>
      <c r="B35" s="34">
        <v>0</v>
      </c>
      <c r="C35" s="34">
        <v>0</v>
      </c>
      <c r="D35" s="34">
        <v>0</v>
      </c>
      <c r="E35" s="74">
        <v>0</v>
      </c>
      <c r="F35" s="34">
        <v>0</v>
      </c>
      <c r="G35" s="34">
        <v>0</v>
      </c>
      <c r="H35" s="520">
        <v>0</v>
      </c>
      <c r="I35" s="520"/>
      <c r="J35" s="522"/>
      <c r="K35" s="75"/>
      <c r="L35" s="75"/>
      <c r="M35" s="522"/>
      <c r="N35" s="75">
        <f t="shared" si="0"/>
        <v>0</v>
      </c>
      <c r="O35" s="75">
        <f t="shared" si="0"/>
        <v>0</v>
      </c>
      <c r="P35" s="522">
        <f t="shared" si="0"/>
        <v>0</v>
      </c>
      <c r="Q35" s="548"/>
      <c r="R35" s="75"/>
      <c r="S35" s="522">
        <f t="shared" si="1"/>
        <v>0</v>
      </c>
      <c r="T35" s="37" t="s">
        <v>4180</v>
      </c>
      <c r="U35" s="37" t="s">
        <v>4151</v>
      </c>
      <c r="V35" s="77">
        <v>1</v>
      </c>
      <c r="W35" s="10">
        <v>1</v>
      </c>
      <c r="X35" s="10"/>
      <c r="Y35" s="397">
        <v>0</v>
      </c>
      <c r="Z35" s="539">
        <v>1</v>
      </c>
      <c r="AA35" s="34">
        <v>210</v>
      </c>
      <c r="AB35" s="10">
        <v>30</v>
      </c>
      <c r="AC35" s="539">
        <v>180</v>
      </c>
      <c r="AD35" s="10" t="s">
        <v>4181</v>
      </c>
      <c r="AE35" s="10">
        <v>0</v>
      </c>
      <c r="AF35" s="10">
        <v>0</v>
      </c>
      <c r="AG35" s="10">
        <v>0</v>
      </c>
      <c r="AH35" s="10">
        <v>0</v>
      </c>
      <c r="AI35" s="10">
        <v>0</v>
      </c>
      <c r="AJ35" s="10" t="s">
        <v>102</v>
      </c>
      <c r="AK35" s="10" t="s">
        <v>102</v>
      </c>
      <c r="AL35" s="10" t="s">
        <v>102</v>
      </c>
      <c r="AM35" s="10" t="s">
        <v>102</v>
      </c>
      <c r="AN35" s="10" t="s">
        <v>102</v>
      </c>
      <c r="AO35" s="10" t="s">
        <v>102</v>
      </c>
      <c r="AP35" s="10" t="s">
        <v>102</v>
      </c>
    </row>
    <row r="36" spans="1:97" ht="60" x14ac:dyDescent="0.25">
      <c r="A36" s="34">
        <v>0</v>
      </c>
      <c r="B36" s="34">
        <v>0</v>
      </c>
      <c r="C36" s="34">
        <v>0</v>
      </c>
      <c r="D36" s="34">
        <v>0</v>
      </c>
      <c r="E36" s="74">
        <v>0</v>
      </c>
      <c r="F36" s="34">
        <v>0</v>
      </c>
      <c r="G36" s="34">
        <v>0</v>
      </c>
      <c r="H36" s="520">
        <v>0</v>
      </c>
      <c r="I36" s="520">
        <v>0</v>
      </c>
      <c r="J36" s="522"/>
      <c r="K36" s="75"/>
      <c r="L36" s="75"/>
      <c r="M36" s="522"/>
      <c r="N36" s="75">
        <f t="shared" si="0"/>
        <v>0</v>
      </c>
      <c r="O36" s="75">
        <f t="shared" si="0"/>
        <v>0</v>
      </c>
      <c r="P36" s="522">
        <f t="shared" si="0"/>
        <v>0</v>
      </c>
      <c r="Q36" s="548"/>
      <c r="R36" s="75"/>
      <c r="S36" s="522">
        <f t="shared" si="1"/>
        <v>0</v>
      </c>
      <c r="T36" s="37" t="s">
        <v>4182</v>
      </c>
      <c r="U36" s="37" t="s">
        <v>4178</v>
      </c>
      <c r="V36" s="77">
        <v>2</v>
      </c>
      <c r="W36" s="10"/>
      <c r="X36" s="10"/>
      <c r="Y36" s="10">
        <v>2</v>
      </c>
      <c r="Z36" s="539">
        <v>2</v>
      </c>
      <c r="AA36" s="34">
        <v>360</v>
      </c>
      <c r="AB36" s="10"/>
      <c r="AC36" s="539">
        <v>360</v>
      </c>
      <c r="AD36" s="10" t="s">
        <v>4183</v>
      </c>
      <c r="AE36" s="10" t="s">
        <v>102</v>
      </c>
      <c r="AF36" s="10" t="s">
        <v>102</v>
      </c>
      <c r="AG36" s="10" t="s">
        <v>102</v>
      </c>
      <c r="AH36" s="10" t="s">
        <v>102</v>
      </c>
      <c r="AI36" s="10" t="s">
        <v>102</v>
      </c>
      <c r="AJ36" s="10" t="s">
        <v>102</v>
      </c>
      <c r="AK36" s="10" t="s">
        <v>102</v>
      </c>
      <c r="AL36" s="10" t="s">
        <v>102</v>
      </c>
      <c r="AM36" s="10" t="s">
        <v>102</v>
      </c>
      <c r="AN36" s="10" t="s">
        <v>102</v>
      </c>
      <c r="AO36" s="10" t="s">
        <v>102</v>
      </c>
      <c r="AP36" s="10" t="s">
        <v>102</v>
      </c>
    </row>
    <row r="37" spans="1:97" ht="150" x14ac:dyDescent="0.25">
      <c r="A37" s="34"/>
      <c r="B37" s="34"/>
      <c r="C37" s="34"/>
      <c r="D37" s="34"/>
      <c r="E37" s="74"/>
      <c r="F37" s="34"/>
      <c r="G37" s="34"/>
      <c r="H37" s="520"/>
      <c r="I37" s="520"/>
      <c r="J37" s="522"/>
      <c r="K37" s="75"/>
      <c r="L37" s="75"/>
      <c r="M37" s="522"/>
      <c r="N37" s="75"/>
      <c r="O37" s="75"/>
      <c r="P37" s="522"/>
      <c r="Q37" s="548"/>
      <c r="R37" s="75"/>
      <c r="S37" s="522"/>
      <c r="T37" s="37" t="s">
        <v>4184</v>
      </c>
      <c r="U37" s="37" t="s">
        <v>4151</v>
      </c>
      <c r="V37" s="77"/>
      <c r="W37" s="10">
        <v>3</v>
      </c>
      <c r="X37" s="10"/>
      <c r="Y37" s="397">
        <v>0</v>
      </c>
      <c r="Z37" s="539">
        <v>2</v>
      </c>
      <c r="AA37" s="34"/>
      <c r="AB37" s="10"/>
      <c r="AC37" s="539">
        <v>360</v>
      </c>
      <c r="AD37" s="10" t="s">
        <v>4185</v>
      </c>
      <c r="AE37" s="10" t="s">
        <v>102</v>
      </c>
      <c r="AF37" s="10" t="s">
        <v>102</v>
      </c>
      <c r="AG37" s="10" t="s">
        <v>102</v>
      </c>
      <c r="AH37" s="10" t="s">
        <v>102</v>
      </c>
      <c r="AI37" s="10" t="s">
        <v>102</v>
      </c>
      <c r="AJ37" s="10" t="s">
        <v>102</v>
      </c>
      <c r="AK37" s="10" t="s">
        <v>102</v>
      </c>
      <c r="AL37" s="10" t="s">
        <v>102</v>
      </c>
      <c r="AM37" s="10" t="s">
        <v>102</v>
      </c>
      <c r="AN37" s="10" t="s">
        <v>102</v>
      </c>
      <c r="AO37" s="10" t="s">
        <v>102</v>
      </c>
      <c r="AP37" s="10" t="s">
        <v>102</v>
      </c>
    </row>
    <row r="38" spans="1:97" ht="48" x14ac:dyDescent="0.25">
      <c r="A38" s="34" t="s">
        <v>275</v>
      </c>
      <c r="B38" s="34" t="s">
        <v>3989</v>
      </c>
      <c r="C38" s="34" t="s">
        <v>3990</v>
      </c>
      <c r="D38" s="34">
        <v>253130000</v>
      </c>
      <c r="E38" s="74" t="s">
        <v>4029</v>
      </c>
      <c r="F38" s="34">
        <v>182233001</v>
      </c>
      <c r="G38" s="34" t="s">
        <v>4030</v>
      </c>
      <c r="H38" s="520">
        <v>250000000</v>
      </c>
      <c r="I38" s="520">
        <f>H38</f>
        <v>250000000</v>
      </c>
      <c r="J38" s="522">
        <f>H38+'[5]FORMATOS PRODUCTOS '!J20</f>
        <v>250000000</v>
      </c>
      <c r="K38" s="520">
        <v>430000000</v>
      </c>
      <c r="L38" s="27"/>
      <c r="M38" s="522">
        <f>K38</f>
        <v>430000000</v>
      </c>
      <c r="N38" s="75">
        <f t="shared" si="0"/>
        <v>680000000</v>
      </c>
      <c r="O38" s="75">
        <f>I38+K38</f>
        <v>680000000</v>
      </c>
      <c r="P38" s="522">
        <f>O38</f>
        <v>680000000</v>
      </c>
      <c r="Q38" s="546">
        <f>J38</f>
        <v>250000000</v>
      </c>
      <c r="R38" s="529">
        <f>K38</f>
        <v>430000000</v>
      </c>
      <c r="S38" s="522">
        <f t="shared" si="1"/>
        <v>680000000</v>
      </c>
      <c r="T38" s="37">
        <v>0</v>
      </c>
      <c r="U38" s="37">
        <v>0</v>
      </c>
      <c r="V38" s="77">
        <v>0</v>
      </c>
      <c r="W38" s="10"/>
      <c r="X38" s="10"/>
      <c r="Y38" s="10"/>
      <c r="Z38" s="539"/>
      <c r="AA38" s="34">
        <v>0</v>
      </c>
      <c r="AB38" s="10"/>
      <c r="AC38" s="539"/>
      <c r="AD38" s="10"/>
      <c r="AE38" s="10">
        <v>0</v>
      </c>
      <c r="AF38" s="10">
        <v>0</v>
      </c>
      <c r="AG38" s="10">
        <v>0</v>
      </c>
      <c r="AH38" s="10">
        <v>0</v>
      </c>
      <c r="AI38" s="10">
        <v>0</v>
      </c>
      <c r="AJ38" s="10">
        <v>0</v>
      </c>
      <c r="AK38" s="10">
        <v>0</v>
      </c>
      <c r="AL38" s="10">
        <v>0</v>
      </c>
      <c r="AM38" s="10">
        <v>0</v>
      </c>
      <c r="AN38" s="10">
        <v>0</v>
      </c>
      <c r="AO38" s="10">
        <v>0</v>
      </c>
      <c r="AP38" s="10">
        <v>0</v>
      </c>
    </row>
    <row r="39" spans="1:97" ht="75" x14ac:dyDescent="0.25">
      <c r="A39" s="34">
        <v>0</v>
      </c>
      <c r="B39" s="34">
        <v>0</v>
      </c>
      <c r="C39" s="34">
        <v>0</v>
      </c>
      <c r="D39" s="34">
        <v>0</v>
      </c>
      <c r="E39" s="74">
        <v>0</v>
      </c>
      <c r="F39" s="34">
        <v>0</v>
      </c>
      <c r="G39" s="34">
        <v>0</v>
      </c>
      <c r="H39" s="520">
        <v>0</v>
      </c>
      <c r="I39" s="520">
        <v>0</v>
      </c>
      <c r="J39" s="522"/>
      <c r="K39" s="75"/>
      <c r="L39" s="75"/>
      <c r="M39" s="522"/>
      <c r="N39" s="75">
        <f t="shared" si="0"/>
        <v>0</v>
      </c>
      <c r="O39" s="75">
        <f t="shared" si="0"/>
        <v>0</v>
      </c>
      <c r="P39" s="522">
        <f t="shared" si="0"/>
        <v>0</v>
      </c>
      <c r="Q39" s="548"/>
      <c r="R39" s="75"/>
      <c r="S39" s="522">
        <f t="shared" si="1"/>
        <v>0</v>
      </c>
      <c r="T39" s="37" t="s">
        <v>4186</v>
      </c>
      <c r="U39" s="37" t="s">
        <v>4151</v>
      </c>
      <c r="V39" s="77">
        <v>1</v>
      </c>
      <c r="W39" s="397">
        <v>0</v>
      </c>
      <c r="X39" s="10">
        <v>1</v>
      </c>
      <c r="Y39" s="397">
        <v>0</v>
      </c>
      <c r="Z39" s="539">
        <v>1</v>
      </c>
      <c r="AA39" s="34">
        <v>240</v>
      </c>
      <c r="AB39" s="10">
        <v>30</v>
      </c>
      <c r="AC39" s="539">
        <v>180</v>
      </c>
      <c r="AD39" s="10" t="s">
        <v>4187</v>
      </c>
      <c r="AE39" s="10">
        <v>0</v>
      </c>
      <c r="AF39" s="10">
        <v>0</v>
      </c>
      <c r="AG39" s="10">
        <v>0</v>
      </c>
      <c r="AH39" s="10"/>
      <c r="AI39" s="10"/>
      <c r="AJ39" s="10"/>
      <c r="AK39" s="10" t="s">
        <v>102</v>
      </c>
      <c r="AL39" s="10" t="s">
        <v>102</v>
      </c>
      <c r="AM39" s="10" t="s">
        <v>102</v>
      </c>
      <c r="AN39" s="10" t="s">
        <v>102</v>
      </c>
      <c r="AO39" s="10" t="s">
        <v>102</v>
      </c>
      <c r="AP39" s="10" t="s">
        <v>102</v>
      </c>
    </row>
    <row r="40" spans="1:97" ht="48" x14ac:dyDescent="0.25">
      <c r="A40" s="34" t="s">
        <v>275</v>
      </c>
      <c r="B40" s="34" t="s">
        <v>3989</v>
      </c>
      <c r="C40" s="34" t="s">
        <v>3990</v>
      </c>
      <c r="D40" s="34">
        <v>253130000</v>
      </c>
      <c r="E40" s="74" t="s">
        <v>4033</v>
      </c>
      <c r="F40" s="34">
        <v>182007001</v>
      </c>
      <c r="G40" s="34" t="s">
        <v>4034</v>
      </c>
      <c r="H40" s="520">
        <v>1010016000</v>
      </c>
      <c r="I40" s="520">
        <f>H40+'[5]FORMATOS PRODUCTOS '!I21</f>
        <v>1222748081</v>
      </c>
      <c r="J40" s="522">
        <f>H40+'[5]FORMATOS PRODUCTOS '!J21</f>
        <v>1315793349</v>
      </c>
      <c r="K40" s="75"/>
      <c r="L40" s="75"/>
      <c r="M40" s="522"/>
      <c r="N40" s="75">
        <f t="shared" si="0"/>
        <v>1010016000</v>
      </c>
      <c r="O40" s="75">
        <f t="shared" si="0"/>
        <v>1222748081</v>
      </c>
      <c r="P40" s="522">
        <f t="shared" si="0"/>
        <v>1315793349</v>
      </c>
      <c r="Q40" s="548">
        <v>1278869313</v>
      </c>
      <c r="R40" s="75"/>
      <c r="S40" s="522">
        <f t="shared" si="1"/>
        <v>1278869313</v>
      </c>
      <c r="T40" s="37">
        <v>0</v>
      </c>
      <c r="U40" s="37">
        <v>0</v>
      </c>
      <c r="V40" s="77">
        <v>0</v>
      </c>
      <c r="W40" s="10"/>
      <c r="X40" s="10"/>
      <c r="Y40" s="10"/>
      <c r="Z40" s="539"/>
      <c r="AA40" s="34">
        <v>0</v>
      </c>
      <c r="AB40" s="10"/>
      <c r="AC40" s="539"/>
      <c r="AD40" s="10"/>
      <c r="AE40" s="10">
        <v>0</v>
      </c>
      <c r="AF40" s="10">
        <v>0</v>
      </c>
      <c r="AG40" s="10">
        <v>0</v>
      </c>
      <c r="AH40" s="10">
        <v>0</v>
      </c>
      <c r="AI40" s="10">
        <v>0</v>
      </c>
      <c r="AJ40" s="10">
        <v>0</v>
      </c>
      <c r="AK40" s="10">
        <v>0</v>
      </c>
      <c r="AL40" s="10">
        <v>0</v>
      </c>
      <c r="AM40" s="10">
        <v>0</v>
      </c>
      <c r="AN40" s="10">
        <v>0</v>
      </c>
      <c r="AO40" s="10">
        <v>0</v>
      </c>
      <c r="AP40" s="10">
        <v>0</v>
      </c>
    </row>
    <row r="41" spans="1:97" ht="105" x14ac:dyDescent="0.25">
      <c r="A41" s="34">
        <v>0</v>
      </c>
      <c r="B41" s="34">
        <v>0</v>
      </c>
      <c r="C41" s="34">
        <v>0</v>
      </c>
      <c r="D41" s="34">
        <v>0</v>
      </c>
      <c r="E41" s="74">
        <v>0</v>
      </c>
      <c r="F41" s="34">
        <v>0</v>
      </c>
      <c r="G41" s="34">
        <v>0</v>
      </c>
      <c r="H41" s="520">
        <v>0</v>
      </c>
      <c r="I41" s="520">
        <v>0</v>
      </c>
      <c r="J41" s="522"/>
      <c r="K41" s="75"/>
      <c r="L41" s="75"/>
      <c r="M41" s="522"/>
      <c r="N41" s="75">
        <f t="shared" si="0"/>
        <v>0</v>
      </c>
      <c r="O41" s="75">
        <f t="shared" si="0"/>
        <v>0</v>
      </c>
      <c r="P41" s="522">
        <f t="shared" si="0"/>
        <v>0</v>
      </c>
      <c r="Q41" s="548"/>
      <c r="R41" s="75"/>
      <c r="S41" s="522">
        <f t="shared" si="1"/>
        <v>0</v>
      </c>
      <c r="T41" s="37" t="s">
        <v>4188</v>
      </c>
      <c r="U41" s="37" t="s">
        <v>4178</v>
      </c>
      <c r="V41" s="77">
        <v>9</v>
      </c>
      <c r="W41" s="81">
        <v>8</v>
      </c>
      <c r="X41" s="10"/>
      <c r="Y41" s="10">
        <v>8</v>
      </c>
      <c r="Z41" s="539">
        <v>13</v>
      </c>
      <c r="AA41" s="34">
        <v>360</v>
      </c>
      <c r="AB41" s="10"/>
      <c r="AC41" s="539">
        <v>360</v>
      </c>
      <c r="AD41" s="371" t="s">
        <v>4189</v>
      </c>
      <c r="AE41" s="10" t="s">
        <v>102</v>
      </c>
      <c r="AF41" s="10" t="s">
        <v>102</v>
      </c>
      <c r="AG41" s="10" t="s">
        <v>102</v>
      </c>
      <c r="AH41" s="10" t="s">
        <v>102</v>
      </c>
      <c r="AI41" s="10" t="s">
        <v>102</v>
      </c>
      <c r="AJ41" s="10" t="s">
        <v>102</v>
      </c>
      <c r="AK41" s="10" t="s">
        <v>102</v>
      </c>
      <c r="AL41" s="10" t="s">
        <v>102</v>
      </c>
      <c r="AM41" s="10" t="s">
        <v>102</v>
      </c>
      <c r="AN41" s="10" t="s">
        <v>102</v>
      </c>
      <c r="AO41" s="10" t="s">
        <v>102</v>
      </c>
      <c r="AP41" s="10" t="s">
        <v>102</v>
      </c>
    </row>
    <row r="42" spans="1:97" ht="75" x14ac:dyDescent="0.25">
      <c r="A42" s="34">
        <v>0</v>
      </c>
      <c r="B42" s="34">
        <v>0</v>
      </c>
      <c r="C42" s="34">
        <v>0</v>
      </c>
      <c r="D42" s="34">
        <v>0</v>
      </c>
      <c r="E42" s="74">
        <v>0</v>
      </c>
      <c r="F42" s="34">
        <v>0</v>
      </c>
      <c r="G42" s="34">
        <v>0</v>
      </c>
      <c r="H42" s="520">
        <v>0</v>
      </c>
      <c r="I42" s="520">
        <v>0</v>
      </c>
      <c r="J42" s="522"/>
      <c r="K42" s="75"/>
      <c r="L42" s="75"/>
      <c r="M42" s="522"/>
      <c r="N42" s="75">
        <f t="shared" si="0"/>
        <v>0</v>
      </c>
      <c r="O42" s="75">
        <f t="shared" si="0"/>
        <v>0</v>
      </c>
      <c r="P42" s="522">
        <f t="shared" si="0"/>
        <v>0</v>
      </c>
      <c r="Q42" s="548"/>
      <c r="R42" s="75"/>
      <c r="S42" s="522">
        <f t="shared" si="1"/>
        <v>0</v>
      </c>
      <c r="T42" s="37" t="s">
        <v>4190</v>
      </c>
      <c r="U42" s="37" t="s">
        <v>4178</v>
      </c>
      <c r="V42" s="77">
        <v>1</v>
      </c>
      <c r="W42" s="10"/>
      <c r="X42" s="10"/>
      <c r="Y42" s="397">
        <v>0</v>
      </c>
      <c r="Z42" s="539">
        <v>1</v>
      </c>
      <c r="AA42" s="34">
        <v>150</v>
      </c>
      <c r="AB42" s="10"/>
      <c r="AC42" s="539">
        <v>120</v>
      </c>
      <c r="AD42" s="10" t="s">
        <v>4191</v>
      </c>
      <c r="AE42" s="10">
        <v>0</v>
      </c>
      <c r="AF42" s="10">
        <v>0</v>
      </c>
      <c r="AG42" s="10">
        <v>0</v>
      </c>
      <c r="AH42" s="10">
        <v>0</v>
      </c>
      <c r="AI42" s="10">
        <v>0</v>
      </c>
      <c r="AJ42" s="10">
        <v>0</v>
      </c>
      <c r="AK42" s="10">
        <v>0</v>
      </c>
      <c r="AL42" s="10" t="s">
        <v>102</v>
      </c>
      <c r="AM42" s="10" t="s">
        <v>102</v>
      </c>
      <c r="AN42" s="10" t="s">
        <v>102</v>
      </c>
      <c r="AO42" s="10" t="s">
        <v>102</v>
      </c>
      <c r="AP42" s="10" t="s">
        <v>102</v>
      </c>
    </row>
    <row r="43" spans="1:97" ht="48" x14ac:dyDescent="0.25">
      <c r="A43" s="34" t="s">
        <v>275</v>
      </c>
      <c r="B43" s="34" t="s">
        <v>3989</v>
      </c>
      <c r="C43" s="34" t="s">
        <v>3990</v>
      </c>
      <c r="D43" s="34">
        <v>253130000</v>
      </c>
      <c r="E43" s="74" t="s">
        <v>4033</v>
      </c>
      <c r="F43" s="34">
        <v>182007002</v>
      </c>
      <c r="G43" s="34" t="s">
        <v>4036</v>
      </c>
      <c r="H43" s="520">
        <v>150000000</v>
      </c>
      <c r="I43" s="520">
        <f>H43+'[5]FORMATOS PRODUCTOS '!I22</f>
        <v>150000000</v>
      </c>
      <c r="J43" s="522">
        <f>H43+'[5]FORMATOS PRODUCTOS '!J22</f>
        <v>97395520</v>
      </c>
      <c r="K43" s="75"/>
      <c r="L43" s="75"/>
      <c r="M43" s="522"/>
      <c r="N43" s="75">
        <f t="shared" si="0"/>
        <v>150000000</v>
      </c>
      <c r="O43" s="75">
        <f t="shared" si="0"/>
        <v>150000000</v>
      </c>
      <c r="P43" s="522">
        <f t="shared" si="0"/>
        <v>97395520</v>
      </c>
      <c r="Q43" s="548">
        <v>72395520</v>
      </c>
      <c r="R43" s="75"/>
      <c r="S43" s="522">
        <f>Q43+R43</f>
        <v>72395520</v>
      </c>
      <c r="T43" s="37">
        <v>0</v>
      </c>
      <c r="U43" s="37">
        <v>0</v>
      </c>
      <c r="V43" s="77">
        <v>0</v>
      </c>
      <c r="W43" s="10"/>
      <c r="X43" s="10"/>
      <c r="Y43" s="10"/>
      <c r="Z43" s="539"/>
      <c r="AA43" s="34">
        <v>0</v>
      </c>
      <c r="AB43" s="10"/>
      <c r="AC43" s="539"/>
      <c r="AD43" s="10"/>
      <c r="AE43" s="10">
        <v>0</v>
      </c>
      <c r="AF43" s="10">
        <v>0</v>
      </c>
      <c r="AG43" s="10">
        <v>0</v>
      </c>
      <c r="AH43" s="10">
        <v>0</v>
      </c>
      <c r="AI43" s="10">
        <v>0</v>
      </c>
      <c r="AJ43" s="10">
        <v>0</v>
      </c>
      <c r="AK43" s="10">
        <v>0</v>
      </c>
      <c r="AL43" s="10">
        <v>0</v>
      </c>
      <c r="AM43" s="10">
        <v>0</v>
      </c>
      <c r="AN43" s="10">
        <v>0</v>
      </c>
      <c r="AO43" s="10">
        <v>0</v>
      </c>
      <c r="AP43" s="10">
        <v>0</v>
      </c>
    </row>
    <row r="44" spans="1:97" ht="30" x14ac:dyDescent="0.25">
      <c r="A44" s="34">
        <v>0</v>
      </c>
      <c r="B44" s="34">
        <v>0</v>
      </c>
      <c r="C44" s="34">
        <v>0</v>
      </c>
      <c r="D44" s="34">
        <v>0</v>
      </c>
      <c r="E44" s="74">
        <v>0</v>
      </c>
      <c r="F44" s="34">
        <v>0</v>
      </c>
      <c r="G44" s="34">
        <v>0</v>
      </c>
      <c r="H44" s="520">
        <v>0</v>
      </c>
      <c r="I44" s="520">
        <v>0</v>
      </c>
      <c r="J44" s="522"/>
      <c r="K44" s="75"/>
      <c r="L44" s="75"/>
      <c r="M44" s="522"/>
      <c r="N44" s="75">
        <f t="shared" si="0"/>
        <v>0</v>
      </c>
      <c r="O44" s="75">
        <f t="shared" si="0"/>
        <v>0</v>
      </c>
      <c r="P44" s="522">
        <f t="shared" si="0"/>
        <v>0</v>
      </c>
      <c r="Q44" s="548"/>
      <c r="R44" s="75"/>
      <c r="S44" s="522">
        <f t="shared" si="1"/>
        <v>0</v>
      </c>
      <c r="T44" s="37" t="s">
        <v>4192</v>
      </c>
      <c r="U44" s="37" t="s">
        <v>4151</v>
      </c>
      <c r="V44" s="77">
        <v>1</v>
      </c>
      <c r="W44" s="10"/>
      <c r="X44" s="10"/>
      <c r="Y44" s="14">
        <v>1</v>
      </c>
      <c r="Z44" s="539">
        <v>1</v>
      </c>
      <c r="AA44" s="34">
        <v>270</v>
      </c>
      <c r="AB44" s="10"/>
      <c r="AC44" s="539">
        <f>7*30</f>
        <v>210</v>
      </c>
      <c r="AD44" s="10" t="s">
        <v>4193</v>
      </c>
      <c r="AE44" s="10">
        <v>0</v>
      </c>
      <c r="AF44" s="10" t="s">
        <v>102</v>
      </c>
      <c r="AG44" s="10" t="s">
        <v>102</v>
      </c>
      <c r="AH44" s="10" t="s">
        <v>102</v>
      </c>
      <c r="AI44" s="10" t="s">
        <v>102</v>
      </c>
      <c r="AJ44" s="10">
        <v>0</v>
      </c>
      <c r="AK44" s="10">
        <v>0</v>
      </c>
      <c r="AL44" s="10"/>
      <c r="AM44" s="10"/>
      <c r="AN44" s="10"/>
      <c r="AO44" s="10" t="s">
        <v>102</v>
      </c>
      <c r="AP44" s="10" t="s">
        <v>102</v>
      </c>
    </row>
    <row r="45" spans="1:97" s="172" customFormat="1" ht="72" x14ac:dyDescent="0.25">
      <c r="A45" s="34" t="s">
        <v>275</v>
      </c>
      <c r="B45" s="34" t="s">
        <v>3989</v>
      </c>
      <c r="C45" s="34" t="s">
        <v>4038</v>
      </c>
      <c r="D45" s="34">
        <v>253130000</v>
      </c>
      <c r="E45" s="74" t="s">
        <v>4194</v>
      </c>
      <c r="F45" s="34" t="s">
        <v>4195</v>
      </c>
      <c r="G45" s="34" t="s">
        <v>4196</v>
      </c>
      <c r="H45" s="520"/>
      <c r="I45" s="520"/>
      <c r="J45" s="522">
        <f>H45+'[5]FORMATOS PRODUCTOS '!J23</f>
        <v>0</v>
      </c>
      <c r="K45" s="75"/>
      <c r="L45" s="75"/>
      <c r="M45" s="522"/>
      <c r="N45" s="75"/>
      <c r="O45" s="75"/>
      <c r="P45" s="522"/>
      <c r="Q45" s="548"/>
      <c r="R45" s="75"/>
      <c r="S45" s="522"/>
      <c r="T45" s="37"/>
      <c r="U45" s="37"/>
      <c r="V45" s="77"/>
      <c r="W45" s="10"/>
      <c r="X45" s="10"/>
      <c r="Y45" s="14"/>
      <c r="Z45" s="539"/>
      <c r="AA45" s="34"/>
      <c r="AB45" s="10"/>
      <c r="AC45" s="539"/>
      <c r="AD45" s="10"/>
      <c r="AE45" s="10"/>
      <c r="AF45" s="10"/>
      <c r="AG45" s="10"/>
      <c r="AH45" s="10"/>
      <c r="AI45" s="10"/>
      <c r="AJ45" s="10"/>
      <c r="AK45" s="10"/>
      <c r="AL45" s="10"/>
      <c r="AM45" s="10"/>
      <c r="AN45" s="10"/>
      <c r="AO45" s="10"/>
      <c r="AP45" s="10"/>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row>
    <row r="46" spans="1:97" s="172" customFormat="1" ht="191.25" x14ac:dyDescent="0.25">
      <c r="A46" s="34"/>
      <c r="B46" s="34"/>
      <c r="C46" s="34"/>
      <c r="D46" s="34"/>
      <c r="E46" s="74"/>
      <c r="F46" s="34"/>
      <c r="G46" s="34"/>
      <c r="H46" s="520"/>
      <c r="I46" s="520"/>
      <c r="J46" s="522"/>
      <c r="K46" s="75"/>
      <c r="L46" s="75"/>
      <c r="M46" s="522"/>
      <c r="N46" s="75"/>
      <c r="O46" s="75"/>
      <c r="P46" s="522"/>
      <c r="Q46" s="548"/>
      <c r="R46" s="75"/>
      <c r="S46" s="522"/>
      <c r="T46" s="37" t="s">
        <v>4197</v>
      </c>
      <c r="U46" s="37"/>
      <c r="V46" s="77"/>
      <c r="W46" s="10"/>
      <c r="X46" s="10"/>
      <c r="Y46" s="14"/>
      <c r="Z46" s="537">
        <v>0.27</v>
      </c>
      <c r="AA46" s="34"/>
      <c r="AB46" s="10"/>
      <c r="AC46" s="539">
        <v>360</v>
      </c>
      <c r="AD46" s="177" t="s">
        <v>4043</v>
      </c>
      <c r="AE46" s="10" t="s">
        <v>102</v>
      </c>
      <c r="AF46" s="10" t="s">
        <v>102</v>
      </c>
      <c r="AG46" s="10" t="s">
        <v>102</v>
      </c>
      <c r="AH46" s="10" t="s">
        <v>102</v>
      </c>
      <c r="AI46" s="10" t="s">
        <v>102</v>
      </c>
      <c r="AJ46" s="10" t="s">
        <v>102</v>
      </c>
      <c r="AK46" s="10" t="s">
        <v>102</v>
      </c>
      <c r="AL46" s="10" t="s">
        <v>102</v>
      </c>
      <c r="AM46" s="10" t="s">
        <v>102</v>
      </c>
      <c r="AN46" s="10" t="s">
        <v>102</v>
      </c>
      <c r="AO46" s="10" t="s">
        <v>102</v>
      </c>
      <c r="AP46" s="10" t="s">
        <v>102</v>
      </c>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row>
    <row r="47" spans="1:97" ht="72" x14ac:dyDescent="0.25">
      <c r="A47" s="34" t="s">
        <v>275</v>
      </c>
      <c r="B47" s="34" t="s">
        <v>3989</v>
      </c>
      <c r="C47" s="34" t="s">
        <v>4038</v>
      </c>
      <c r="D47" s="34">
        <v>253210000</v>
      </c>
      <c r="E47" s="74" t="s">
        <v>4040</v>
      </c>
      <c r="F47" s="34">
        <v>182294001</v>
      </c>
      <c r="G47" s="34" t="s">
        <v>4041</v>
      </c>
      <c r="H47" s="520">
        <v>115124882</v>
      </c>
      <c r="I47" s="520">
        <f>H47+'[5]FORMATOS PRODUCTOS '!I24</f>
        <v>142150581</v>
      </c>
      <c r="J47" s="522">
        <f>H47+'[5]FORMATOS PRODUCTOS '!J24</f>
        <v>112150581</v>
      </c>
      <c r="K47" s="75"/>
      <c r="L47" s="75"/>
      <c r="M47" s="522"/>
      <c r="N47" s="75">
        <f t="shared" si="0"/>
        <v>115124882</v>
      </c>
      <c r="O47" s="75">
        <f t="shared" si="0"/>
        <v>142150581</v>
      </c>
      <c r="P47" s="522">
        <f t="shared" si="0"/>
        <v>112150581</v>
      </c>
      <c r="Q47" s="548">
        <f>P47</f>
        <v>112150581</v>
      </c>
      <c r="R47" s="529">
        <v>0</v>
      </c>
      <c r="S47" s="522">
        <f>Q47+R47</f>
        <v>112150581</v>
      </c>
      <c r="T47" s="37">
        <v>0</v>
      </c>
      <c r="U47" s="37">
        <v>0</v>
      </c>
      <c r="V47" s="77">
        <v>0</v>
      </c>
      <c r="W47" s="10"/>
      <c r="X47" s="10"/>
      <c r="Y47" s="10"/>
      <c r="Z47" s="539"/>
      <c r="AA47" s="34">
        <v>0</v>
      </c>
      <c r="AB47" s="10"/>
      <c r="AC47" s="539"/>
      <c r="AD47" s="10"/>
      <c r="AE47" s="10">
        <v>0</v>
      </c>
      <c r="AF47" s="10">
        <v>0</v>
      </c>
      <c r="AG47" s="10">
        <v>0</v>
      </c>
      <c r="AH47" s="10">
        <v>0</v>
      </c>
      <c r="AI47" s="10">
        <v>0</v>
      </c>
      <c r="AJ47" s="10">
        <v>0</v>
      </c>
      <c r="AK47" s="10">
        <v>0</v>
      </c>
      <c r="AL47" s="10">
        <v>0</v>
      </c>
      <c r="AM47" s="10">
        <v>0</v>
      </c>
      <c r="AN47" s="10">
        <v>0</v>
      </c>
      <c r="AO47" s="10">
        <v>0</v>
      </c>
      <c r="AP47" s="10">
        <v>0</v>
      </c>
    </row>
    <row r="48" spans="1:97" ht="60" x14ac:dyDescent="0.25">
      <c r="A48" s="34"/>
      <c r="B48" s="34"/>
      <c r="C48" s="34"/>
      <c r="D48" s="34"/>
      <c r="E48" s="74"/>
      <c r="F48" s="34"/>
      <c r="G48" s="34"/>
      <c r="H48" s="520"/>
      <c r="I48" s="520">
        <v>0</v>
      </c>
      <c r="J48" s="522"/>
      <c r="K48" s="75"/>
      <c r="L48" s="75"/>
      <c r="M48" s="522"/>
      <c r="N48" s="75"/>
      <c r="O48" s="75"/>
      <c r="P48" s="522"/>
      <c r="Q48" s="548"/>
      <c r="R48" s="75"/>
      <c r="S48" s="522"/>
      <c r="T48" s="37" t="s">
        <v>4198</v>
      </c>
      <c r="U48" s="37" t="s">
        <v>4178</v>
      </c>
      <c r="V48" s="77">
        <v>2</v>
      </c>
      <c r="W48" s="10"/>
      <c r="X48" s="10"/>
      <c r="Y48" s="81">
        <v>2</v>
      </c>
      <c r="Z48" s="539">
        <v>2</v>
      </c>
      <c r="AA48" s="34">
        <v>330</v>
      </c>
      <c r="AB48" s="523">
        <v>6</v>
      </c>
      <c r="AC48" s="539">
        <f>7*30</f>
        <v>210</v>
      </c>
      <c r="AD48" s="10" t="s">
        <v>4160</v>
      </c>
      <c r="AE48" s="10"/>
      <c r="AF48" s="10"/>
      <c r="AG48" s="10"/>
      <c r="AH48" s="10"/>
      <c r="AI48" s="10"/>
      <c r="AJ48" s="10" t="s">
        <v>102</v>
      </c>
      <c r="AK48" s="10" t="s">
        <v>102</v>
      </c>
      <c r="AL48" s="10" t="s">
        <v>102</v>
      </c>
      <c r="AM48" s="10" t="s">
        <v>102</v>
      </c>
      <c r="AN48" s="10" t="s">
        <v>102</v>
      </c>
      <c r="AO48" s="10" t="s">
        <v>102</v>
      </c>
      <c r="AP48" s="10" t="s">
        <v>102</v>
      </c>
    </row>
    <row r="49" spans="1:97" s="172" customFormat="1" ht="72" x14ac:dyDescent="0.25">
      <c r="A49" s="34" t="s">
        <v>275</v>
      </c>
      <c r="B49" s="34" t="s">
        <v>3989</v>
      </c>
      <c r="C49" s="34" t="s">
        <v>4038</v>
      </c>
      <c r="D49" s="34"/>
      <c r="E49" s="74" t="s">
        <v>4045</v>
      </c>
      <c r="F49" s="34">
        <v>172296</v>
      </c>
      <c r="G49" s="34" t="s">
        <v>4046</v>
      </c>
      <c r="H49" s="520"/>
      <c r="I49" s="520">
        <f>H49+'[5]FORMATOS PRODUCTOS '!I25</f>
        <v>0</v>
      </c>
      <c r="J49" s="522">
        <f>I49+'[5]FORMATOS PRODUCTOS '!J25</f>
        <v>8820000000</v>
      </c>
      <c r="K49" s="75"/>
      <c r="L49" s="75"/>
      <c r="M49" s="522"/>
      <c r="N49" s="75">
        <f>H49</f>
        <v>0</v>
      </c>
      <c r="O49" s="75">
        <f>I49</f>
        <v>0</v>
      </c>
      <c r="P49" s="522">
        <f>J49</f>
        <v>8820000000</v>
      </c>
      <c r="Q49" s="546">
        <v>0</v>
      </c>
      <c r="R49" s="75"/>
      <c r="S49" s="541">
        <f>Q49</f>
        <v>0</v>
      </c>
      <c r="T49" s="37"/>
      <c r="U49" s="37"/>
      <c r="V49" s="77"/>
      <c r="W49" s="10"/>
      <c r="X49" s="10"/>
      <c r="Y49" s="10"/>
      <c r="Z49" s="539"/>
      <c r="AA49" s="34"/>
      <c r="AB49" s="10"/>
      <c r="AC49" s="539"/>
      <c r="AD49" s="10"/>
      <c r="AE49" s="10"/>
      <c r="AF49" s="10"/>
      <c r="AG49" s="10"/>
      <c r="AH49" s="10"/>
      <c r="AI49" s="10"/>
      <c r="AJ49" s="10"/>
      <c r="AK49" s="10"/>
      <c r="AL49" s="10"/>
      <c r="AM49" s="10"/>
      <c r="AN49" s="10"/>
      <c r="AO49" s="10"/>
      <c r="AP49" s="10"/>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row>
    <row r="50" spans="1:97" s="172" customFormat="1" ht="60" x14ac:dyDescent="0.25">
      <c r="A50" s="34"/>
      <c r="B50" s="34"/>
      <c r="C50" s="34"/>
      <c r="D50" s="34"/>
      <c r="E50" s="74"/>
      <c r="F50" s="34"/>
      <c r="G50" s="34"/>
      <c r="H50" s="520"/>
      <c r="I50" s="520"/>
      <c r="J50" s="522"/>
      <c r="K50" s="75"/>
      <c r="L50" s="75"/>
      <c r="M50" s="522"/>
      <c r="N50" s="75"/>
      <c r="O50" s="75"/>
      <c r="P50" s="522"/>
      <c r="Q50" s="548"/>
      <c r="R50" s="75"/>
      <c r="S50" s="522"/>
      <c r="T50" s="37" t="s">
        <v>4199</v>
      </c>
      <c r="U50" s="37" t="s">
        <v>2897</v>
      </c>
      <c r="V50" s="77"/>
      <c r="W50" s="10"/>
      <c r="X50" s="10">
        <v>15</v>
      </c>
      <c r="Y50" s="10"/>
      <c r="Z50" s="552">
        <v>0</v>
      </c>
      <c r="AA50" s="34"/>
      <c r="AB50" s="10"/>
      <c r="AC50" s="539">
        <v>210</v>
      </c>
      <c r="AD50" s="10" t="s">
        <v>4200</v>
      </c>
      <c r="AE50" s="10"/>
      <c r="AF50" s="10"/>
      <c r="AG50" s="10"/>
      <c r="AH50" s="10"/>
      <c r="AI50" s="10"/>
      <c r="AJ50" s="10"/>
      <c r="AK50" s="10" t="s">
        <v>102</v>
      </c>
      <c r="AL50" s="10" t="s">
        <v>102</v>
      </c>
      <c r="AM50" s="10" t="s">
        <v>102</v>
      </c>
      <c r="AN50" s="10" t="s">
        <v>102</v>
      </c>
      <c r="AO50" s="10" t="s">
        <v>102</v>
      </c>
      <c r="AP50" s="10" t="s">
        <v>102</v>
      </c>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row>
    <row r="51" spans="1:97" s="172" customFormat="1" ht="60" x14ac:dyDescent="0.25">
      <c r="A51" s="34"/>
      <c r="B51" s="34"/>
      <c r="C51" s="34"/>
      <c r="D51" s="34"/>
      <c r="E51" s="74"/>
      <c r="F51" s="34"/>
      <c r="G51" s="34"/>
      <c r="H51" s="520"/>
      <c r="I51" s="520"/>
      <c r="J51" s="522"/>
      <c r="K51" s="75"/>
      <c r="L51" s="75"/>
      <c r="M51" s="522"/>
      <c r="N51" s="75"/>
      <c r="O51" s="75"/>
      <c r="P51" s="522"/>
      <c r="Q51" s="548"/>
      <c r="R51" s="75"/>
      <c r="S51" s="522"/>
      <c r="T51" s="37" t="s">
        <v>4201</v>
      </c>
      <c r="U51" s="37" t="s">
        <v>4170</v>
      </c>
      <c r="V51" s="77"/>
      <c r="W51" s="10"/>
      <c r="X51" s="10">
        <v>1</v>
      </c>
      <c r="Y51" s="10"/>
      <c r="Z51" s="552">
        <v>0</v>
      </c>
      <c r="AA51" s="34"/>
      <c r="AB51" s="10"/>
      <c r="AC51" s="539">
        <v>210</v>
      </c>
      <c r="AD51" s="10" t="s">
        <v>4200</v>
      </c>
      <c r="AE51" s="10"/>
      <c r="AF51" s="10"/>
      <c r="AG51" s="10"/>
      <c r="AH51" s="10"/>
      <c r="AI51" s="10"/>
      <c r="AJ51" s="10"/>
      <c r="AK51" s="10" t="s">
        <v>102</v>
      </c>
      <c r="AL51" s="10" t="s">
        <v>102</v>
      </c>
      <c r="AM51" s="10" t="s">
        <v>102</v>
      </c>
      <c r="AN51" s="10" t="s">
        <v>102</v>
      </c>
      <c r="AO51" s="10" t="s">
        <v>102</v>
      </c>
      <c r="AP51" s="10" t="s">
        <v>102</v>
      </c>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row>
    <row r="52" spans="1:97" ht="72" x14ac:dyDescent="0.25">
      <c r="A52" s="34" t="s">
        <v>275</v>
      </c>
      <c r="B52" s="34" t="s">
        <v>3989</v>
      </c>
      <c r="C52" s="34" t="s">
        <v>4038</v>
      </c>
      <c r="D52" s="34">
        <v>253210000</v>
      </c>
      <c r="E52" s="74" t="s">
        <v>4049</v>
      </c>
      <c r="F52" s="34">
        <v>211018001</v>
      </c>
      <c r="G52" s="34" t="s">
        <v>4050</v>
      </c>
      <c r="H52" s="520">
        <v>0</v>
      </c>
      <c r="I52" s="520">
        <v>4061928777</v>
      </c>
      <c r="J52" s="522">
        <f>H52+'[5]FORMATOS PRODUCTOS '!J26</f>
        <v>4061928777</v>
      </c>
      <c r="K52" s="75"/>
      <c r="L52" s="75"/>
      <c r="M52" s="522"/>
      <c r="N52" s="75"/>
      <c r="O52" s="75"/>
      <c r="P52" s="522"/>
      <c r="Q52" s="548">
        <v>4061928777</v>
      </c>
      <c r="R52" s="75"/>
      <c r="S52" s="522">
        <f>Q52+R52</f>
        <v>4061928777</v>
      </c>
      <c r="T52" s="37"/>
      <c r="U52" s="37"/>
      <c r="V52" s="77"/>
      <c r="W52" s="10"/>
      <c r="X52" s="10"/>
      <c r="Y52" s="10"/>
      <c r="Z52" s="539"/>
      <c r="AA52" s="34"/>
      <c r="AB52" s="10"/>
      <c r="AC52" s="539"/>
      <c r="AD52" s="10"/>
      <c r="AE52" s="10"/>
      <c r="AF52" s="10"/>
      <c r="AG52" s="10"/>
      <c r="AH52" s="10"/>
      <c r="AI52" s="10"/>
      <c r="AJ52" s="10"/>
      <c r="AK52" s="10"/>
      <c r="AL52" s="10"/>
      <c r="AM52" s="10"/>
      <c r="AN52" s="10"/>
      <c r="AO52" s="10"/>
      <c r="AP52" s="10"/>
    </row>
    <row r="53" spans="1:97" ht="75" x14ac:dyDescent="0.25">
      <c r="A53" s="34"/>
      <c r="B53" s="34"/>
      <c r="C53" s="34"/>
      <c r="D53" s="34"/>
      <c r="E53" s="74"/>
      <c r="F53" s="34"/>
      <c r="G53" s="34"/>
      <c r="H53" s="520"/>
      <c r="I53" s="520"/>
      <c r="J53" s="522"/>
      <c r="K53" s="75"/>
      <c r="L53" s="75"/>
      <c r="M53" s="522"/>
      <c r="N53" s="75"/>
      <c r="O53" s="75"/>
      <c r="P53" s="522"/>
      <c r="Q53" s="548"/>
      <c r="R53" s="75"/>
      <c r="S53" s="522"/>
      <c r="T53" s="37" t="s">
        <v>4202</v>
      </c>
      <c r="U53" s="37" t="s">
        <v>222</v>
      </c>
      <c r="V53" s="77">
        <v>20</v>
      </c>
      <c r="W53" s="10"/>
      <c r="X53" s="10"/>
      <c r="Y53" s="10">
        <v>20</v>
      </c>
      <c r="Z53" s="539">
        <v>20</v>
      </c>
      <c r="AA53" s="34">
        <v>120</v>
      </c>
      <c r="AB53" s="10">
        <v>120</v>
      </c>
      <c r="AC53" s="539">
        <v>120</v>
      </c>
      <c r="AD53" s="10" t="s">
        <v>4051</v>
      </c>
      <c r="AE53" s="10" t="s">
        <v>102</v>
      </c>
      <c r="AF53" s="10" t="s">
        <v>102</v>
      </c>
      <c r="AG53" s="10" t="s">
        <v>102</v>
      </c>
      <c r="AH53" s="10" t="s">
        <v>102</v>
      </c>
      <c r="AI53" s="10"/>
      <c r="AJ53" s="10"/>
      <c r="AK53" s="10"/>
      <c r="AL53" s="10"/>
      <c r="AM53" s="10"/>
      <c r="AN53" s="10"/>
      <c r="AO53" s="10"/>
      <c r="AP53" s="10"/>
    </row>
    <row r="54" spans="1:97" ht="72" x14ac:dyDescent="0.25">
      <c r="A54" s="34" t="s">
        <v>275</v>
      </c>
      <c r="B54" s="34" t="s">
        <v>3989</v>
      </c>
      <c r="C54" s="34" t="s">
        <v>4038</v>
      </c>
      <c r="D54" s="34">
        <v>253220000</v>
      </c>
      <c r="E54" s="74" t="s">
        <v>4053</v>
      </c>
      <c r="F54" s="34">
        <v>182278001</v>
      </c>
      <c r="G54" s="34" t="s">
        <v>4054</v>
      </c>
      <c r="H54" s="520">
        <v>10423750000</v>
      </c>
      <c r="I54" s="520">
        <f>H54+'[5]FORMATOS PRODUCTOS '!I27</f>
        <v>9134599440</v>
      </c>
      <c r="J54" s="522">
        <f>H54+'[5]FORMATOS PRODUCTOS '!J27</f>
        <v>9134599440</v>
      </c>
      <c r="K54" s="75">
        <v>16800000000</v>
      </c>
      <c r="L54" s="75">
        <f>K54</f>
        <v>16800000000</v>
      </c>
      <c r="M54" s="522">
        <f>K54</f>
        <v>16800000000</v>
      </c>
      <c r="N54" s="75">
        <f t="shared" ref="N54:P69" si="2">H54+K54</f>
        <v>27223750000</v>
      </c>
      <c r="O54" s="75">
        <f t="shared" si="2"/>
        <v>25934599440</v>
      </c>
      <c r="P54" s="522">
        <f t="shared" si="2"/>
        <v>25934599440</v>
      </c>
      <c r="Q54" s="548">
        <f>J54</f>
        <v>9134599440</v>
      </c>
      <c r="R54" s="520">
        <f>M54</f>
        <v>16800000000</v>
      </c>
      <c r="S54" s="522">
        <f t="shared" si="1"/>
        <v>25934599440</v>
      </c>
      <c r="T54" s="37">
        <v>0</v>
      </c>
      <c r="U54" s="37">
        <v>0</v>
      </c>
      <c r="V54" s="77">
        <v>0</v>
      </c>
      <c r="W54" s="10"/>
      <c r="X54" s="10"/>
      <c r="Y54" s="10"/>
      <c r="Z54" s="539"/>
      <c r="AA54" s="34">
        <v>0</v>
      </c>
      <c r="AB54" s="10"/>
      <c r="AC54" s="539"/>
      <c r="AD54" s="10"/>
      <c r="AE54" s="10">
        <v>0</v>
      </c>
      <c r="AF54" s="10">
        <v>0</v>
      </c>
      <c r="AG54" s="10">
        <v>0</v>
      </c>
      <c r="AH54" s="10">
        <v>0</v>
      </c>
      <c r="AI54" s="10">
        <v>0</v>
      </c>
      <c r="AJ54" s="10">
        <v>0</v>
      </c>
      <c r="AK54" s="10">
        <v>0</v>
      </c>
      <c r="AL54" s="10">
        <v>0</v>
      </c>
      <c r="AM54" s="10">
        <v>0</v>
      </c>
      <c r="AN54" s="10">
        <v>0</v>
      </c>
      <c r="AO54" s="10">
        <v>0</v>
      </c>
      <c r="AP54" s="10">
        <v>0</v>
      </c>
    </row>
    <row r="55" spans="1:97" ht="30" x14ac:dyDescent="0.25">
      <c r="A55" s="34">
        <v>0</v>
      </c>
      <c r="B55" s="34">
        <v>0</v>
      </c>
      <c r="C55" s="34">
        <v>0</v>
      </c>
      <c r="D55" s="34">
        <v>0</v>
      </c>
      <c r="E55" s="74">
        <v>0</v>
      </c>
      <c r="F55" s="34">
        <v>0</v>
      </c>
      <c r="G55" s="34">
        <v>0</v>
      </c>
      <c r="H55" s="520">
        <v>0</v>
      </c>
      <c r="I55" s="520">
        <v>0</v>
      </c>
      <c r="J55" s="522"/>
      <c r="K55" s="75"/>
      <c r="L55" s="75"/>
      <c r="M55" s="522"/>
      <c r="N55" s="75">
        <f t="shared" si="2"/>
        <v>0</v>
      </c>
      <c r="O55" s="75">
        <f t="shared" si="2"/>
        <v>0</v>
      </c>
      <c r="P55" s="522">
        <f t="shared" si="2"/>
        <v>0</v>
      </c>
      <c r="Q55" s="548"/>
      <c r="R55" s="75"/>
      <c r="S55" s="522">
        <f t="shared" si="1"/>
        <v>0</v>
      </c>
      <c r="T55" s="37" t="s">
        <v>4203</v>
      </c>
      <c r="U55" s="37" t="s">
        <v>222</v>
      </c>
      <c r="V55" s="77">
        <v>30</v>
      </c>
      <c r="W55" s="397">
        <v>0</v>
      </c>
      <c r="X55" s="10"/>
      <c r="Y55" s="397">
        <v>0</v>
      </c>
      <c r="Z55" s="539">
        <v>1</v>
      </c>
      <c r="AA55" s="34">
        <v>150</v>
      </c>
      <c r="AB55" s="10"/>
      <c r="AC55" s="539">
        <v>150</v>
      </c>
      <c r="AD55" s="10" t="s">
        <v>4204</v>
      </c>
      <c r="AE55" s="10">
        <v>0</v>
      </c>
      <c r="AF55" s="10">
        <v>0</v>
      </c>
      <c r="AG55" s="10">
        <v>0</v>
      </c>
      <c r="AH55" s="10">
        <v>0</v>
      </c>
      <c r="AI55" s="10">
        <v>0</v>
      </c>
      <c r="AJ55" s="10">
        <v>0</v>
      </c>
      <c r="AK55" s="10">
        <v>0</v>
      </c>
      <c r="AL55" s="10" t="s">
        <v>102</v>
      </c>
      <c r="AM55" s="10" t="s">
        <v>102</v>
      </c>
      <c r="AN55" s="10" t="s">
        <v>102</v>
      </c>
      <c r="AO55" s="10" t="s">
        <v>102</v>
      </c>
      <c r="AP55" s="10" t="s">
        <v>102</v>
      </c>
    </row>
    <row r="56" spans="1:97" ht="30" x14ac:dyDescent="0.25">
      <c r="A56" s="34">
        <v>0</v>
      </c>
      <c r="B56" s="34">
        <v>0</v>
      </c>
      <c r="C56" s="34">
        <v>0</v>
      </c>
      <c r="D56" s="34">
        <v>0</v>
      </c>
      <c r="E56" s="74">
        <v>0</v>
      </c>
      <c r="F56" s="34">
        <v>0</v>
      </c>
      <c r="G56" s="34">
        <v>0</v>
      </c>
      <c r="H56" s="520">
        <v>0</v>
      </c>
      <c r="I56" s="520">
        <v>0</v>
      </c>
      <c r="J56" s="522"/>
      <c r="K56" s="75"/>
      <c r="L56" s="75"/>
      <c r="M56" s="522"/>
      <c r="N56" s="75">
        <f t="shared" si="2"/>
        <v>0</v>
      </c>
      <c r="O56" s="75">
        <f t="shared" si="2"/>
        <v>0</v>
      </c>
      <c r="P56" s="522">
        <f t="shared" si="2"/>
        <v>0</v>
      </c>
      <c r="Q56" s="548"/>
      <c r="R56" s="75"/>
      <c r="S56" s="522">
        <f t="shared" si="1"/>
        <v>0</v>
      </c>
      <c r="T56" s="37" t="s">
        <v>4205</v>
      </c>
      <c r="U56" s="37" t="s">
        <v>222</v>
      </c>
      <c r="V56" s="77">
        <v>30</v>
      </c>
      <c r="W56" s="397">
        <v>0</v>
      </c>
      <c r="X56" s="10"/>
      <c r="Y56" s="397">
        <v>0</v>
      </c>
      <c r="Z56" s="539">
        <v>14</v>
      </c>
      <c r="AA56" s="34">
        <v>150</v>
      </c>
      <c r="AB56" s="10"/>
      <c r="AC56" s="539">
        <v>150</v>
      </c>
      <c r="AD56" s="10" t="s">
        <v>4204</v>
      </c>
      <c r="AE56" s="10">
        <v>0</v>
      </c>
      <c r="AF56" s="10">
        <v>0</v>
      </c>
      <c r="AG56" s="10">
        <v>0</v>
      </c>
      <c r="AH56" s="10">
        <v>0</v>
      </c>
      <c r="AI56" s="10">
        <v>0</v>
      </c>
      <c r="AJ56" s="10">
        <v>0</v>
      </c>
      <c r="AK56" s="10">
        <v>0</v>
      </c>
      <c r="AL56" s="10" t="s">
        <v>102</v>
      </c>
      <c r="AM56" s="10" t="s">
        <v>102</v>
      </c>
      <c r="AN56" s="10" t="s">
        <v>102</v>
      </c>
      <c r="AO56" s="10" t="s">
        <v>102</v>
      </c>
      <c r="AP56" s="10" t="s">
        <v>102</v>
      </c>
    </row>
    <row r="57" spans="1:97" ht="36" x14ac:dyDescent="0.25">
      <c r="A57" s="34">
        <v>0</v>
      </c>
      <c r="B57" s="34">
        <v>0</v>
      </c>
      <c r="C57" s="34">
        <v>0</v>
      </c>
      <c r="D57" s="34">
        <v>0</v>
      </c>
      <c r="E57" s="74">
        <v>0</v>
      </c>
      <c r="F57" s="34">
        <v>0</v>
      </c>
      <c r="G57" s="34">
        <v>0</v>
      </c>
      <c r="H57" s="520">
        <v>0</v>
      </c>
      <c r="I57" s="520">
        <v>0</v>
      </c>
      <c r="J57" s="522"/>
      <c r="K57" s="75"/>
      <c r="L57" s="75"/>
      <c r="M57" s="522"/>
      <c r="N57" s="75">
        <f t="shared" si="2"/>
        <v>0</v>
      </c>
      <c r="O57" s="75">
        <f t="shared" si="2"/>
        <v>0</v>
      </c>
      <c r="P57" s="522">
        <f t="shared" si="2"/>
        <v>0</v>
      </c>
      <c r="Q57" s="548"/>
      <c r="R57" s="75"/>
      <c r="S57" s="522">
        <f t="shared" si="1"/>
        <v>0</v>
      </c>
      <c r="T57" s="37" t="s">
        <v>4206</v>
      </c>
      <c r="U57" s="37" t="s">
        <v>222</v>
      </c>
      <c r="V57" s="77">
        <v>30</v>
      </c>
      <c r="W57" s="397">
        <v>0</v>
      </c>
      <c r="X57" s="10"/>
      <c r="Y57" s="397">
        <v>0</v>
      </c>
      <c r="Z57" s="539">
        <v>19</v>
      </c>
      <c r="AA57" s="34">
        <v>150</v>
      </c>
      <c r="AB57" s="10"/>
      <c r="AC57" s="539">
        <v>150</v>
      </c>
      <c r="AD57" s="10" t="s">
        <v>4204</v>
      </c>
      <c r="AE57" s="10">
        <v>0</v>
      </c>
      <c r="AF57" s="10">
        <v>0</v>
      </c>
      <c r="AG57" s="10">
        <v>0</v>
      </c>
      <c r="AH57" s="10">
        <v>0</v>
      </c>
      <c r="AI57" s="10">
        <v>0</v>
      </c>
      <c r="AJ57" s="10">
        <v>0</v>
      </c>
      <c r="AK57" s="10">
        <v>0</v>
      </c>
      <c r="AL57" s="10" t="s">
        <v>102</v>
      </c>
      <c r="AM57" s="10" t="s">
        <v>102</v>
      </c>
      <c r="AN57" s="10" t="s">
        <v>102</v>
      </c>
      <c r="AO57" s="10" t="s">
        <v>102</v>
      </c>
      <c r="AP57" s="10" t="s">
        <v>102</v>
      </c>
    </row>
    <row r="58" spans="1:97" ht="30" x14ac:dyDescent="0.25">
      <c r="A58" s="34">
        <v>0</v>
      </c>
      <c r="B58" s="34">
        <v>0</v>
      </c>
      <c r="C58" s="34">
        <v>0</v>
      </c>
      <c r="D58" s="34">
        <v>0</v>
      </c>
      <c r="E58" s="74">
        <v>0</v>
      </c>
      <c r="F58" s="34">
        <v>0</v>
      </c>
      <c r="G58" s="34">
        <v>0</v>
      </c>
      <c r="H58" s="520">
        <v>0</v>
      </c>
      <c r="I58" s="520">
        <v>0</v>
      </c>
      <c r="J58" s="522"/>
      <c r="K58" s="75"/>
      <c r="L58" s="75"/>
      <c r="M58" s="522"/>
      <c r="N58" s="75">
        <f t="shared" si="2"/>
        <v>0</v>
      </c>
      <c r="O58" s="75">
        <f t="shared" si="2"/>
        <v>0</v>
      </c>
      <c r="P58" s="522">
        <f t="shared" si="2"/>
        <v>0</v>
      </c>
      <c r="Q58" s="548"/>
      <c r="R58" s="75"/>
      <c r="S58" s="522">
        <f t="shared" si="1"/>
        <v>0</v>
      </c>
      <c r="T58" s="37" t="s">
        <v>4207</v>
      </c>
      <c r="U58" s="37" t="s">
        <v>222</v>
      </c>
      <c r="V58" s="77">
        <v>95</v>
      </c>
      <c r="W58" s="397">
        <v>0</v>
      </c>
      <c r="X58" s="10"/>
      <c r="Y58" s="397">
        <v>0</v>
      </c>
      <c r="Z58" s="539">
        <v>50</v>
      </c>
      <c r="AA58" s="34">
        <v>330</v>
      </c>
      <c r="AB58" s="10"/>
      <c r="AC58" s="539">
        <f>11*30</f>
        <v>330</v>
      </c>
      <c r="AD58" s="10" t="s">
        <v>4204</v>
      </c>
      <c r="AE58" s="10">
        <v>0</v>
      </c>
      <c r="AF58" s="10" t="s">
        <v>102</v>
      </c>
      <c r="AG58" s="10" t="s">
        <v>102</v>
      </c>
      <c r="AH58" s="10" t="s">
        <v>102</v>
      </c>
      <c r="AI58" s="10" t="s">
        <v>102</v>
      </c>
      <c r="AJ58" s="10" t="s">
        <v>102</v>
      </c>
      <c r="AK58" s="10" t="s">
        <v>102</v>
      </c>
      <c r="AL58" s="10" t="s">
        <v>102</v>
      </c>
      <c r="AM58" s="10" t="s">
        <v>102</v>
      </c>
      <c r="AN58" s="10" t="s">
        <v>102</v>
      </c>
      <c r="AO58" s="10" t="s">
        <v>102</v>
      </c>
      <c r="AP58" s="10" t="s">
        <v>102</v>
      </c>
    </row>
    <row r="59" spans="1:97" s="172" customFormat="1" ht="45" x14ac:dyDescent="0.25">
      <c r="A59" s="34"/>
      <c r="B59" s="34"/>
      <c r="C59" s="34"/>
      <c r="D59" s="34"/>
      <c r="E59" s="74"/>
      <c r="F59" s="34"/>
      <c r="G59" s="34"/>
      <c r="H59" s="520"/>
      <c r="I59" s="520"/>
      <c r="J59" s="522"/>
      <c r="K59" s="75"/>
      <c r="L59" s="75"/>
      <c r="M59" s="522"/>
      <c r="N59" s="75"/>
      <c r="O59" s="75"/>
      <c r="P59" s="522"/>
      <c r="Q59" s="548"/>
      <c r="R59" s="75"/>
      <c r="S59" s="522"/>
      <c r="T59" s="37" t="s">
        <v>4208</v>
      </c>
      <c r="U59" s="37" t="s">
        <v>2689</v>
      </c>
      <c r="V59" s="77"/>
      <c r="W59" s="397"/>
      <c r="X59" s="10"/>
      <c r="Y59" s="14">
        <v>1</v>
      </c>
      <c r="Z59" s="539">
        <v>2</v>
      </c>
      <c r="AA59" s="34"/>
      <c r="AB59" s="10"/>
      <c r="AC59" s="539">
        <v>360</v>
      </c>
      <c r="AD59" s="10" t="s">
        <v>4056</v>
      </c>
      <c r="AE59" s="10" t="s">
        <v>102</v>
      </c>
      <c r="AF59" s="10" t="s">
        <v>102</v>
      </c>
      <c r="AG59" s="10" t="s">
        <v>102</v>
      </c>
      <c r="AH59" s="10" t="s">
        <v>102</v>
      </c>
      <c r="AI59" s="10" t="s">
        <v>102</v>
      </c>
      <c r="AJ59" s="10" t="s">
        <v>102</v>
      </c>
      <c r="AK59" s="10" t="s">
        <v>102</v>
      </c>
      <c r="AL59" s="10" t="s">
        <v>102</v>
      </c>
      <c r="AM59" s="10" t="s">
        <v>102</v>
      </c>
      <c r="AN59" s="10" t="s">
        <v>102</v>
      </c>
      <c r="AO59" s="10" t="s">
        <v>102</v>
      </c>
      <c r="AP59" s="10" t="s">
        <v>102</v>
      </c>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row>
    <row r="60" spans="1:97" ht="72" x14ac:dyDescent="0.25">
      <c r="A60" s="34" t="s">
        <v>275</v>
      </c>
      <c r="B60" s="34" t="s">
        <v>3989</v>
      </c>
      <c r="C60" s="34" t="s">
        <v>4038</v>
      </c>
      <c r="D60" s="34">
        <v>253220000</v>
      </c>
      <c r="E60" s="74" t="s">
        <v>4059</v>
      </c>
      <c r="F60" s="34">
        <v>182317001</v>
      </c>
      <c r="G60" s="34" t="s">
        <v>4060</v>
      </c>
      <c r="H60" s="520">
        <v>4000000000</v>
      </c>
      <c r="I60" s="520">
        <f>H60+'[5]FORMATOS PRODUCTOS '!I29</f>
        <v>4000000000</v>
      </c>
      <c r="J60" s="522">
        <f>H60+'[5]FORMATOS PRODUCTOS '!J29</f>
        <v>2899719473</v>
      </c>
      <c r="K60" s="75"/>
      <c r="L60" s="75"/>
      <c r="M60" s="522"/>
      <c r="N60" s="75">
        <f t="shared" si="2"/>
        <v>4000000000</v>
      </c>
      <c r="O60" s="75">
        <f t="shared" si="2"/>
        <v>4000000000</v>
      </c>
      <c r="P60" s="522">
        <f t="shared" si="2"/>
        <v>2899719473</v>
      </c>
      <c r="Q60" s="548">
        <f>P60</f>
        <v>2899719473</v>
      </c>
      <c r="R60" s="529">
        <v>0</v>
      </c>
      <c r="S60" s="522">
        <f t="shared" si="1"/>
        <v>2899719473</v>
      </c>
      <c r="T60" s="37">
        <v>0</v>
      </c>
      <c r="U60" s="37">
        <v>0</v>
      </c>
      <c r="V60" s="77">
        <v>0</v>
      </c>
      <c r="W60" s="10"/>
      <c r="X60" s="10"/>
      <c r="Y60" s="10"/>
      <c r="Z60" s="539"/>
      <c r="AA60" s="34">
        <v>0</v>
      </c>
      <c r="AB60" s="10"/>
      <c r="AC60" s="539"/>
      <c r="AD60" s="10"/>
      <c r="AE60" s="10">
        <v>0</v>
      </c>
      <c r="AF60" s="10">
        <v>0</v>
      </c>
      <c r="AG60" s="10">
        <v>0</v>
      </c>
      <c r="AH60" s="10">
        <v>0</v>
      </c>
      <c r="AI60" s="10">
        <v>0</v>
      </c>
      <c r="AJ60" s="10">
        <v>0</v>
      </c>
      <c r="AK60" s="10">
        <v>0</v>
      </c>
      <c r="AL60" s="10">
        <v>0</v>
      </c>
      <c r="AM60" s="10">
        <v>0</v>
      </c>
      <c r="AN60" s="10">
        <v>0</v>
      </c>
      <c r="AO60" s="10">
        <v>0</v>
      </c>
      <c r="AP60" s="10">
        <v>0</v>
      </c>
    </row>
    <row r="61" spans="1:97" ht="43.5" customHeight="1" x14ac:dyDescent="0.25">
      <c r="A61" s="34">
        <v>0</v>
      </c>
      <c r="B61" s="34">
        <v>0</v>
      </c>
      <c r="C61" s="34">
        <v>0</v>
      </c>
      <c r="D61" s="34">
        <v>0</v>
      </c>
      <c r="E61" s="74">
        <v>0</v>
      </c>
      <c r="F61" s="34">
        <v>0</v>
      </c>
      <c r="G61" s="34">
        <v>0</v>
      </c>
      <c r="H61" s="520">
        <v>0</v>
      </c>
      <c r="I61" s="520"/>
      <c r="J61" s="522"/>
      <c r="K61" s="75"/>
      <c r="L61" s="75"/>
      <c r="M61" s="522"/>
      <c r="N61" s="75">
        <f t="shared" si="2"/>
        <v>0</v>
      </c>
      <c r="O61" s="75">
        <f t="shared" si="2"/>
        <v>0</v>
      </c>
      <c r="P61" s="522">
        <f t="shared" si="2"/>
        <v>0</v>
      </c>
      <c r="Q61" s="548"/>
      <c r="R61" s="75"/>
      <c r="S61" s="522">
        <f t="shared" si="1"/>
        <v>0</v>
      </c>
      <c r="T61" s="37" t="s">
        <v>4209</v>
      </c>
      <c r="U61" s="37" t="s">
        <v>222</v>
      </c>
      <c r="V61" s="77">
        <v>100</v>
      </c>
      <c r="W61" s="397">
        <v>0</v>
      </c>
      <c r="X61" s="10"/>
      <c r="Y61" s="397">
        <v>0</v>
      </c>
      <c r="Z61" s="539">
        <v>3</v>
      </c>
      <c r="AA61" s="34">
        <v>240</v>
      </c>
      <c r="AB61" s="10"/>
      <c r="AC61" s="539">
        <f>30*8</f>
        <v>240</v>
      </c>
      <c r="AD61" s="553" t="s">
        <v>4067</v>
      </c>
      <c r="AE61" s="10">
        <v>0</v>
      </c>
      <c r="AF61" s="10">
        <v>0</v>
      </c>
      <c r="AG61" s="10">
        <v>0</v>
      </c>
      <c r="AH61" s="10">
        <v>0</v>
      </c>
      <c r="AI61" s="10" t="s">
        <v>102</v>
      </c>
      <c r="AJ61" s="10" t="s">
        <v>102</v>
      </c>
      <c r="AK61" s="10" t="s">
        <v>102</v>
      </c>
      <c r="AL61" s="10" t="s">
        <v>102</v>
      </c>
      <c r="AM61" s="10" t="s">
        <v>102</v>
      </c>
      <c r="AN61" s="10" t="s">
        <v>102</v>
      </c>
      <c r="AO61" s="10" t="s">
        <v>102</v>
      </c>
      <c r="AP61" s="10" t="s">
        <v>102</v>
      </c>
    </row>
    <row r="62" spans="1:97" ht="72" x14ac:dyDescent="0.25">
      <c r="A62" s="34">
        <v>0</v>
      </c>
      <c r="B62" s="34">
        <v>0</v>
      </c>
      <c r="C62" s="34">
        <v>0</v>
      </c>
      <c r="D62" s="34">
        <v>0</v>
      </c>
      <c r="E62" s="74">
        <v>0</v>
      </c>
      <c r="F62" s="34">
        <v>0</v>
      </c>
      <c r="G62" s="34">
        <v>0</v>
      </c>
      <c r="H62" s="520">
        <v>0</v>
      </c>
      <c r="I62" s="520">
        <v>0</v>
      </c>
      <c r="J62" s="522"/>
      <c r="K62" s="75"/>
      <c r="L62" s="75"/>
      <c r="M62" s="522"/>
      <c r="N62" s="75">
        <f t="shared" si="2"/>
        <v>0</v>
      </c>
      <c r="O62" s="75">
        <f t="shared" si="2"/>
        <v>0</v>
      </c>
      <c r="P62" s="522">
        <f t="shared" si="2"/>
        <v>0</v>
      </c>
      <c r="Q62" s="548"/>
      <c r="R62" s="75"/>
      <c r="S62" s="522">
        <f t="shared" si="1"/>
        <v>0</v>
      </c>
      <c r="T62" s="37" t="s">
        <v>4210</v>
      </c>
      <c r="U62" s="37" t="s">
        <v>222</v>
      </c>
      <c r="V62" s="527">
        <v>0.01</v>
      </c>
      <c r="W62" s="397">
        <v>0</v>
      </c>
      <c r="X62" s="10"/>
      <c r="Y62" s="397">
        <v>0</v>
      </c>
      <c r="Z62" s="552">
        <v>0</v>
      </c>
      <c r="AA62" s="34">
        <v>120</v>
      </c>
      <c r="AB62" s="10"/>
      <c r="AC62" s="539">
        <v>330</v>
      </c>
      <c r="AD62" s="18" t="s">
        <v>4062</v>
      </c>
      <c r="AE62" s="10">
        <v>0</v>
      </c>
      <c r="AF62" s="10" t="s">
        <v>102</v>
      </c>
      <c r="AG62" s="10" t="s">
        <v>102</v>
      </c>
      <c r="AH62" s="10" t="s">
        <v>102</v>
      </c>
      <c r="AI62" s="10" t="s">
        <v>102</v>
      </c>
      <c r="AJ62" s="10" t="s">
        <v>102</v>
      </c>
      <c r="AK62" s="10" t="s">
        <v>102</v>
      </c>
      <c r="AL62" s="10" t="s">
        <v>102</v>
      </c>
      <c r="AM62" s="10" t="s">
        <v>102</v>
      </c>
      <c r="AN62" s="10" t="s">
        <v>102</v>
      </c>
      <c r="AO62" s="10" t="s">
        <v>102</v>
      </c>
      <c r="AP62" s="10" t="s">
        <v>102</v>
      </c>
    </row>
    <row r="63" spans="1:97" ht="51" x14ac:dyDescent="0.25">
      <c r="A63" s="34">
        <v>0</v>
      </c>
      <c r="B63" s="34">
        <v>0</v>
      </c>
      <c r="C63" s="34">
        <v>0</v>
      </c>
      <c r="D63" s="34">
        <v>0</v>
      </c>
      <c r="E63" s="74">
        <v>0</v>
      </c>
      <c r="F63" s="34">
        <v>0</v>
      </c>
      <c r="G63" s="34">
        <v>0</v>
      </c>
      <c r="H63" s="520">
        <v>0</v>
      </c>
      <c r="I63" s="520">
        <v>0</v>
      </c>
      <c r="J63" s="522"/>
      <c r="K63" s="75"/>
      <c r="L63" s="75"/>
      <c r="M63" s="522"/>
      <c r="N63" s="75">
        <f t="shared" si="2"/>
        <v>0</v>
      </c>
      <c r="O63" s="75">
        <f t="shared" si="2"/>
        <v>0</v>
      </c>
      <c r="P63" s="522">
        <f t="shared" si="2"/>
        <v>0</v>
      </c>
      <c r="Q63" s="548"/>
      <c r="R63" s="75"/>
      <c r="S63" s="522">
        <f t="shared" si="1"/>
        <v>0</v>
      </c>
      <c r="T63" s="37" t="s">
        <v>4211</v>
      </c>
      <c r="U63" s="37" t="s">
        <v>2897</v>
      </c>
      <c r="V63" s="77">
        <v>48.4</v>
      </c>
      <c r="W63" s="397">
        <v>52.4</v>
      </c>
      <c r="X63" s="10">
        <v>52.4</v>
      </c>
      <c r="Y63" s="10">
        <v>52.4</v>
      </c>
      <c r="Z63" s="554">
        <v>52.4</v>
      </c>
      <c r="AA63" s="34">
        <v>300</v>
      </c>
      <c r="AB63" s="10"/>
      <c r="AC63" s="539">
        <v>210</v>
      </c>
      <c r="AD63" s="49" t="s">
        <v>4065</v>
      </c>
      <c r="AE63" s="10" t="s">
        <v>102</v>
      </c>
      <c r="AF63" s="10" t="s">
        <v>102</v>
      </c>
      <c r="AG63" s="10" t="s">
        <v>102</v>
      </c>
      <c r="AH63" s="10" t="s">
        <v>102</v>
      </c>
      <c r="AI63" s="10" t="s">
        <v>102</v>
      </c>
      <c r="AJ63" s="10" t="s">
        <v>102</v>
      </c>
      <c r="AK63" s="10" t="s">
        <v>102</v>
      </c>
      <c r="AL63" s="10" t="s">
        <v>102</v>
      </c>
      <c r="AM63" s="10"/>
      <c r="AN63" s="10"/>
      <c r="AO63" s="10"/>
      <c r="AP63" s="10"/>
    </row>
    <row r="64" spans="1:97" ht="72" x14ac:dyDescent="0.25">
      <c r="A64" s="34" t="s">
        <v>275</v>
      </c>
      <c r="B64" s="34" t="s">
        <v>3989</v>
      </c>
      <c r="C64" s="34" t="s">
        <v>4038</v>
      </c>
      <c r="D64" s="34">
        <v>253220000</v>
      </c>
      <c r="E64" s="74" t="s">
        <v>4068</v>
      </c>
      <c r="F64" s="34">
        <v>182259001</v>
      </c>
      <c r="G64" s="34" t="s">
        <v>4069</v>
      </c>
      <c r="H64" s="520">
        <v>10000000000</v>
      </c>
      <c r="I64" s="520">
        <f>H64+'[5]FORMATOS PRODUCTOS '!I32</f>
        <v>46000000000</v>
      </c>
      <c r="J64" s="522">
        <f>H64+'[5]FORMATOS PRODUCTOS '!J32</f>
        <v>46000000000</v>
      </c>
      <c r="K64" s="520">
        <f>3300000000+7000000000+5000000000</f>
        <v>15300000000</v>
      </c>
      <c r="L64" s="75">
        <f>3150000000+8000000000</f>
        <v>11150000000</v>
      </c>
      <c r="M64" s="522">
        <f>L64+5684339680</f>
        <v>16834339680</v>
      </c>
      <c r="N64" s="75">
        <f t="shared" si="2"/>
        <v>25300000000</v>
      </c>
      <c r="O64" s="75">
        <f t="shared" si="2"/>
        <v>57150000000</v>
      </c>
      <c r="P64" s="522">
        <f>J64+M64</f>
        <v>62834339680</v>
      </c>
      <c r="Q64" s="548">
        <f>J64</f>
        <v>46000000000</v>
      </c>
      <c r="R64" s="520">
        <f>P64</f>
        <v>62834339680</v>
      </c>
      <c r="S64" s="522">
        <f t="shared" si="1"/>
        <v>108834339680</v>
      </c>
      <c r="T64" s="37">
        <v>0</v>
      </c>
      <c r="U64" s="37">
        <v>0</v>
      </c>
      <c r="V64" s="77">
        <v>0</v>
      </c>
      <c r="W64" s="10"/>
      <c r="X64" s="10"/>
      <c r="Y64" s="10"/>
      <c r="Z64" s="539"/>
      <c r="AA64" s="34">
        <v>0</v>
      </c>
      <c r="AB64" s="10"/>
      <c r="AC64" s="539"/>
      <c r="AD64" s="10"/>
      <c r="AE64" s="10">
        <v>0</v>
      </c>
      <c r="AF64" s="10">
        <v>0</v>
      </c>
      <c r="AG64" s="10">
        <v>0</v>
      </c>
      <c r="AH64" s="10">
        <v>0</v>
      </c>
      <c r="AI64" s="10">
        <v>0</v>
      </c>
      <c r="AJ64" s="10">
        <v>0</v>
      </c>
      <c r="AK64" s="10">
        <v>0</v>
      </c>
      <c r="AL64" s="10">
        <v>0</v>
      </c>
      <c r="AM64" s="10">
        <v>0</v>
      </c>
      <c r="AN64" s="10">
        <v>0</v>
      </c>
      <c r="AO64" s="10">
        <v>0</v>
      </c>
      <c r="AP64" s="10">
        <v>0</v>
      </c>
    </row>
    <row r="65" spans="1:97" ht="60" x14ac:dyDescent="0.25">
      <c r="A65" s="34">
        <v>0</v>
      </c>
      <c r="B65" s="34">
        <v>0</v>
      </c>
      <c r="C65" s="34">
        <v>0</v>
      </c>
      <c r="D65" s="34">
        <v>0</v>
      </c>
      <c r="E65" s="74">
        <v>0</v>
      </c>
      <c r="F65" s="34">
        <v>0</v>
      </c>
      <c r="G65" s="34">
        <v>0</v>
      </c>
      <c r="H65" s="520">
        <v>0</v>
      </c>
      <c r="I65" s="520">
        <v>0</v>
      </c>
      <c r="J65" s="522"/>
      <c r="K65" s="75"/>
      <c r="L65" s="75"/>
      <c r="M65" s="522"/>
      <c r="N65" s="75">
        <f t="shared" si="2"/>
        <v>0</v>
      </c>
      <c r="O65" s="75">
        <f t="shared" si="2"/>
        <v>0</v>
      </c>
      <c r="P65" s="522">
        <f t="shared" si="2"/>
        <v>0</v>
      </c>
      <c r="Q65" s="548"/>
      <c r="R65" s="75"/>
      <c r="S65" s="522">
        <f t="shared" si="1"/>
        <v>0</v>
      </c>
      <c r="T65" s="37" t="s">
        <v>4212</v>
      </c>
      <c r="U65" s="37" t="s">
        <v>222</v>
      </c>
      <c r="V65" s="527">
        <v>0.2</v>
      </c>
      <c r="W65" s="397">
        <v>0</v>
      </c>
      <c r="X65" s="84">
        <v>0.2</v>
      </c>
      <c r="Y65" s="397">
        <v>0</v>
      </c>
      <c r="Z65" s="537">
        <v>0.1</v>
      </c>
      <c r="AA65" s="34">
        <v>270</v>
      </c>
      <c r="AB65" s="10"/>
      <c r="AC65" s="539">
        <v>150</v>
      </c>
      <c r="AD65" s="10" t="s">
        <v>4213</v>
      </c>
      <c r="AE65" s="10">
        <v>0</v>
      </c>
      <c r="AF65" s="10">
        <v>0</v>
      </c>
      <c r="AG65" s="10">
        <v>0</v>
      </c>
      <c r="AH65" s="10"/>
      <c r="AI65" s="10"/>
      <c r="AJ65" s="10"/>
      <c r="AK65" s="10"/>
      <c r="AL65" s="10" t="s">
        <v>102</v>
      </c>
      <c r="AM65" s="10" t="s">
        <v>102</v>
      </c>
      <c r="AN65" s="10" t="s">
        <v>102</v>
      </c>
      <c r="AO65" s="10" t="s">
        <v>102</v>
      </c>
      <c r="AP65" s="10" t="s">
        <v>102</v>
      </c>
    </row>
    <row r="66" spans="1:97" ht="45" customHeight="1" x14ac:dyDescent="0.25">
      <c r="A66" s="34">
        <v>0</v>
      </c>
      <c r="B66" s="34">
        <v>0</v>
      </c>
      <c r="C66" s="34">
        <v>0</v>
      </c>
      <c r="D66" s="34">
        <v>0</v>
      </c>
      <c r="E66" s="74">
        <v>0</v>
      </c>
      <c r="F66" s="34">
        <v>0</v>
      </c>
      <c r="G66" s="34">
        <v>0</v>
      </c>
      <c r="H66" s="520">
        <v>0</v>
      </c>
      <c r="I66" s="520">
        <v>0</v>
      </c>
      <c r="J66" s="522"/>
      <c r="K66" s="75"/>
      <c r="L66" s="75"/>
      <c r="M66" s="522"/>
      <c r="N66" s="75">
        <f t="shared" si="2"/>
        <v>0</v>
      </c>
      <c r="O66" s="75">
        <f t="shared" si="2"/>
        <v>0</v>
      </c>
      <c r="P66" s="522">
        <f t="shared" si="2"/>
        <v>0</v>
      </c>
      <c r="Q66" s="548"/>
      <c r="R66" s="75"/>
      <c r="S66" s="522">
        <f t="shared" si="1"/>
        <v>0</v>
      </c>
      <c r="T66" s="37" t="s">
        <v>4214</v>
      </c>
      <c r="U66" s="37" t="s">
        <v>4215</v>
      </c>
      <c r="V66" s="77">
        <v>4</v>
      </c>
      <c r="W66" s="81">
        <v>4</v>
      </c>
      <c r="X66" s="10"/>
      <c r="Y66" s="81">
        <v>5</v>
      </c>
      <c r="Z66" s="539">
        <v>2</v>
      </c>
      <c r="AA66" s="34">
        <v>180</v>
      </c>
      <c r="AB66" s="10"/>
      <c r="AC66" s="539">
        <v>360</v>
      </c>
      <c r="AD66" s="10" t="s">
        <v>4216</v>
      </c>
      <c r="AE66" s="10" t="s">
        <v>102</v>
      </c>
      <c r="AF66" s="10" t="s">
        <v>102</v>
      </c>
      <c r="AG66" s="10" t="s">
        <v>102</v>
      </c>
      <c r="AH66" s="10" t="s">
        <v>102</v>
      </c>
      <c r="AI66" s="10" t="s">
        <v>102</v>
      </c>
      <c r="AJ66" s="10" t="s">
        <v>102</v>
      </c>
      <c r="AK66" s="10" t="s">
        <v>102</v>
      </c>
      <c r="AL66" s="10" t="s">
        <v>102</v>
      </c>
      <c r="AM66" s="10" t="s">
        <v>102</v>
      </c>
      <c r="AN66" s="10" t="s">
        <v>102</v>
      </c>
      <c r="AO66" s="10" t="s">
        <v>102</v>
      </c>
      <c r="AP66" s="10" t="s">
        <v>102</v>
      </c>
    </row>
    <row r="67" spans="1:97" x14ac:dyDescent="0.25">
      <c r="A67" s="34">
        <v>0</v>
      </c>
      <c r="B67" s="34">
        <v>0</v>
      </c>
      <c r="C67" s="34">
        <v>0</v>
      </c>
      <c r="D67" s="34">
        <v>0</v>
      </c>
      <c r="E67" s="74">
        <v>0</v>
      </c>
      <c r="F67" s="34">
        <v>0</v>
      </c>
      <c r="G67" s="34">
        <v>0</v>
      </c>
      <c r="H67" s="520">
        <v>0</v>
      </c>
      <c r="I67" s="520">
        <v>0</v>
      </c>
      <c r="J67" s="522"/>
      <c r="K67" s="75"/>
      <c r="L67" s="75"/>
      <c r="M67" s="522"/>
      <c r="N67" s="75">
        <f t="shared" si="2"/>
        <v>0</v>
      </c>
      <c r="O67" s="75">
        <f t="shared" si="2"/>
        <v>0</v>
      </c>
      <c r="P67" s="522">
        <f t="shared" si="2"/>
        <v>0</v>
      </c>
      <c r="Q67" s="548"/>
      <c r="R67" s="75"/>
      <c r="S67" s="522">
        <f t="shared" si="1"/>
        <v>0</v>
      </c>
      <c r="T67" s="37">
        <v>0</v>
      </c>
      <c r="U67" s="37">
        <v>0</v>
      </c>
      <c r="V67" s="77">
        <v>0</v>
      </c>
      <c r="W67" s="10"/>
      <c r="X67" s="10"/>
      <c r="Y67" s="10"/>
      <c r="Z67" s="539"/>
      <c r="AA67" s="34">
        <v>0</v>
      </c>
      <c r="AB67" s="10"/>
      <c r="AC67" s="539"/>
      <c r="AD67" s="10"/>
      <c r="AE67" s="10">
        <v>0</v>
      </c>
      <c r="AF67" s="10">
        <v>0</v>
      </c>
      <c r="AG67" s="10">
        <v>0</v>
      </c>
      <c r="AH67" s="10">
        <v>0</v>
      </c>
      <c r="AI67" s="10">
        <v>0</v>
      </c>
      <c r="AJ67" s="10">
        <v>0</v>
      </c>
      <c r="AK67" s="10">
        <v>0</v>
      </c>
      <c r="AL67" s="10">
        <v>0</v>
      </c>
      <c r="AM67" s="10">
        <v>0</v>
      </c>
      <c r="AN67" s="10">
        <v>0</v>
      </c>
      <c r="AO67" s="10">
        <v>0</v>
      </c>
      <c r="AP67" s="10">
        <v>0</v>
      </c>
    </row>
    <row r="68" spans="1:97" ht="36" x14ac:dyDescent="0.25">
      <c r="A68" s="34">
        <v>0</v>
      </c>
      <c r="B68" s="34">
        <v>0</v>
      </c>
      <c r="C68" s="34">
        <v>0</v>
      </c>
      <c r="D68" s="34">
        <v>0</v>
      </c>
      <c r="E68" s="74" t="s">
        <v>4074</v>
      </c>
      <c r="F68" s="34">
        <v>0</v>
      </c>
      <c r="G68" s="34" t="s">
        <v>4075</v>
      </c>
      <c r="H68" s="520" t="s">
        <v>4217</v>
      </c>
      <c r="I68" s="520"/>
      <c r="J68" s="522"/>
      <c r="K68" s="75"/>
      <c r="L68" s="75"/>
      <c r="M68" s="522"/>
      <c r="N68" s="75">
        <v>0</v>
      </c>
      <c r="O68" s="75">
        <f t="shared" si="2"/>
        <v>0</v>
      </c>
      <c r="P68" s="522">
        <f t="shared" si="2"/>
        <v>0</v>
      </c>
      <c r="Q68" s="546">
        <v>0</v>
      </c>
      <c r="R68" s="75"/>
      <c r="S68" s="522">
        <f t="shared" si="1"/>
        <v>0</v>
      </c>
      <c r="T68" s="37">
        <v>0</v>
      </c>
      <c r="U68" s="37">
        <v>0</v>
      </c>
      <c r="V68" s="77">
        <v>0</v>
      </c>
      <c r="W68" s="10"/>
      <c r="X68" s="10"/>
      <c r="Y68" s="10"/>
      <c r="Z68" s="539"/>
      <c r="AA68" s="34">
        <v>0</v>
      </c>
      <c r="AB68" s="10"/>
      <c r="AC68" s="539"/>
      <c r="AD68" s="10"/>
      <c r="AE68" s="10">
        <v>0</v>
      </c>
      <c r="AF68" s="10">
        <v>0</v>
      </c>
      <c r="AG68" s="10">
        <v>0</v>
      </c>
      <c r="AH68" s="10">
        <v>0</v>
      </c>
      <c r="AI68" s="10">
        <v>0</v>
      </c>
      <c r="AJ68" s="10">
        <v>0</v>
      </c>
      <c r="AK68" s="10">
        <v>0</v>
      </c>
      <c r="AL68" s="10">
        <v>0</v>
      </c>
      <c r="AM68" s="10">
        <v>0</v>
      </c>
      <c r="AN68" s="10">
        <v>0</v>
      </c>
      <c r="AO68" s="10">
        <v>0</v>
      </c>
      <c r="AP68" s="10">
        <v>0</v>
      </c>
    </row>
    <row r="69" spans="1:97" ht="25.5" x14ac:dyDescent="0.25">
      <c r="A69" s="34">
        <v>0</v>
      </c>
      <c r="B69" s="34">
        <v>0</v>
      </c>
      <c r="C69" s="34">
        <v>0</v>
      </c>
      <c r="D69" s="34">
        <v>0</v>
      </c>
      <c r="E69" s="74">
        <v>0</v>
      </c>
      <c r="F69" s="34">
        <v>0</v>
      </c>
      <c r="G69" s="34">
        <v>0</v>
      </c>
      <c r="H69" s="520">
        <v>0</v>
      </c>
      <c r="I69" s="520">
        <v>0</v>
      </c>
      <c r="J69" s="522"/>
      <c r="K69" s="75"/>
      <c r="L69" s="75"/>
      <c r="M69" s="522"/>
      <c r="N69" s="75">
        <f t="shared" ref="N69:P92" si="3">H69+K69</f>
        <v>0</v>
      </c>
      <c r="O69" s="75">
        <f t="shared" si="2"/>
        <v>0</v>
      </c>
      <c r="P69" s="522">
        <f t="shared" si="2"/>
        <v>0</v>
      </c>
      <c r="Q69" s="548"/>
      <c r="R69" s="75"/>
      <c r="S69" s="522">
        <f t="shared" si="1"/>
        <v>0</v>
      </c>
      <c r="T69" s="37" t="s">
        <v>4218</v>
      </c>
      <c r="U69" s="37" t="s">
        <v>222</v>
      </c>
      <c r="V69" s="77">
        <v>100</v>
      </c>
      <c r="W69" s="10">
        <v>100</v>
      </c>
      <c r="X69" s="10"/>
      <c r="Y69" s="10">
        <v>100</v>
      </c>
      <c r="Z69" s="555">
        <v>100</v>
      </c>
      <c r="AA69" s="34">
        <v>60</v>
      </c>
      <c r="AB69" s="10"/>
      <c r="AC69" s="552">
        <v>60</v>
      </c>
      <c r="AD69" s="556" t="s">
        <v>4219</v>
      </c>
      <c r="AE69" s="10">
        <v>0</v>
      </c>
      <c r="AF69" s="10" t="s">
        <v>102</v>
      </c>
      <c r="AG69" s="10" t="s">
        <v>102</v>
      </c>
      <c r="AH69" s="10">
        <v>0</v>
      </c>
      <c r="AI69" s="10">
        <v>0</v>
      </c>
      <c r="AJ69" s="10">
        <v>0</v>
      </c>
      <c r="AK69" s="10">
        <v>0</v>
      </c>
      <c r="AL69" s="10">
        <v>0</v>
      </c>
      <c r="AM69" s="10">
        <v>0</v>
      </c>
      <c r="AN69" s="10">
        <v>0</v>
      </c>
      <c r="AO69" s="10">
        <v>0</v>
      </c>
      <c r="AP69" s="10">
        <v>0</v>
      </c>
    </row>
    <row r="70" spans="1:97" ht="72" x14ac:dyDescent="0.25">
      <c r="A70" s="34" t="s">
        <v>275</v>
      </c>
      <c r="B70" s="34" t="s">
        <v>3989</v>
      </c>
      <c r="C70" s="34" t="s">
        <v>4038</v>
      </c>
      <c r="D70" s="34">
        <v>253230000</v>
      </c>
      <c r="E70" s="74" t="s">
        <v>4079</v>
      </c>
      <c r="F70" s="34">
        <v>182008001</v>
      </c>
      <c r="G70" s="34" t="s">
        <v>4080</v>
      </c>
      <c r="H70" s="520">
        <v>51585808000</v>
      </c>
      <c r="I70" s="520">
        <f>H70+'[5]FORMATOS PRODUCTOS '!I35</f>
        <v>57654474867</v>
      </c>
      <c r="J70" s="522">
        <f>H70+'[5]FORMATOS PRODUCTOS '!J35</f>
        <v>65051377845</v>
      </c>
      <c r="K70" s="75"/>
      <c r="L70" s="75"/>
      <c r="M70" s="522"/>
      <c r="N70" s="75">
        <f t="shared" si="3"/>
        <v>51585808000</v>
      </c>
      <c r="O70" s="75">
        <f>I70+L70</f>
        <v>57654474867</v>
      </c>
      <c r="P70" s="522">
        <f t="shared" ref="P70:P107" si="4">J70+M70</f>
        <v>65051377845</v>
      </c>
      <c r="Q70" s="548">
        <v>64985039259</v>
      </c>
      <c r="R70" s="75"/>
      <c r="S70" s="522">
        <f t="shared" si="1"/>
        <v>64985039259</v>
      </c>
      <c r="T70" s="37">
        <v>0</v>
      </c>
      <c r="U70" s="37">
        <v>0</v>
      </c>
      <c r="V70" s="77">
        <v>0</v>
      </c>
      <c r="W70" s="10"/>
      <c r="X70" s="10"/>
      <c r="Y70" s="10"/>
      <c r="Z70" s="539"/>
      <c r="AA70" s="34">
        <v>0</v>
      </c>
      <c r="AB70" s="10"/>
      <c r="AC70" s="539"/>
      <c r="AD70" s="10"/>
      <c r="AE70" s="10">
        <v>0</v>
      </c>
      <c r="AF70" s="10">
        <v>0</v>
      </c>
      <c r="AG70" s="10">
        <v>0</v>
      </c>
      <c r="AH70" s="10">
        <v>0</v>
      </c>
      <c r="AI70" s="10">
        <v>0</v>
      </c>
      <c r="AJ70" s="10">
        <v>0</v>
      </c>
      <c r="AK70" s="10">
        <v>0</v>
      </c>
      <c r="AL70" s="10">
        <v>0</v>
      </c>
      <c r="AM70" s="10">
        <v>0</v>
      </c>
      <c r="AN70" s="10">
        <v>0</v>
      </c>
      <c r="AO70" s="10">
        <v>0</v>
      </c>
      <c r="AP70" s="10">
        <v>0</v>
      </c>
    </row>
    <row r="71" spans="1:97" ht="57" customHeight="1" x14ac:dyDescent="0.25">
      <c r="A71" s="34">
        <v>0</v>
      </c>
      <c r="B71" s="34">
        <v>0</v>
      </c>
      <c r="C71" s="34">
        <v>0</v>
      </c>
      <c r="D71" s="34">
        <v>0</v>
      </c>
      <c r="E71" s="74">
        <v>0</v>
      </c>
      <c r="F71" s="34">
        <v>0</v>
      </c>
      <c r="G71" s="34">
        <v>0</v>
      </c>
      <c r="H71" s="520">
        <v>0</v>
      </c>
      <c r="I71" s="520">
        <v>0</v>
      </c>
      <c r="J71" s="522"/>
      <c r="K71" s="75"/>
      <c r="L71" s="75"/>
      <c r="M71" s="522"/>
      <c r="N71" s="75">
        <f t="shared" si="3"/>
        <v>0</v>
      </c>
      <c r="O71" s="75">
        <f t="shared" si="3"/>
        <v>0</v>
      </c>
      <c r="P71" s="522">
        <f t="shared" si="4"/>
        <v>0</v>
      </c>
      <c r="Q71" s="548"/>
      <c r="R71" s="75"/>
      <c r="S71" s="522">
        <f t="shared" si="1"/>
        <v>0</v>
      </c>
      <c r="T71" s="37" t="s">
        <v>4220</v>
      </c>
      <c r="U71" s="37" t="s">
        <v>2897</v>
      </c>
      <c r="V71" s="77">
        <v>200</v>
      </c>
      <c r="W71" s="81"/>
      <c r="X71" s="10"/>
      <c r="Y71" s="81">
        <v>1275.9000000000001</v>
      </c>
      <c r="Z71" s="539">
        <f>1721-1275</f>
        <v>446</v>
      </c>
      <c r="AA71" s="34">
        <v>150</v>
      </c>
      <c r="AB71" s="10">
        <v>180</v>
      </c>
      <c r="AC71" s="539">
        <v>270</v>
      </c>
      <c r="AD71" s="10" t="s">
        <v>4221</v>
      </c>
      <c r="AE71" s="10" t="s">
        <v>102</v>
      </c>
      <c r="AF71" s="10" t="s">
        <v>102</v>
      </c>
      <c r="AG71" s="10" t="s">
        <v>102</v>
      </c>
      <c r="AH71" s="10" t="s">
        <v>102</v>
      </c>
      <c r="AI71" s="10" t="s">
        <v>102</v>
      </c>
      <c r="AJ71" s="10" t="s">
        <v>102</v>
      </c>
      <c r="AK71" s="10" t="s">
        <v>102</v>
      </c>
      <c r="AL71" s="10" t="s">
        <v>102</v>
      </c>
      <c r="AM71" s="10" t="s">
        <v>102</v>
      </c>
      <c r="AN71" s="10">
        <v>0</v>
      </c>
      <c r="AO71" s="10">
        <v>0</v>
      </c>
      <c r="AP71" s="10">
        <v>0</v>
      </c>
    </row>
    <row r="72" spans="1:97" ht="127.5" customHeight="1" x14ac:dyDescent="0.25">
      <c r="A72" s="34">
        <v>0</v>
      </c>
      <c r="B72" s="34">
        <v>0</v>
      </c>
      <c r="C72" s="34">
        <v>0</v>
      </c>
      <c r="D72" s="34">
        <v>0</v>
      </c>
      <c r="E72" s="74">
        <v>0</v>
      </c>
      <c r="F72" s="34">
        <v>0</v>
      </c>
      <c r="G72" s="34">
        <v>0</v>
      </c>
      <c r="H72" s="520">
        <v>0</v>
      </c>
      <c r="I72" s="520">
        <v>0</v>
      </c>
      <c r="J72" s="522"/>
      <c r="K72" s="75"/>
      <c r="L72" s="75"/>
      <c r="M72" s="522"/>
      <c r="N72" s="75">
        <f t="shared" si="3"/>
        <v>0</v>
      </c>
      <c r="O72" s="75">
        <f t="shared" si="3"/>
        <v>0</v>
      </c>
      <c r="P72" s="522">
        <f t="shared" si="4"/>
        <v>0</v>
      </c>
      <c r="Q72" s="548"/>
      <c r="R72" s="75"/>
      <c r="S72" s="522">
        <f t="shared" si="1"/>
        <v>0</v>
      </c>
      <c r="T72" s="37" t="s">
        <v>4222</v>
      </c>
      <c r="U72" s="37" t="s">
        <v>2897</v>
      </c>
      <c r="V72" s="528">
        <v>3300</v>
      </c>
      <c r="W72" s="10"/>
      <c r="X72" s="10"/>
      <c r="Y72" s="397">
        <v>0</v>
      </c>
      <c r="Z72" s="539">
        <v>725.5</v>
      </c>
      <c r="AA72" s="34">
        <v>210</v>
      </c>
      <c r="AB72" s="397">
        <v>0</v>
      </c>
      <c r="AC72" s="539">
        <v>90</v>
      </c>
      <c r="AD72" s="10" t="s">
        <v>4223</v>
      </c>
      <c r="AE72" s="10">
        <v>0</v>
      </c>
      <c r="AF72" s="10">
        <v>0</v>
      </c>
      <c r="AG72" s="10">
        <v>0</v>
      </c>
      <c r="AH72" s="10">
        <v>0</v>
      </c>
      <c r="AI72" s="10">
        <v>0</v>
      </c>
      <c r="AJ72" s="10"/>
      <c r="AK72" s="10"/>
      <c r="AL72" s="10"/>
      <c r="AM72" s="10"/>
      <c r="AN72" s="10" t="s">
        <v>102</v>
      </c>
      <c r="AO72" s="10" t="s">
        <v>102</v>
      </c>
      <c r="AP72" s="10" t="s">
        <v>102</v>
      </c>
    </row>
    <row r="73" spans="1:97" ht="60" x14ac:dyDescent="0.25">
      <c r="A73" s="34">
        <v>0</v>
      </c>
      <c r="B73" s="34">
        <v>0</v>
      </c>
      <c r="C73" s="34">
        <v>0</v>
      </c>
      <c r="D73" s="34">
        <v>0</v>
      </c>
      <c r="E73" s="74">
        <v>0</v>
      </c>
      <c r="F73" s="34">
        <v>0</v>
      </c>
      <c r="G73" s="34">
        <v>0</v>
      </c>
      <c r="H73" s="520">
        <v>0</v>
      </c>
      <c r="I73" s="520">
        <v>0</v>
      </c>
      <c r="J73" s="522"/>
      <c r="K73" s="75"/>
      <c r="L73" s="75"/>
      <c r="M73" s="522"/>
      <c r="N73" s="75">
        <f t="shared" si="3"/>
        <v>0</v>
      </c>
      <c r="O73" s="75">
        <f t="shared" si="3"/>
        <v>0</v>
      </c>
      <c r="P73" s="522">
        <f t="shared" si="4"/>
        <v>0</v>
      </c>
      <c r="Q73" s="548"/>
      <c r="R73" s="75"/>
      <c r="S73" s="522">
        <f t="shared" si="1"/>
        <v>0</v>
      </c>
      <c r="T73" s="37" t="s">
        <v>4224</v>
      </c>
      <c r="U73" s="37" t="s">
        <v>4215</v>
      </c>
      <c r="V73" s="77">
        <v>20</v>
      </c>
      <c r="W73" s="10"/>
      <c r="X73" s="10"/>
      <c r="Y73" s="81">
        <v>13</v>
      </c>
      <c r="Z73" s="539">
        <v>16</v>
      </c>
      <c r="AA73" s="79">
        <v>210</v>
      </c>
      <c r="AB73" s="10"/>
      <c r="AC73" s="539">
        <v>360</v>
      </c>
      <c r="AD73" s="10" t="s">
        <v>4225</v>
      </c>
      <c r="AE73" s="10" t="s">
        <v>102</v>
      </c>
      <c r="AF73" s="10" t="s">
        <v>102</v>
      </c>
      <c r="AG73" s="10" t="s">
        <v>102</v>
      </c>
      <c r="AH73" s="10" t="s">
        <v>102</v>
      </c>
      <c r="AI73" s="10" t="s">
        <v>102</v>
      </c>
      <c r="AJ73" s="10" t="s">
        <v>102</v>
      </c>
      <c r="AK73" s="10" t="s">
        <v>102</v>
      </c>
      <c r="AL73" s="10" t="s">
        <v>102</v>
      </c>
      <c r="AM73" s="10" t="s">
        <v>102</v>
      </c>
      <c r="AN73" s="10" t="s">
        <v>102</v>
      </c>
      <c r="AO73" s="10" t="s">
        <v>102</v>
      </c>
      <c r="AP73" s="10" t="s">
        <v>102</v>
      </c>
    </row>
    <row r="74" spans="1:97" ht="34.5" customHeight="1" x14ac:dyDescent="0.25">
      <c r="A74" s="34">
        <v>0</v>
      </c>
      <c r="B74" s="34">
        <v>0</v>
      </c>
      <c r="C74" s="34">
        <v>0</v>
      </c>
      <c r="D74" s="34">
        <v>0</v>
      </c>
      <c r="E74" s="74">
        <v>0</v>
      </c>
      <c r="F74" s="34">
        <v>0</v>
      </c>
      <c r="G74" s="34">
        <v>0</v>
      </c>
      <c r="H74" s="520">
        <v>0</v>
      </c>
      <c r="I74" s="520">
        <v>0</v>
      </c>
      <c r="J74" s="522"/>
      <c r="K74" s="75"/>
      <c r="L74" s="75"/>
      <c r="M74" s="522"/>
      <c r="N74" s="75">
        <f t="shared" si="3"/>
        <v>0</v>
      </c>
      <c r="O74" s="75">
        <f t="shared" si="3"/>
        <v>0</v>
      </c>
      <c r="P74" s="522">
        <f t="shared" si="4"/>
        <v>0</v>
      </c>
      <c r="Q74" s="548"/>
      <c r="R74" s="75"/>
      <c r="S74" s="522">
        <f t="shared" si="1"/>
        <v>0</v>
      </c>
      <c r="T74" s="37" t="s">
        <v>4226</v>
      </c>
      <c r="U74" s="37" t="s">
        <v>2897</v>
      </c>
      <c r="V74" s="528">
        <v>1000</v>
      </c>
      <c r="W74" s="10"/>
      <c r="X74" s="10"/>
      <c r="Y74" s="397"/>
      <c r="Z74" s="539"/>
      <c r="AA74" s="79">
        <v>270</v>
      </c>
      <c r="AB74" s="10"/>
      <c r="AC74" s="539"/>
      <c r="AD74" s="10"/>
      <c r="AE74" s="10">
        <v>0</v>
      </c>
      <c r="AF74" s="10">
        <v>0</v>
      </c>
      <c r="AG74" s="10">
        <v>0</v>
      </c>
      <c r="AH74" s="10" t="s">
        <v>102</v>
      </c>
      <c r="AI74" s="10" t="s">
        <v>102</v>
      </c>
      <c r="AJ74" s="10" t="s">
        <v>102</v>
      </c>
      <c r="AK74" s="10" t="s">
        <v>102</v>
      </c>
      <c r="AL74" s="10" t="s">
        <v>102</v>
      </c>
      <c r="AM74" s="10" t="s">
        <v>102</v>
      </c>
      <c r="AN74" s="10" t="s">
        <v>102</v>
      </c>
      <c r="AO74" s="10" t="s">
        <v>102</v>
      </c>
      <c r="AP74" s="10" t="s">
        <v>102</v>
      </c>
    </row>
    <row r="75" spans="1:97" ht="47.25" customHeight="1" x14ac:dyDescent="0.25">
      <c r="A75" s="34">
        <v>0</v>
      </c>
      <c r="B75" s="34">
        <v>0</v>
      </c>
      <c r="C75" s="34">
        <v>0</v>
      </c>
      <c r="D75" s="34">
        <v>0</v>
      </c>
      <c r="E75" s="74">
        <v>0</v>
      </c>
      <c r="F75" s="34">
        <v>0</v>
      </c>
      <c r="G75" s="34">
        <v>0</v>
      </c>
      <c r="H75" s="520">
        <v>0</v>
      </c>
      <c r="I75" s="520">
        <v>0</v>
      </c>
      <c r="J75" s="522"/>
      <c r="K75" s="75"/>
      <c r="L75" s="75"/>
      <c r="M75" s="522"/>
      <c r="N75" s="75">
        <f t="shared" si="3"/>
        <v>0</v>
      </c>
      <c r="O75" s="75">
        <f t="shared" si="3"/>
        <v>0</v>
      </c>
      <c r="P75" s="522">
        <f t="shared" si="4"/>
        <v>0</v>
      </c>
      <c r="Q75" s="548"/>
      <c r="R75" s="75"/>
      <c r="S75" s="522">
        <f t="shared" si="1"/>
        <v>0</v>
      </c>
      <c r="T75" s="37" t="s">
        <v>4227</v>
      </c>
      <c r="U75" s="37" t="s">
        <v>4228</v>
      </c>
      <c r="V75" s="77">
        <v>15</v>
      </c>
      <c r="W75" s="81">
        <v>16</v>
      </c>
      <c r="X75" s="10"/>
      <c r="Y75" s="81">
        <v>16</v>
      </c>
      <c r="Z75" s="539">
        <v>16</v>
      </c>
      <c r="AA75" s="79">
        <v>360</v>
      </c>
      <c r="AB75" s="10"/>
      <c r="AC75" s="539">
        <v>360</v>
      </c>
      <c r="AD75" s="10" t="s">
        <v>4229</v>
      </c>
      <c r="AE75" s="10" t="s">
        <v>102</v>
      </c>
      <c r="AF75" s="10" t="s">
        <v>102</v>
      </c>
      <c r="AG75" s="10" t="s">
        <v>102</v>
      </c>
      <c r="AH75" s="10" t="s">
        <v>102</v>
      </c>
      <c r="AI75" s="10" t="s">
        <v>102</v>
      </c>
      <c r="AJ75" s="10" t="s">
        <v>102</v>
      </c>
      <c r="AK75" s="10" t="s">
        <v>102</v>
      </c>
      <c r="AL75" s="10" t="s">
        <v>102</v>
      </c>
      <c r="AM75" s="10" t="s">
        <v>102</v>
      </c>
      <c r="AN75" s="10" t="s">
        <v>102</v>
      </c>
      <c r="AO75" s="10" t="s">
        <v>102</v>
      </c>
      <c r="AP75" s="10" t="s">
        <v>102</v>
      </c>
    </row>
    <row r="76" spans="1:97" s="172" customFormat="1" ht="47.25" customHeight="1" x14ac:dyDescent="0.25">
      <c r="A76" s="34"/>
      <c r="B76" s="34"/>
      <c r="C76" s="34"/>
      <c r="D76" s="34"/>
      <c r="E76" s="74"/>
      <c r="F76" s="34"/>
      <c r="G76" s="34"/>
      <c r="H76" s="520"/>
      <c r="I76" s="520"/>
      <c r="J76" s="522"/>
      <c r="K76" s="75"/>
      <c r="L76" s="75"/>
      <c r="M76" s="522"/>
      <c r="N76" s="75"/>
      <c r="O76" s="75"/>
      <c r="P76" s="522"/>
      <c r="Q76" s="548"/>
      <c r="R76" s="75"/>
      <c r="S76" s="522"/>
      <c r="T76" s="37" t="s">
        <v>4230</v>
      </c>
      <c r="U76" s="37" t="s">
        <v>2897</v>
      </c>
      <c r="V76" s="77"/>
      <c r="W76" s="81"/>
      <c r="X76" s="10"/>
      <c r="Y76" s="81"/>
      <c r="Z76" s="552">
        <v>0</v>
      </c>
      <c r="AA76" s="79"/>
      <c r="AB76" s="10"/>
      <c r="AC76" s="539"/>
      <c r="AD76" s="10" t="s">
        <v>4231</v>
      </c>
      <c r="AE76" s="10"/>
      <c r="AF76" s="10"/>
      <c r="AG76" s="10"/>
      <c r="AH76" s="10"/>
      <c r="AI76" s="10"/>
      <c r="AJ76" s="10"/>
      <c r="AK76" s="10"/>
      <c r="AL76" s="10"/>
      <c r="AM76" s="10"/>
      <c r="AN76" s="10"/>
      <c r="AO76" s="10"/>
      <c r="AP76" s="10"/>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row>
    <row r="77" spans="1:97" ht="60" x14ac:dyDescent="0.25">
      <c r="A77" s="34">
        <v>0</v>
      </c>
      <c r="B77" s="34">
        <v>0</v>
      </c>
      <c r="C77" s="34">
        <v>0</v>
      </c>
      <c r="D77" s="34">
        <v>0</v>
      </c>
      <c r="E77" s="74" t="s">
        <v>4090</v>
      </c>
      <c r="F77" s="34">
        <v>0</v>
      </c>
      <c r="G77" s="34" t="s">
        <v>4091</v>
      </c>
      <c r="H77" s="520">
        <v>0</v>
      </c>
      <c r="I77" s="520">
        <v>0</v>
      </c>
      <c r="J77" s="522">
        <f>H77+'[5]FORMATOS PRODUCTOS '!J65</f>
        <v>0</v>
      </c>
      <c r="K77" s="75"/>
      <c r="L77" s="75"/>
      <c r="M77" s="522"/>
      <c r="N77" s="75">
        <f t="shared" si="3"/>
        <v>0</v>
      </c>
      <c r="O77" s="75">
        <f t="shared" si="3"/>
        <v>0</v>
      </c>
      <c r="P77" s="522">
        <f t="shared" si="4"/>
        <v>0</v>
      </c>
      <c r="Q77" s="546">
        <v>0</v>
      </c>
      <c r="R77" s="75"/>
      <c r="S77" s="522">
        <f t="shared" si="1"/>
        <v>0</v>
      </c>
      <c r="T77" s="160">
        <v>0</v>
      </c>
      <c r="U77" s="37">
        <v>0</v>
      </c>
      <c r="V77" s="77">
        <v>0</v>
      </c>
      <c r="W77" s="10"/>
      <c r="X77" s="10"/>
      <c r="Y77" s="10"/>
      <c r="Z77" s="539"/>
      <c r="AA77" s="34">
        <v>0</v>
      </c>
      <c r="AB77" s="10"/>
      <c r="AC77" s="539"/>
      <c r="AD77" s="10"/>
      <c r="AE77" s="10">
        <v>0</v>
      </c>
      <c r="AF77" s="10">
        <v>0</v>
      </c>
      <c r="AG77" s="10">
        <v>0</v>
      </c>
      <c r="AH77" s="10">
        <v>0</v>
      </c>
      <c r="AI77" s="10">
        <v>0</v>
      </c>
      <c r="AJ77" s="10">
        <v>0</v>
      </c>
      <c r="AK77" s="10">
        <v>0</v>
      </c>
      <c r="AL77" s="10">
        <v>0</v>
      </c>
      <c r="AM77" s="10">
        <v>0</v>
      </c>
      <c r="AN77" s="10">
        <v>0</v>
      </c>
      <c r="AO77" s="10">
        <v>0</v>
      </c>
      <c r="AP77" s="10">
        <v>0</v>
      </c>
    </row>
    <row r="78" spans="1:97" ht="150" x14ac:dyDescent="0.25">
      <c r="A78" s="34">
        <v>0</v>
      </c>
      <c r="B78" s="34">
        <v>0</v>
      </c>
      <c r="C78" s="34">
        <v>0</v>
      </c>
      <c r="D78" s="34">
        <v>0</v>
      </c>
      <c r="E78" s="74">
        <v>0</v>
      </c>
      <c r="F78" s="34">
        <v>0</v>
      </c>
      <c r="G78" s="34">
        <v>0</v>
      </c>
      <c r="H78" s="520">
        <v>0</v>
      </c>
      <c r="I78" s="520">
        <v>0</v>
      </c>
      <c r="J78" s="522"/>
      <c r="K78" s="75"/>
      <c r="L78" s="75"/>
      <c r="M78" s="522"/>
      <c r="N78" s="75">
        <f t="shared" si="3"/>
        <v>0</v>
      </c>
      <c r="O78" s="75">
        <f t="shared" si="3"/>
        <v>0</v>
      </c>
      <c r="P78" s="522">
        <f t="shared" si="4"/>
        <v>0</v>
      </c>
      <c r="Q78" s="548"/>
      <c r="R78" s="75"/>
      <c r="S78" s="522">
        <f t="shared" si="1"/>
        <v>0</v>
      </c>
      <c r="T78" s="37" t="s">
        <v>4232</v>
      </c>
      <c r="U78" s="37" t="s">
        <v>2897</v>
      </c>
      <c r="V78" s="528">
        <v>1100</v>
      </c>
      <c r="W78" s="10"/>
      <c r="X78" s="10"/>
      <c r="Y78" s="397">
        <v>0</v>
      </c>
      <c r="Z78" s="539">
        <v>104.7</v>
      </c>
      <c r="AA78" s="34">
        <v>210</v>
      </c>
      <c r="AB78" s="10"/>
      <c r="AC78" s="539">
        <v>90</v>
      </c>
      <c r="AD78" s="10" t="s">
        <v>4093</v>
      </c>
      <c r="AE78" s="10">
        <v>0</v>
      </c>
      <c r="AF78" s="10">
        <v>0</v>
      </c>
      <c r="AG78" s="10">
        <v>0</v>
      </c>
      <c r="AH78" s="10">
        <v>0</v>
      </c>
      <c r="AI78" s="10">
        <v>0</v>
      </c>
      <c r="AJ78" s="10"/>
      <c r="AK78" s="10"/>
      <c r="AL78" s="10"/>
      <c r="AM78" s="10"/>
      <c r="AN78" s="10" t="s">
        <v>102</v>
      </c>
      <c r="AO78" s="10" t="s">
        <v>102</v>
      </c>
      <c r="AP78" s="10" t="s">
        <v>102</v>
      </c>
    </row>
    <row r="79" spans="1:97" ht="45" x14ac:dyDescent="0.25">
      <c r="A79" s="34">
        <v>0</v>
      </c>
      <c r="B79" s="34">
        <v>0</v>
      </c>
      <c r="C79" s="34">
        <v>0</v>
      </c>
      <c r="D79" s="34">
        <v>0</v>
      </c>
      <c r="E79" s="74">
        <v>0</v>
      </c>
      <c r="F79" s="34">
        <v>0</v>
      </c>
      <c r="G79" s="34">
        <v>0</v>
      </c>
      <c r="H79" s="520">
        <v>0</v>
      </c>
      <c r="I79" s="520">
        <v>0</v>
      </c>
      <c r="J79" s="522"/>
      <c r="K79" s="75"/>
      <c r="L79" s="75"/>
      <c r="M79" s="522"/>
      <c r="N79" s="75">
        <f t="shared" si="3"/>
        <v>0</v>
      </c>
      <c r="O79" s="75">
        <f t="shared" si="3"/>
        <v>0</v>
      </c>
      <c r="P79" s="522">
        <f t="shared" si="4"/>
        <v>0</v>
      </c>
      <c r="Q79" s="548"/>
      <c r="R79" s="75"/>
      <c r="S79" s="522">
        <f t="shared" si="1"/>
        <v>0</v>
      </c>
      <c r="T79" s="37" t="s">
        <v>4233</v>
      </c>
      <c r="U79" s="37" t="s">
        <v>2689</v>
      </c>
      <c r="V79" s="77">
        <v>3</v>
      </c>
      <c r="W79" s="10"/>
      <c r="X79" s="10"/>
      <c r="Y79" s="397">
        <v>0</v>
      </c>
      <c r="Z79" s="555">
        <v>0</v>
      </c>
      <c r="AA79" s="34">
        <v>210</v>
      </c>
      <c r="AB79" s="10"/>
      <c r="AC79" s="539">
        <v>30</v>
      </c>
      <c r="AD79" s="10" t="s">
        <v>4234</v>
      </c>
      <c r="AE79" s="10">
        <v>0</v>
      </c>
      <c r="AF79" s="10">
        <v>0</v>
      </c>
      <c r="AG79" s="10">
        <v>0</v>
      </c>
      <c r="AH79" s="10">
        <v>0</v>
      </c>
      <c r="AI79" s="10">
        <v>0</v>
      </c>
      <c r="AJ79" s="10"/>
      <c r="AK79" s="10"/>
      <c r="AL79" s="10"/>
      <c r="AM79" s="10"/>
      <c r="AN79" s="10"/>
      <c r="AO79" s="10"/>
      <c r="AP79" s="10" t="s">
        <v>102</v>
      </c>
    </row>
    <row r="80" spans="1:97" ht="36" x14ac:dyDescent="0.25">
      <c r="A80" s="34">
        <v>0</v>
      </c>
      <c r="B80" s="34">
        <v>0</v>
      </c>
      <c r="C80" s="34">
        <v>0</v>
      </c>
      <c r="D80" s="34">
        <v>0</v>
      </c>
      <c r="E80" s="74">
        <v>0</v>
      </c>
      <c r="F80" s="34">
        <v>0</v>
      </c>
      <c r="G80" s="34">
        <v>0</v>
      </c>
      <c r="H80" s="520">
        <v>0</v>
      </c>
      <c r="I80" s="520">
        <v>0</v>
      </c>
      <c r="J80" s="522"/>
      <c r="K80" s="75"/>
      <c r="L80" s="75"/>
      <c r="M80" s="522"/>
      <c r="N80" s="75">
        <f t="shared" si="3"/>
        <v>0</v>
      </c>
      <c r="O80" s="75">
        <f t="shared" si="3"/>
        <v>0</v>
      </c>
      <c r="P80" s="522">
        <f t="shared" si="4"/>
        <v>0</v>
      </c>
      <c r="Q80" s="548"/>
      <c r="R80" s="75"/>
      <c r="S80" s="522">
        <f t="shared" si="1"/>
        <v>0</v>
      </c>
      <c r="T80" s="37" t="s">
        <v>4227</v>
      </c>
      <c r="U80" s="160" t="s">
        <v>4228</v>
      </c>
      <c r="V80" s="77">
        <v>4</v>
      </c>
      <c r="W80" s="10"/>
      <c r="X80" s="10"/>
      <c r="Y80" s="14">
        <v>4</v>
      </c>
      <c r="Z80" s="555">
        <v>3</v>
      </c>
      <c r="AA80" s="34">
        <v>330</v>
      </c>
      <c r="AB80" s="523">
        <v>6</v>
      </c>
      <c r="AC80" s="539">
        <v>180</v>
      </c>
      <c r="AD80" s="10" t="s">
        <v>4179</v>
      </c>
      <c r="AE80" s="10">
        <v>0</v>
      </c>
      <c r="AF80" s="10"/>
      <c r="AG80" s="10"/>
      <c r="AH80" s="10"/>
      <c r="AI80" s="10"/>
      <c r="AJ80" s="10"/>
      <c r="AK80" s="10" t="s">
        <v>102</v>
      </c>
      <c r="AL80" s="10" t="s">
        <v>102</v>
      </c>
      <c r="AM80" s="10" t="s">
        <v>102</v>
      </c>
      <c r="AN80" s="10" t="s">
        <v>102</v>
      </c>
      <c r="AO80" s="10" t="s">
        <v>102</v>
      </c>
      <c r="AP80" s="10" t="s">
        <v>102</v>
      </c>
    </row>
    <row r="81" spans="1:42" ht="72" x14ac:dyDescent="0.25">
      <c r="A81" s="34" t="s">
        <v>275</v>
      </c>
      <c r="B81" s="34" t="s">
        <v>3989</v>
      </c>
      <c r="C81" s="34" t="s">
        <v>4038</v>
      </c>
      <c r="D81" s="34">
        <v>253230000</v>
      </c>
      <c r="E81" s="74" t="s">
        <v>4094</v>
      </c>
      <c r="F81" s="34">
        <v>182213001</v>
      </c>
      <c r="G81" s="34" t="s">
        <v>4095</v>
      </c>
      <c r="H81" s="520">
        <v>60791217650</v>
      </c>
      <c r="I81" s="520">
        <f>H81+'[5]FORMATOS PRODUCTOS '!I40</f>
        <v>68409283317</v>
      </c>
      <c r="J81" s="522">
        <f>H81+'[5]FORMATOS PRODUCTOS '!J40</f>
        <v>68650686697</v>
      </c>
      <c r="K81" s="75"/>
      <c r="L81" s="75"/>
      <c r="M81" s="522"/>
      <c r="N81" s="75">
        <f t="shared" si="3"/>
        <v>60791217650</v>
      </c>
      <c r="O81" s="75">
        <f t="shared" si="3"/>
        <v>68409283317</v>
      </c>
      <c r="P81" s="522">
        <f t="shared" si="4"/>
        <v>68650686697</v>
      </c>
      <c r="Q81" s="548">
        <f>SUM([6]Hoja2!$D$29:$E$29)</f>
        <v>68650649197</v>
      </c>
      <c r="R81" s="75"/>
      <c r="S81" s="522">
        <f t="shared" si="1"/>
        <v>68650649197</v>
      </c>
      <c r="T81" s="37">
        <v>0</v>
      </c>
      <c r="U81" s="37">
        <v>0</v>
      </c>
      <c r="V81" s="77">
        <v>0</v>
      </c>
      <c r="W81" s="10"/>
      <c r="X81" s="10"/>
      <c r="Y81" s="10"/>
      <c r="Z81" s="539"/>
      <c r="AA81" s="34">
        <v>0</v>
      </c>
      <c r="AB81" s="10"/>
      <c r="AC81" s="539"/>
      <c r="AD81" s="10"/>
      <c r="AE81" s="10">
        <v>0</v>
      </c>
      <c r="AF81" s="10">
        <v>0</v>
      </c>
      <c r="AG81" s="10">
        <v>0</v>
      </c>
      <c r="AH81" s="10">
        <v>0</v>
      </c>
      <c r="AI81" s="10">
        <v>0</v>
      </c>
      <c r="AJ81" s="10">
        <v>0</v>
      </c>
      <c r="AK81" s="10">
        <v>0</v>
      </c>
      <c r="AL81" s="10">
        <v>0</v>
      </c>
      <c r="AM81" s="10">
        <v>0</v>
      </c>
      <c r="AN81" s="10">
        <v>0</v>
      </c>
      <c r="AO81" s="10">
        <v>0</v>
      </c>
      <c r="AP81" s="10">
        <v>0</v>
      </c>
    </row>
    <row r="82" spans="1:42" ht="60" x14ac:dyDescent="0.25">
      <c r="A82" s="34">
        <v>0</v>
      </c>
      <c r="B82" s="34">
        <v>0</v>
      </c>
      <c r="C82" s="34">
        <v>0</v>
      </c>
      <c r="D82" s="34">
        <v>0</v>
      </c>
      <c r="E82" s="74">
        <v>0</v>
      </c>
      <c r="F82" s="34">
        <v>0</v>
      </c>
      <c r="G82" s="34">
        <v>0</v>
      </c>
      <c r="H82" s="520">
        <v>0</v>
      </c>
      <c r="I82" s="520">
        <v>0</v>
      </c>
      <c r="J82" s="522"/>
      <c r="K82" s="75"/>
      <c r="L82" s="75"/>
      <c r="M82" s="522"/>
      <c r="N82" s="75">
        <f t="shared" si="3"/>
        <v>0</v>
      </c>
      <c r="O82" s="75">
        <f t="shared" si="3"/>
        <v>0</v>
      </c>
      <c r="P82" s="522">
        <f t="shared" si="4"/>
        <v>0</v>
      </c>
      <c r="Q82" s="548"/>
      <c r="R82" s="75"/>
      <c r="S82" s="522">
        <f t="shared" si="1"/>
        <v>0</v>
      </c>
      <c r="T82" s="37" t="s">
        <v>4235</v>
      </c>
      <c r="U82" s="37" t="s">
        <v>2897</v>
      </c>
      <c r="V82" s="77">
        <v>577</v>
      </c>
      <c r="W82" s="10">
        <v>569.29999999999995</v>
      </c>
      <c r="X82" s="10"/>
      <c r="Y82" s="10">
        <v>569.29999999999995</v>
      </c>
      <c r="Z82" s="539">
        <f>Y82</f>
        <v>569.29999999999995</v>
      </c>
      <c r="AA82" s="34">
        <v>180</v>
      </c>
      <c r="AB82" s="10"/>
      <c r="AC82" s="539">
        <v>180</v>
      </c>
      <c r="AD82" s="18" t="s">
        <v>4236</v>
      </c>
      <c r="AE82" s="10" t="s">
        <v>102</v>
      </c>
      <c r="AF82" s="10" t="s">
        <v>102</v>
      </c>
      <c r="AG82" s="10" t="s">
        <v>102</v>
      </c>
      <c r="AH82" s="10" t="s">
        <v>102</v>
      </c>
      <c r="AI82" s="10" t="s">
        <v>102</v>
      </c>
      <c r="AJ82" s="10" t="s">
        <v>102</v>
      </c>
      <c r="AK82" s="10">
        <v>0</v>
      </c>
      <c r="AL82" s="10">
        <v>0</v>
      </c>
      <c r="AM82" s="10">
        <v>0</v>
      </c>
      <c r="AN82" s="10">
        <v>0</v>
      </c>
      <c r="AO82" s="10">
        <v>0</v>
      </c>
      <c r="AP82" s="10">
        <v>0</v>
      </c>
    </row>
    <row r="83" spans="1:42" ht="45" x14ac:dyDescent="0.25">
      <c r="A83" s="34">
        <v>0</v>
      </c>
      <c r="B83" s="34">
        <v>0</v>
      </c>
      <c r="C83" s="34">
        <v>0</v>
      </c>
      <c r="D83" s="34">
        <v>0</v>
      </c>
      <c r="E83" s="74">
        <v>0</v>
      </c>
      <c r="F83" s="34">
        <v>0</v>
      </c>
      <c r="G83" s="34">
        <v>0</v>
      </c>
      <c r="H83" s="520">
        <v>0</v>
      </c>
      <c r="I83" s="520">
        <v>0</v>
      </c>
      <c r="J83" s="522"/>
      <c r="K83" s="75"/>
      <c r="L83" s="75"/>
      <c r="M83" s="522"/>
      <c r="N83" s="75">
        <f t="shared" si="3"/>
        <v>0</v>
      </c>
      <c r="O83" s="75">
        <f t="shared" si="3"/>
        <v>0</v>
      </c>
      <c r="P83" s="522">
        <f t="shared" si="4"/>
        <v>0</v>
      </c>
      <c r="Q83" s="548"/>
      <c r="R83" s="75"/>
      <c r="S83" s="522">
        <f t="shared" si="1"/>
        <v>0</v>
      </c>
      <c r="T83" s="37" t="s">
        <v>4237</v>
      </c>
      <c r="U83" s="37" t="s">
        <v>2897</v>
      </c>
      <c r="V83" s="528">
        <v>1159</v>
      </c>
      <c r="W83" s="10"/>
      <c r="X83" s="10"/>
      <c r="Y83" s="397">
        <v>0</v>
      </c>
      <c r="Z83" s="539">
        <v>1125.1000000000001</v>
      </c>
      <c r="AA83" s="34">
        <v>210</v>
      </c>
      <c r="AB83" s="10"/>
      <c r="AC83" s="539">
        <v>210</v>
      </c>
      <c r="AD83" s="10" t="s">
        <v>4238</v>
      </c>
      <c r="AE83" s="10">
        <v>0</v>
      </c>
      <c r="AF83" s="10">
        <v>0</v>
      </c>
      <c r="AG83" s="10">
        <v>0</v>
      </c>
      <c r="AH83" s="10">
        <v>0</v>
      </c>
      <c r="AI83" s="10">
        <v>0</v>
      </c>
      <c r="AJ83" s="10" t="s">
        <v>102</v>
      </c>
      <c r="AK83" s="10" t="s">
        <v>102</v>
      </c>
      <c r="AL83" s="10" t="s">
        <v>102</v>
      </c>
      <c r="AM83" s="10" t="s">
        <v>102</v>
      </c>
      <c r="AN83" s="10" t="s">
        <v>102</v>
      </c>
      <c r="AO83" s="10" t="s">
        <v>102</v>
      </c>
      <c r="AP83" s="10" t="s">
        <v>102</v>
      </c>
    </row>
    <row r="84" spans="1:42" ht="72" x14ac:dyDescent="0.25">
      <c r="A84" s="34" t="s">
        <v>275</v>
      </c>
      <c r="B84" s="34" t="s">
        <v>3989</v>
      </c>
      <c r="C84" s="34" t="s">
        <v>4038</v>
      </c>
      <c r="D84" s="34">
        <v>253230000</v>
      </c>
      <c r="E84" s="74" t="s">
        <v>4094</v>
      </c>
      <c r="F84" s="34">
        <v>182213002</v>
      </c>
      <c r="G84" s="34" t="s">
        <v>4097</v>
      </c>
      <c r="H84" s="520">
        <v>6079121350</v>
      </c>
      <c r="I84" s="520">
        <f>H84+'[5]FORMATOS PRODUCTOS '!I41</f>
        <v>4754407602</v>
      </c>
      <c r="J84" s="522">
        <f>H84+'[5]FORMATOS PRODUCTOS '!J41</f>
        <v>4472624434</v>
      </c>
      <c r="K84" s="75"/>
      <c r="L84" s="75"/>
      <c r="M84" s="522"/>
      <c r="N84" s="75">
        <f t="shared" si="3"/>
        <v>6079121350</v>
      </c>
      <c r="O84" s="75">
        <f t="shared" si="3"/>
        <v>4754407602</v>
      </c>
      <c r="P84" s="522">
        <f t="shared" si="4"/>
        <v>4472624434</v>
      </c>
      <c r="Q84" s="548">
        <f>SUM([6]Hoja2!$D$30:$E$30)</f>
        <v>4430065956</v>
      </c>
      <c r="R84" s="75"/>
      <c r="S84" s="522">
        <f t="shared" si="1"/>
        <v>4430065956</v>
      </c>
      <c r="T84" s="37">
        <v>0</v>
      </c>
      <c r="U84" s="37">
        <v>0</v>
      </c>
      <c r="V84" s="77">
        <v>0</v>
      </c>
      <c r="W84" s="10"/>
      <c r="X84" s="10"/>
      <c r="Y84" s="10"/>
      <c r="Z84" s="539"/>
      <c r="AA84" s="34">
        <v>0</v>
      </c>
      <c r="AB84" s="10"/>
      <c r="AC84" s="539"/>
      <c r="AD84" s="10"/>
      <c r="AE84" s="10">
        <v>0</v>
      </c>
      <c r="AF84" s="10">
        <v>0</v>
      </c>
      <c r="AG84" s="10">
        <v>0</v>
      </c>
      <c r="AH84" s="10">
        <v>0</v>
      </c>
      <c r="AI84" s="10">
        <v>0</v>
      </c>
      <c r="AJ84" s="10">
        <v>0</v>
      </c>
      <c r="AK84" s="10">
        <v>0</v>
      </c>
      <c r="AL84" s="10">
        <v>0</v>
      </c>
      <c r="AM84" s="10">
        <v>0</v>
      </c>
      <c r="AN84" s="10">
        <v>0</v>
      </c>
      <c r="AO84" s="10">
        <v>0</v>
      </c>
      <c r="AP84" s="10">
        <v>0</v>
      </c>
    </row>
    <row r="85" spans="1:42" ht="60" x14ac:dyDescent="0.25">
      <c r="A85" s="34">
        <v>0</v>
      </c>
      <c r="B85" s="34">
        <v>0</v>
      </c>
      <c r="C85" s="34">
        <v>0</v>
      </c>
      <c r="D85" s="34">
        <v>0</v>
      </c>
      <c r="E85" s="74">
        <v>0</v>
      </c>
      <c r="F85" s="34">
        <v>0</v>
      </c>
      <c r="G85" s="34">
        <v>0</v>
      </c>
      <c r="H85" s="520">
        <v>0</v>
      </c>
      <c r="I85" s="520">
        <v>0</v>
      </c>
      <c r="J85" s="522"/>
      <c r="K85" s="75"/>
      <c r="L85" s="75"/>
      <c r="M85" s="522"/>
      <c r="N85" s="75">
        <f t="shared" si="3"/>
        <v>0</v>
      </c>
      <c r="O85" s="75">
        <f t="shared" si="3"/>
        <v>0</v>
      </c>
      <c r="P85" s="522">
        <f t="shared" si="4"/>
        <v>0</v>
      </c>
      <c r="Q85" s="548"/>
      <c r="R85" s="75"/>
      <c r="S85" s="522">
        <f t="shared" si="1"/>
        <v>0</v>
      </c>
      <c r="T85" s="37" t="s">
        <v>4239</v>
      </c>
      <c r="U85" s="37" t="s">
        <v>2897</v>
      </c>
      <c r="V85" s="77">
        <v>577</v>
      </c>
      <c r="W85" s="10">
        <v>569.29999999999995</v>
      </c>
      <c r="X85" s="10"/>
      <c r="Y85" s="10"/>
      <c r="Z85" s="539">
        <v>569.29999999999995</v>
      </c>
      <c r="AA85" s="34">
        <v>210</v>
      </c>
      <c r="AB85" s="10"/>
      <c r="AC85" s="539">
        <v>180</v>
      </c>
      <c r="AD85" s="18" t="s">
        <v>4240</v>
      </c>
      <c r="AE85" s="10" t="s">
        <v>102</v>
      </c>
      <c r="AF85" s="10" t="s">
        <v>102</v>
      </c>
      <c r="AG85" s="10" t="s">
        <v>102</v>
      </c>
      <c r="AH85" s="10" t="s">
        <v>102</v>
      </c>
      <c r="AI85" s="10" t="s">
        <v>102</v>
      </c>
      <c r="AJ85" s="10" t="s">
        <v>102</v>
      </c>
      <c r="AK85" s="10" t="s">
        <v>102</v>
      </c>
      <c r="AL85" s="10">
        <v>0</v>
      </c>
      <c r="AM85" s="10">
        <v>0</v>
      </c>
      <c r="AN85" s="10">
        <v>0</v>
      </c>
      <c r="AO85" s="10">
        <v>0</v>
      </c>
      <c r="AP85" s="10">
        <v>0</v>
      </c>
    </row>
    <row r="86" spans="1:42" ht="45" x14ac:dyDescent="0.25">
      <c r="A86" s="34">
        <v>0</v>
      </c>
      <c r="B86" s="34">
        <v>0</v>
      </c>
      <c r="C86" s="34">
        <v>0</v>
      </c>
      <c r="D86" s="34">
        <v>0</v>
      </c>
      <c r="E86" s="74">
        <v>0</v>
      </c>
      <c r="F86" s="34">
        <v>0</v>
      </c>
      <c r="G86" s="34">
        <v>0</v>
      </c>
      <c r="H86" s="520">
        <v>0</v>
      </c>
      <c r="I86" s="520">
        <v>0</v>
      </c>
      <c r="J86" s="522"/>
      <c r="K86" s="75"/>
      <c r="L86" s="75"/>
      <c r="M86" s="522"/>
      <c r="N86" s="75">
        <f t="shared" si="3"/>
        <v>0</v>
      </c>
      <c r="O86" s="75">
        <f t="shared" si="3"/>
        <v>0</v>
      </c>
      <c r="P86" s="522">
        <f t="shared" si="4"/>
        <v>0</v>
      </c>
      <c r="Q86" s="548"/>
      <c r="R86" s="75"/>
      <c r="S86" s="522">
        <f t="shared" si="1"/>
        <v>0</v>
      </c>
      <c r="T86" s="37" t="s">
        <v>4241</v>
      </c>
      <c r="U86" s="37" t="s">
        <v>2897</v>
      </c>
      <c r="V86" s="528">
        <v>1419</v>
      </c>
      <c r="W86" s="10"/>
      <c r="X86" s="10"/>
      <c r="Y86" s="397">
        <v>0</v>
      </c>
      <c r="Z86" s="539">
        <v>1125.1000000000001</v>
      </c>
      <c r="AA86" s="34">
        <v>210</v>
      </c>
      <c r="AB86" s="10"/>
      <c r="AC86" s="539">
        <v>180</v>
      </c>
      <c r="AD86" s="10" t="s">
        <v>4242</v>
      </c>
      <c r="AE86" s="10">
        <v>0</v>
      </c>
      <c r="AF86" s="10">
        <v>0</v>
      </c>
      <c r="AG86" s="10">
        <v>0</v>
      </c>
      <c r="AH86" s="10">
        <v>0</v>
      </c>
      <c r="AI86" s="10">
        <v>0</v>
      </c>
      <c r="AJ86" s="10" t="s">
        <v>102</v>
      </c>
      <c r="AK86" s="10" t="s">
        <v>102</v>
      </c>
      <c r="AL86" s="10" t="s">
        <v>102</v>
      </c>
      <c r="AM86" s="10" t="s">
        <v>102</v>
      </c>
      <c r="AN86" s="10" t="s">
        <v>102</v>
      </c>
      <c r="AO86" s="10" t="s">
        <v>102</v>
      </c>
      <c r="AP86" s="10" t="s">
        <v>102</v>
      </c>
    </row>
    <row r="87" spans="1:42" ht="72" x14ac:dyDescent="0.25">
      <c r="A87" s="34" t="s">
        <v>275</v>
      </c>
      <c r="B87" s="34" t="s">
        <v>3989</v>
      </c>
      <c r="C87" s="34" t="s">
        <v>4038</v>
      </c>
      <c r="D87" s="34">
        <v>253230000</v>
      </c>
      <c r="E87" s="74" t="s">
        <v>4105</v>
      </c>
      <c r="F87" s="34">
        <v>182019001</v>
      </c>
      <c r="G87" s="34" t="s">
        <v>4106</v>
      </c>
      <c r="H87" s="520">
        <v>1620000000</v>
      </c>
      <c r="I87" s="520">
        <f>H87+'[5]FORMATOS PRODUCTOS '!I44</f>
        <v>1620000000</v>
      </c>
      <c r="J87" s="522">
        <f>H87+'[5]FORMATOS PRODUCTOS '!J44</f>
        <v>1620000000</v>
      </c>
      <c r="K87" s="75"/>
      <c r="L87" s="75"/>
      <c r="M87" s="522"/>
      <c r="N87" s="75">
        <f t="shared" si="3"/>
        <v>1620000000</v>
      </c>
      <c r="O87" s="75">
        <f t="shared" si="3"/>
        <v>1620000000</v>
      </c>
      <c r="P87" s="522">
        <f t="shared" si="4"/>
        <v>1620000000</v>
      </c>
      <c r="Q87" s="548">
        <f>P87-30397157</f>
        <v>1589602843</v>
      </c>
      <c r="R87" s="75"/>
      <c r="S87" s="522">
        <f t="shared" si="1"/>
        <v>1589602843</v>
      </c>
      <c r="T87" s="37">
        <v>0</v>
      </c>
      <c r="U87" s="37">
        <v>0</v>
      </c>
      <c r="V87" s="77">
        <v>0</v>
      </c>
      <c r="W87" s="10"/>
      <c r="X87" s="10"/>
      <c r="Y87" s="10"/>
      <c r="Z87" s="552"/>
      <c r="AA87" s="34">
        <v>0</v>
      </c>
      <c r="AB87" s="10"/>
      <c r="AC87" s="539"/>
      <c r="AD87" s="10"/>
      <c r="AE87" s="10">
        <v>0</v>
      </c>
      <c r="AF87" s="10">
        <v>0</v>
      </c>
      <c r="AG87" s="10">
        <v>0</v>
      </c>
      <c r="AH87" s="10">
        <v>0</v>
      </c>
      <c r="AI87" s="10">
        <v>0</v>
      </c>
      <c r="AJ87" s="10">
        <v>0</v>
      </c>
      <c r="AK87" s="10">
        <v>0</v>
      </c>
      <c r="AL87" s="10">
        <v>0</v>
      </c>
      <c r="AM87" s="10">
        <v>0</v>
      </c>
      <c r="AN87" s="10">
        <v>0</v>
      </c>
      <c r="AO87" s="10">
        <v>0</v>
      </c>
      <c r="AP87" s="10">
        <v>0</v>
      </c>
    </row>
    <row r="88" spans="1:42" ht="150" x14ac:dyDescent="0.25">
      <c r="A88" s="34">
        <v>0</v>
      </c>
      <c r="B88" s="34">
        <v>0</v>
      </c>
      <c r="C88" s="34">
        <v>0</v>
      </c>
      <c r="D88" s="34">
        <v>0</v>
      </c>
      <c r="E88" s="74">
        <v>0</v>
      </c>
      <c r="F88" s="34">
        <v>0</v>
      </c>
      <c r="G88" s="34">
        <v>0</v>
      </c>
      <c r="H88" s="520">
        <v>0</v>
      </c>
      <c r="I88" s="520">
        <v>0</v>
      </c>
      <c r="J88" s="522"/>
      <c r="K88" s="75"/>
      <c r="L88" s="75"/>
      <c r="M88" s="522"/>
      <c r="N88" s="75">
        <f t="shared" si="3"/>
        <v>0</v>
      </c>
      <c r="O88" s="75">
        <f t="shared" si="3"/>
        <v>0</v>
      </c>
      <c r="P88" s="522">
        <f t="shared" si="4"/>
        <v>0</v>
      </c>
      <c r="Q88" s="548"/>
      <c r="R88" s="75"/>
      <c r="S88" s="522">
        <f t="shared" ref="S88:S109" si="5">Q88+R88</f>
        <v>0</v>
      </c>
      <c r="T88" s="37" t="s">
        <v>4222</v>
      </c>
      <c r="U88" s="37" t="s">
        <v>4243</v>
      </c>
      <c r="V88" s="77">
        <v>6</v>
      </c>
      <c r="W88" s="10"/>
      <c r="X88" s="10"/>
      <c r="Y88" s="81">
        <v>2</v>
      </c>
      <c r="Z88" s="555">
        <v>2</v>
      </c>
      <c r="AA88" s="34">
        <v>210</v>
      </c>
      <c r="AB88" s="10"/>
      <c r="AC88" s="539">
        <v>180</v>
      </c>
      <c r="AD88" s="10" t="s">
        <v>4244</v>
      </c>
      <c r="AE88" s="10">
        <v>0</v>
      </c>
      <c r="AF88" s="10">
        <v>0</v>
      </c>
      <c r="AG88" s="10">
        <v>0</v>
      </c>
      <c r="AH88" s="10">
        <v>0</v>
      </c>
      <c r="AI88" s="10">
        <v>0</v>
      </c>
      <c r="AJ88" s="10" t="s">
        <v>102</v>
      </c>
      <c r="AK88" s="10" t="s">
        <v>102</v>
      </c>
      <c r="AL88" s="10" t="s">
        <v>102</v>
      </c>
      <c r="AM88" s="10" t="s">
        <v>102</v>
      </c>
      <c r="AN88" s="10" t="s">
        <v>102</v>
      </c>
      <c r="AO88" s="10" t="s">
        <v>102</v>
      </c>
      <c r="AP88" s="10" t="s">
        <v>102</v>
      </c>
    </row>
    <row r="89" spans="1:42" ht="72" x14ac:dyDescent="0.25">
      <c r="A89" s="34" t="s">
        <v>275</v>
      </c>
      <c r="B89" s="34" t="s">
        <v>3989</v>
      </c>
      <c r="C89" s="34" t="s">
        <v>4038</v>
      </c>
      <c r="D89" s="34">
        <v>253230000</v>
      </c>
      <c r="E89" s="74" t="s">
        <v>4099</v>
      </c>
      <c r="F89" s="34">
        <v>182168001</v>
      </c>
      <c r="G89" s="34" t="s">
        <v>4100</v>
      </c>
      <c r="H89" s="520">
        <v>5342000000</v>
      </c>
      <c r="I89" s="520">
        <f>H89+'[5]FORMATOS PRODUCTOS '!I42</f>
        <v>5547247410</v>
      </c>
      <c r="J89" s="522">
        <f>H89+'[5]FORMATOS PRODUCTOS '!J42</f>
        <v>5547247410</v>
      </c>
      <c r="K89" s="75"/>
      <c r="L89" s="520">
        <v>11500000000</v>
      </c>
      <c r="M89" s="522">
        <f>L89</f>
        <v>11500000000</v>
      </c>
      <c r="N89" s="75">
        <f t="shared" si="3"/>
        <v>5342000000</v>
      </c>
      <c r="O89" s="75">
        <f t="shared" si="3"/>
        <v>17047247410</v>
      </c>
      <c r="P89" s="522">
        <f t="shared" si="4"/>
        <v>17047247410</v>
      </c>
      <c r="Q89" s="548">
        <v>5547247409</v>
      </c>
      <c r="R89" s="75"/>
      <c r="S89" s="522">
        <f t="shared" si="5"/>
        <v>5547247409</v>
      </c>
      <c r="T89" s="37">
        <v>0</v>
      </c>
      <c r="U89" s="37">
        <v>0</v>
      </c>
      <c r="V89" s="77">
        <v>0</v>
      </c>
      <c r="W89" s="10"/>
      <c r="X89" s="10"/>
      <c r="Y89" s="10"/>
      <c r="Z89" s="552">
        <v>0</v>
      </c>
      <c r="AA89" s="34">
        <v>0</v>
      </c>
      <c r="AB89" s="10"/>
      <c r="AC89" s="539"/>
      <c r="AD89" s="10"/>
      <c r="AE89" s="10">
        <v>0</v>
      </c>
      <c r="AF89" s="10">
        <v>0</v>
      </c>
      <c r="AG89" s="10">
        <v>0</v>
      </c>
      <c r="AH89" s="10">
        <v>0</v>
      </c>
      <c r="AI89" s="10">
        <v>0</v>
      </c>
      <c r="AJ89" s="10">
        <v>0</v>
      </c>
      <c r="AK89" s="10">
        <v>0</v>
      </c>
      <c r="AL89" s="10">
        <v>0</v>
      </c>
      <c r="AM89" s="10">
        <v>0</v>
      </c>
      <c r="AN89" s="10">
        <v>0</v>
      </c>
      <c r="AO89" s="10">
        <v>0</v>
      </c>
      <c r="AP89" s="10">
        <v>0</v>
      </c>
    </row>
    <row r="90" spans="1:42" ht="93" customHeight="1" x14ac:dyDescent="0.25">
      <c r="A90" s="34">
        <v>0</v>
      </c>
      <c r="B90" s="34">
        <v>0</v>
      </c>
      <c r="C90" s="34">
        <v>0</v>
      </c>
      <c r="D90" s="34">
        <v>0</v>
      </c>
      <c r="E90" s="74">
        <v>0</v>
      </c>
      <c r="F90" s="34">
        <v>0</v>
      </c>
      <c r="G90" s="34">
        <v>0</v>
      </c>
      <c r="H90" s="520">
        <v>0</v>
      </c>
      <c r="I90" s="520">
        <v>0</v>
      </c>
      <c r="J90" s="522"/>
      <c r="K90" s="75"/>
      <c r="L90" s="75"/>
      <c r="M90" s="522"/>
      <c r="N90" s="75">
        <f t="shared" si="3"/>
        <v>0</v>
      </c>
      <c r="O90" s="75">
        <f t="shared" si="3"/>
        <v>0</v>
      </c>
      <c r="P90" s="522">
        <f t="shared" si="4"/>
        <v>0</v>
      </c>
      <c r="Q90" s="548"/>
      <c r="R90" s="75"/>
      <c r="S90" s="522">
        <f t="shared" si="5"/>
        <v>0</v>
      </c>
      <c r="T90" s="37" t="s">
        <v>4222</v>
      </c>
      <c r="U90" s="37" t="s">
        <v>4245</v>
      </c>
      <c r="V90" s="77">
        <v>20</v>
      </c>
      <c r="W90" s="10"/>
      <c r="X90" s="10"/>
      <c r="Y90" s="397">
        <v>0</v>
      </c>
      <c r="Z90" s="552">
        <v>0</v>
      </c>
      <c r="AA90" s="34">
        <v>210</v>
      </c>
      <c r="AB90" s="10"/>
      <c r="AC90" s="539">
        <v>90</v>
      </c>
      <c r="AD90" s="10" t="s">
        <v>4246</v>
      </c>
      <c r="AE90" s="10">
        <v>0</v>
      </c>
      <c r="AF90" s="10">
        <v>0</v>
      </c>
      <c r="AG90" s="10">
        <v>0</v>
      </c>
      <c r="AH90" s="10">
        <v>0</v>
      </c>
      <c r="AI90" s="10">
        <v>0</v>
      </c>
      <c r="AJ90" s="10"/>
      <c r="AK90" s="10"/>
      <c r="AL90" s="10"/>
      <c r="AM90" s="10"/>
      <c r="AN90" s="10" t="s">
        <v>102</v>
      </c>
      <c r="AO90" s="10" t="s">
        <v>102</v>
      </c>
      <c r="AP90" s="10" t="s">
        <v>102</v>
      </c>
    </row>
    <row r="91" spans="1:42" ht="93" customHeight="1" x14ac:dyDescent="0.25">
      <c r="A91" s="34"/>
      <c r="B91" s="34"/>
      <c r="C91" s="34"/>
      <c r="D91" s="34"/>
      <c r="E91" s="74"/>
      <c r="F91" s="34"/>
      <c r="G91" s="34"/>
      <c r="H91" s="520"/>
      <c r="I91" s="520"/>
      <c r="J91" s="522"/>
      <c r="K91" s="75"/>
      <c r="L91" s="75"/>
      <c r="M91" s="522"/>
      <c r="N91" s="75"/>
      <c r="O91" s="75"/>
      <c r="P91" s="522"/>
      <c r="Q91" s="548"/>
      <c r="R91" s="75"/>
      <c r="S91" s="522"/>
      <c r="T91" s="37"/>
      <c r="U91" s="37" t="s">
        <v>4247</v>
      </c>
      <c r="V91" s="77"/>
      <c r="W91" s="10"/>
      <c r="X91" s="10"/>
      <c r="Y91" s="397"/>
      <c r="Z91" s="539">
        <v>146.69999999999999</v>
      </c>
      <c r="AA91" s="34"/>
      <c r="AB91" s="10"/>
      <c r="AC91" s="539">
        <v>90</v>
      </c>
      <c r="AD91" s="10" t="s">
        <v>4248</v>
      </c>
      <c r="AE91" s="10"/>
      <c r="AF91" s="10"/>
      <c r="AG91" s="10"/>
      <c r="AH91" s="10"/>
      <c r="AI91" s="10"/>
      <c r="AJ91" s="10"/>
      <c r="AK91" s="10"/>
      <c r="AL91" s="10"/>
      <c r="AM91" s="10"/>
      <c r="AN91" s="10" t="s">
        <v>102</v>
      </c>
      <c r="AO91" s="10" t="s">
        <v>102</v>
      </c>
      <c r="AP91" s="10" t="s">
        <v>102</v>
      </c>
    </row>
    <row r="92" spans="1:42" ht="72" x14ac:dyDescent="0.25">
      <c r="A92" s="34" t="s">
        <v>275</v>
      </c>
      <c r="B92" s="34" t="s">
        <v>3989</v>
      </c>
      <c r="C92" s="34" t="s">
        <v>4038</v>
      </c>
      <c r="D92" s="34">
        <v>253230000</v>
      </c>
      <c r="E92" s="74" t="s">
        <v>4111</v>
      </c>
      <c r="F92" s="34">
        <v>183002001</v>
      </c>
      <c r="G92" s="34" t="s">
        <v>4112</v>
      </c>
      <c r="H92" s="520">
        <v>0</v>
      </c>
      <c r="I92" s="520">
        <f>'[5]FORMATOS PRODUCTOS '!I46</f>
        <v>3476182667</v>
      </c>
      <c r="J92" s="522">
        <f>H92+'[5]FORMATOS PRODUCTOS '!J46</f>
        <v>3476182667</v>
      </c>
      <c r="K92" s="75"/>
      <c r="L92" s="75"/>
      <c r="M92" s="522"/>
      <c r="N92" s="75">
        <f t="shared" si="3"/>
        <v>0</v>
      </c>
      <c r="O92" s="75">
        <f t="shared" si="3"/>
        <v>3476182667</v>
      </c>
      <c r="P92" s="522">
        <f t="shared" si="3"/>
        <v>3476182667</v>
      </c>
      <c r="Q92" s="548">
        <v>3210560320</v>
      </c>
      <c r="R92" s="75"/>
      <c r="S92" s="522">
        <f t="shared" ref="S92" si="6">Q92+R92</f>
        <v>3210560320</v>
      </c>
      <c r="T92" s="37">
        <v>0</v>
      </c>
      <c r="U92" s="37">
        <v>0</v>
      </c>
      <c r="V92" s="77">
        <v>0</v>
      </c>
      <c r="W92" s="10"/>
      <c r="X92" s="10"/>
      <c r="Y92" s="10"/>
      <c r="Z92" s="539"/>
      <c r="AA92" s="34">
        <v>0</v>
      </c>
      <c r="AB92" s="10"/>
      <c r="AC92" s="539"/>
      <c r="AD92" s="10"/>
      <c r="AE92" s="10">
        <v>0</v>
      </c>
      <c r="AF92" s="10">
        <v>0</v>
      </c>
      <c r="AG92" s="10">
        <v>0</v>
      </c>
      <c r="AH92" s="10">
        <v>0</v>
      </c>
      <c r="AI92" s="10">
        <v>0</v>
      </c>
      <c r="AJ92" s="10">
        <v>0</v>
      </c>
      <c r="AK92" s="10">
        <v>0</v>
      </c>
      <c r="AL92" s="10">
        <v>0</v>
      </c>
      <c r="AM92" s="10">
        <v>0</v>
      </c>
      <c r="AN92" s="10">
        <v>0</v>
      </c>
      <c r="AO92" s="10">
        <v>0</v>
      </c>
      <c r="AP92" s="10">
        <v>0</v>
      </c>
    </row>
    <row r="93" spans="1:42" ht="165" x14ac:dyDescent="0.25">
      <c r="A93" s="34"/>
      <c r="B93" s="34"/>
      <c r="C93" s="34"/>
      <c r="D93" s="34"/>
      <c r="E93" s="74"/>
      <c r="F93" s="34"/>
      <c r="G93" s="34"/>
      <c r="H93" s="520"/>
      <c r="I93" s="520">
        <v>0</v>
      </c>
      <c r="J93" s="522"/>
      <c r="K93" s="75"/>
      <c r="L93" s="75"/>
      <c r="M93" s="522"/>
      <c r="N93" s="75"/>
      <c r="O93" s="75"/>
      <c r="P93" s="522"/>
      <c r="Q93" s="548"/>
      <c r="R93" s="75"/>
      <c r="S93" s="522"/>
      <c r="T93" s="37" t="s">
        <v>4249</v>
      </c>
      <c r="U93" s="37" t="s">
        <v>2897</v>
      </c>
      <c r="V93" s="77"/>
      <c r="W93" s="10"/>
      <c r="X93" s="10"/>
      <c r="Y93" s="397">
        <v>0</v>
      </c>
      <c r="Z93" s="539">
        <v>20</v>
      </c>
      <c r="AA93" s="34"/>
      <c r="AB93" s="10"/>
      <c r="AC93" s="539">
        <v>90</v>
      </c>
      <c r="AD93" s="10" t="s">
        <v>4113</v>
      </c>
      <c r="AE93" s="10"/>
      <c r="AF93" s="10"/>
      <c r="AG93" s="10"/>
      <c r="AH93" s="10"/>
      <c r="AI93" s="10"/>
      <c r="AJ93" s="10"/>
      <c r="AK93" s="10"/>
      <c r="AL93" s="10"/>
      <c r="AM93" s="10"/>
      <c r="AN93" s="10" t="s">
        <v>102</v>
      </c>
      <c r="AO93" s="10" t="s">
        <v>102</v>
      </c>
      <c r="AP93" s="10" t="s">
        <v>102</v>
      </c>
    </row>
    <row r="94" spans="1:42" ht="72" x14ac:dyDescent="0.25">
      <c r="A94" s="34" t="s">
        <v>275</v>
      </c>
      <c r="B94" s="34" t="s">
        <v>3989</v>
      </c>
      <c r="C94" s="34" t="s">
        <v>4038</v>
      </c>
      <c r="D94" s="34">
        <v>253230000</v>
      </c>
      <c r="E94" s="74" t="s">
        <v>4114</v>
      </c>
      <c r="F94" s="34">
        <v>182198001</v>
      </c>
      <c r="G94" s="34" t="s">
        <v>4115</v>
      </c>
      <c r="H94" s="520">
        <v>0</v>
      </c>
      <c r="I94" s="520">
        <f>'[5]FORMATOS PRODUCTOS '!I47</f>
        <v>1155925796</v>
      </c>
      <c r="J94" s="522">
        <f>H94+'[5]FORMATOS PRODUCTOS '!J47</f>
        <v>1101680565</v>
      </c>
      <c r="K94" s="75"/>
      <c r="L94" s="75"/>
      <c r="M94" s="522"/>
      <c r="N94" s="75">
        <f>H94+K94</f>
        <v>0</v>
      </c>
      <c r="O94" s="75">
        <f t="shared" ref="O94:P94" si="7">I94+L94</f>
        <v>1155925796</v>
      </c>
      <c r="P94" s="522">
        <f t="shared" si="7"/>
        <v>1101680565</v>
      </c>
      <c r="Q94" s="549">
        <f>P94</f>
        <v>1101680565</v>
      </c>
      <c r="R94" s="75"/>
      <c r="S94" s="522">
        <f t="shared" ref="S94" si="8">Q94+R94</f>
        <v>1101680565</v>
      </c>
      <c r="T94" s="37">
        <v>0</v>
      </c>
      <c r="U94" s="37">
        <v>0</v>
      </c>
      <c r="V94" s="77">
        <v>0</v>
      </c>
      <c r="W94" s="10"/>
      <c r="X94" s="10"/>
      <c r="Y94" s="10"/>
      <c r="Z94" s="539"/>
      <c r="AA94" s="34">
        <v>0</v>
      </c>
      <c r="AB94" s="10"/>
      <c r="AC94" s="539"/>
      <c r="AD94" s="10"/>
      <c r="AE94" s="10">
        <v>0</v>
      </c>
      <c r="AF94" s="10">
        <v>0</v>
      </c>
      <c r="AG94" s="10">
        <v>0</v>
      </c>
      <c r="AH94" s="10">
        <v>0</v>
      </c>
      <c r="AI94" s="10">
        <v>0</v>
      </c>
      <c r="AJ94" s="10">
        <v>0</v>
      </c>
      <c r="AK94" s="10">
        <v>0</v>
      </c>
      <c r="AL94" s="10">
        <v>0</v>
      </c>
      <c r="AM94" s="10">
        <v>0</v>
      </c>
      <c r="AN94" s="10">
        <v>0</v>
      </c>
      <c r="AO94" s="10">
        <v>0</v>
      </c>
      <c r="AP94" s="10">
        <v>0</v>
      </c>
    </row>
    <row r="95" spans="1:42" ht="135" x14ac:dyDescent="0.25">
      <c r="A95" s="34"/>
      <c r="B95" s="34"/>
      <c r="C95" s="34"/>
      <c r="D95" s="34"/>
      <c r="E95" s="74"/>
      <c r="F95" s="34"/>
      <c r="G95" s="34"/>
      <c r="H95" s="520"/>
      <c r="I95" s="520">
        <v>0</v>
      </c>
      <c r="J95" s="522"/>
      <c r="K95" s="75"/>
      <c r="L95" s="75"/>
      <c r="M95" s="522"/>
      <c r="N95" s="75"/>
      <c r="O95" s="75"/>
      <c r="P95" s="522"/>
      <c r="Q95" s="548"/>
      <c r="R95" s="75"/>
      <c r="S95" s="522"/>
      <c r="T95" s="37" t="s">
        <v>4250</v>
      </c>
      <c r="U95" s="37" t="s">
        <v>222</v>
      </c>
      <c r="V95" s="77">
        <v>90</v>
      </c>
      <c r="W95" s="10"/>
      <c r="X95" s="10"/>
      <c r="Y95" s="397">
        <v>0</v>
      </c>
      <c r="Z95" s="539">
        <v>680</v>
      </c>
      <c r="AA95" s="34"/>
      <c r="AB95" s="10"/>
      <c r="AC95" s="539">
        <v>180</v>
      </c>
      <c r="AD95" s="10" t="s">
        <v>4251</v>
      </c>
      <c r="AE95" s="10"/>
      <c r="AF95" s="10"/>
      <c r="AG95" s="10" t="s">
        <v>102</v>
      </c>
      <c r="AH95" s="10" t="s">
        <v>102</v>
      </c>
      <c r="AI95" s="10"/>
      <c r="AJ95" s="10"/>
      <c r="AK95" s="10"/>
      <c r="AL95" s="10"/>
      <c r="AM95" s="10" t="s">
        <v>102</v>
      </c>
      <c r="AN95" s="10" t="s">
        <v>102</v>
      </c>
      <c r="AO95" s="10" t="s">
        <v>102</v>
      </c>
      <c r="AP95" s="10" t="s">
        <v>102</v>
      </c>
    </row>
    <row r="96" spans="1:42" ht="48" x14ac:dyDescent="0.25">
      <c r="A96" s="34" t="s">
        <v>275</v>
      </c>
      <c r="B96" s="34" t="s">
        <v>3989</v>
      </c>
      <c r="C96" s="34" t="s">
        <v>4118</v>
      </c>
      <c r="D96" s="34">
        <v>253310000</v>
      </c>
      <c r="E96" s="74" t="s">
        <v>4120</v>
      </c>
      <c r="F96" s="34">
        <v>182204001</v>
      </c>
      <c r="G96" s="34" t="s">
        <v>4121</v>
      </c>
      <c r="H96" s="520">
        <v>4788899000</v>
      </c>
      <c r="I96" s="520">
        <f>H96+'[5]FORMATOS PRODUCTOS '!I48</f>
        <v>4788898550</v>
      </c>
      <c r="J96" s="522">
        <f>H96+'[5]FORMATOS PRODUCTOS '!J48</f>
        <v>4788898550</v>
      </c>
      <c r="K96" s="75">
        <v>2280000000</v>
      </c>
      <c r="L96" s="529">
        <f>62000000*49</f>
        <v>3038000000</v>
      </c>
      <c r="M96" s="522">
        <v>2302466292</v>
      </c>
      <c r="N96" s="75">
        <f>H96+K96</f>
        <v>7068899000</v>
      </c>
      <c r="O96" s="75">
        <f>I96+L96</f>
        <v>7826898550</v>
      </c>
      <c r="P96" s="522">
        <f>J96+M96</f>
        <v>7091364842</v>
      </c>
      <c r="Q96" s="548">
        <v>4788898550</v>
      </c>
      <c r="R96" s="529">
        <f>M96</f>
        <v>2302466292</v>
      </c>
      <c r="S96" s="522">
        <f>Q96+R96</f>
        <v>7091364842</v>
      </c>
      <c r="T96" s="37">
        <v>0</v>
      </c>
      <c r="U96" s="37">
        <v>0</v>
      </c>
      <c r="V96" s="77">
        <v>0</v>
      </c>
      <c r="W96" s="10"/>
      <c r="X96" s="10"/>
      <c r="Y96" s="10"/>
      <c r="Z96" s="539"/>
      <c r="AA96" s="34">
        <v>0</v>
      </c>
      <c r="AB96" s="10"/>
      <c r="AC96" s="539"/>
      <c r="AD96" s="10"/>
      <c r="AE96" s="10">
        <v>0</v>
      </c>
      <c r="AF96" s="10">
        <v>0</v>
      </c>
      <c r="AG96" s="10">
        <v>0</v>
      </c>
      <c r="AH96" s="10">
        <v>0</v>
      </c>
      <c r="AI96" s="10">
        <v>0</v>
      </c>
      <c r="AJ96" s="10">
        <v>0</v>
      </c>
      <c r="AK96" s="10">
        <v>0</v>
      </c>
      <c r="AL96" s="10">
        <v>0</v>
      </c>
      <c r="AM96" s="10">
        <v>0</v>
      </c>
      <c r="AN96" s="10">
        <v>0</v>
      </c>
      <c r="AO96" s="10">
        <v>0</v>
      </c>
      <c r="AP96" s="10">
        <v>0</v>
      </c>
    </row>
    <row r="97" spans="1:103" ht="165" x14ac:dyDescent="0.25">
      <c r="A97" s="34">
        <v>0</v>
      </c>
      <c r="B97" s="34">
        <v>0</v>
      </c>
      <c r="C97" s="34">
        <v>0</v>
      </c>
      <c r="D97" s="34">
        <v>0</v>
      </c>
      <c r="E97" s="74">
        <v>0</v>
      </c>
      <c r="F97" s="34">
        <v>0</v>
      </c>
      <c r="G97" s="34">
        <v>0</v>
      </c>
      <c r="H97" s="520">
        <v>0</v>
      </c>
      <c r="I97" s="520">
        <v>0</v>
      </c>
      <c r="J97" s="522"/>
      <c r="K97" s="75"/>
      <c r="L97" s="75"/>
      <c r="M97" s="522"/>
      <c r="N97" s="75">
        <f t="shared" ref="N97:O109" si="9">H97+K97</f>
        <v>0</v>
      </c>
      <c r="O97" s="75">
        <f t="shared" si="9"/>
        <v>0</v>
      </c>
      <c r="P97" s="522">
        <f t="shared" si="4"/>
        <v>0</v>
      </c>
      <c r="Q97" s="548"/>
      <c r="R97" s="75"/>
      <c r="S97" s="522">
        <f t="shared" si="5"/>
        <v>0</v>
      </c>
      <c r="T97" s="37" t="s">
        <v>4252</v>
      </c>
      <c r="U97" s="37" t="s">
        <v>2897</v>
      </c>
      <c r="V97" s="528">
        <v>220</v>
      </c>
      <c r="W97" s="10">
        <v>17</v>
      </c>
      <c r="X97" s="10"/>
      <c r="Y97" s="10">
        <v>17</v>
      </c>
      <c r="Z97" s="539">
        <f>772-Y97</f>
        <v>755</v>
      </c>
      <c r="AA97" s="34">
        <v>330</v>
      </c>
      <c r="AB97" s="10">
        <v>180</v>
      </c>
      <c r="AC97" s="539">
        <v>210</v>
      </c>
      <c r="AD97" s="10" t="s">
        <v>4123</v>
      </c>
      <c r="AE97" s="10"/>
      <c r="AF97" s="10"/>
      <c r="AG97" s="10"/>
      <c r="AH97" s="10"/>
      <c r="AI97" s="10"/>
      <c r="AJ97" s="10" t="s">
        <v>102</v>
      </c>
      <c r="AK97" s="10" t="s">
        <v>102</v>
      </c>
      <c r="AL97" s="10" t="s">
        <v>102</v>
      </c>
      <c r="AM97" s="10" t="s">
        <v>102</v>
      </c>
      <c r="AN97" s="10" t="s">
        <v>102</v>
      </c>
      <c r="AO97" s="10" t="s">
        <v>102</v>
      </c>
      <c r="AP97" s="10" t="s">
        <v>102</v>
      </c>
    </row>
    <row r="98" spans="1:103" ht="48" x14ac:dyDescent="0.25">
      <c r="A98" s="34" t="s">
        <v>275</v>
      </c>
      <c r="B98" s="34" t="s">
        <v>3989</v>
      </c>
      <c r="C98" s="34" t="s">
        <v>4118</v>
      </c>
      <c r="D98" s="34">
        <v>253310000</v>
      </c>
      <c r="E98" s="74" t="s">
        <v>4126</v>
      </c>
      <c r="F98" s="34">
        <v>182295001</v>
      </c>
      <c r="G98" s="34" t="s">
        <v>4127</v>
      </c>
      <c r="H98" s="520">
        <v>8400000000</v>
      </c>
      <c r="I98" s="520">
        <f>H98+'[5]FORMATOS PRODUCTOS '!I50</f>
        <v>7567914013</v>
      </c>
      <c r="J98" s="522">
        <f>H98+'[5]FORMATOS PRODUCTOS '!J50</f>
        <v>7525198144.1854649</v>
      </c>
      <c r="K98" s="75">
        <v>10000000000</v>
      </c>
      <c r="L98" s="75">
        <f>K98</f>
        <v>10000000000</v>
      </c>
      <c r="M98" s="522">
        <v>23730204122</v>
      </c>
      <c r="N98" s="75">
        <f>H98+K98</f>
        <v>18400000000</v>
      </c>
      <c r="O98" s="75">
        <f>I98+L98</f>
        <v>17567914013</v>
      </c>
      <c r="P98" s="522">
        <f>J98+M98</f>
        <v>31255402266.185463</v>
      </c>
      <c r="Q98" s="548">
        <f>J98-5441566</f>
        <v>7519756578.1854649</v>
      </c>
      <c r="R98" s="529">
        <f>M98</f>
        <v>23730204122</v>
      </c>
      <c r="S98" s="522">
        <f t="shared" si="5"/>
        <v>31249960700.185463</v>
      </c>
      <c r="T98" s="37">
        <v>0</v>
      </c>
      <c r="U98" s="37">
        <v>0</v>
      </c>
      <c r="V98" s="77">
        <v>0</v>
      </c>
      <c r="W98" s="10"/>
      <c r="X98" s="10"/>
      <c r="Y98" s="10"/>
      <c r="Z98" s="539"/>
      <c r="AA98" s="34">
        <v>0</v>
      </c>
      <c r="AB98" s="10"/>
      <c r="AC98" s="539"/>
      <c r="AD98" s="10"/>
      <c r="AE98" s="10">
        <v>0</v>
      </c>
      <c r="AF98" s="10">
        <v>0</v>
      </c>
      <c r="AG98" s="10">
        <v>0</v>
      </c>
      <c r="AH98" s="10">
        <v>0</v>
      </c>
      <c r="AI98" s="10">
        <v>0</v>
      </c>
      <c r="AJ98" s="10">
        <v>0</v>
      </c>
      <c r="AK98" s="10">
        <v>0</v>
      </c>
      <c r="AL98" s="10">
        <v>0</v>
      </c>
      <c r="AM98" s="10">
        <v>0</v>
      </c>
      <c r="AN98" s="10">
        <v>0</v>
      </c>
      <c r="AO98" s="10">
        <v>0</v>
      </c>
      <c r="AP98" s="10">
        <v>0</v>
      </c>
    </row>
    <row r="99" spans="1:103" ht="150" x14ac:dyDescent="0.25">
      <c r="A99" s="34">
        <v>0</v>
      </c>
      <c r="B99" s="34">
        <v>0</v>
      </c>
      <c r="C99" s="34">
        <v>0</v>
      </c>
      <c r="D99" s="34">
        <v>0</v>
      </c>
      <c r="E99" s="74">
        <v>0</v>
      </c>
      <c r="F99" s="34">
        <v>0</v>
      </c>
      <c r="G99" s="34">
        <v>0</v>
      </c>
      <c r="H99" s="520">
        <v>0</v>
      </c>
      <c r="I99" s="520">
        <v>0</v>
      </c>
      <c r="J99" s="522"/>
      <c r="K99" s="75"/>
      <c r="L99" s="75"/>
      <c r="M99" s="522"/>
      <c r="N99" s="75">
        <f t="shared" si="9"/>
        <v>0</v>
      </c>
      <c r="O99" s="75">
        <f t="shared" si="9"/>
        <v>0</v>
      </c>
      <c r="P99" s="522">
        <f t="shared" si="4"/>
        <v>0</v>
      </c>
      <c r="Q99" s="548"/>
      <c r="R99" s="75"/>
      <c r="S99" s="522">
        <f t="shared" si="5"/>
        <v>0</v>
      </c>
      <c r="T99" s="37" t="s">
        <v>4253</v>
      </c>
      <c r="U99" s="37" t="s">
        <v>2717</v>
      </c>
      <c r="V99" s="77">
        <v>110</v>
      </c>
      <c r="W99" s="10"/>
      <c r="X99" s="10"/>
      <c r="Y99" s="397">
        <v>0</v>
      </c>
      <c r="Z99" s="555">
        <v>112</v>
      </c>
      <c r="AA99" s="34">
        <v>270</v>
      </c>
      <c r="AB99" s="10"/>
      <c r="AC99" s="539">
        <v>270</v>
      </c>
      <c r="AD99" s="10" t="s">
        <v>4129</v>
      </c>
      <c r="AE99" s="10">
        <v>0</v>
      </c>
      <c r="AF99" s="10">
        <v>0</v>
      </c>
      <c r="AG99" s="10">
        <v>0</v>
      </c>
      <c r="AH99" s="10" t="s">
        <v>102</v>
      </c>
      <c r="AI99" s="10" t="s">
        <v>102</v>
      </c>
      <c r="AJ99" s="10" t="s">
        <v>102</v>
      </c>
      <c r="AK99" s="10" t="s">
        <v>102</v>
      </c>
      <c r="AL99" s="10" t="s">
        <v>102</v>
      </c>
      <c r="AM99" s="10" t="s">
        <v>102</v>
      </c>
      <c r="AN99" s="10" t="s">
        <v>102</v>
      </c>
      <c r="AO99" s="10" t="s">
        <v>102</v>
      </c>
      <c r="AP99" s="10" t="s">
        <v>102</v>
      </c>
    </row>
    <row r="100" spans="1:103" ht="36" x14ac:dyDescent="0.25">
      <c r="A100" s="34">
        <v>0</v>
      </c>
      <c r="B100" s="34">
        <v>0</v>
      </c>
      <c r="C100" s="34">
        <v>0</v>
      </c>
      <c r="D100" s="34">
        <v>0</v>
      </c>
      <c r="E100" s="74">
        <v>0</v>
      </c>
      <c r="F100" s="34">
        <v>0</v>
      </c>
      <c r="G100" s="34">
        <v>0</v>
      </c>
      <c r="H100" s="520">
        <v>0</v>
      </c>
      <c r="I100" s="520">
        <v>0</v>
      </c>
      <c r="J100" s="522"/>
      <c r="K100" s="75"/>
      <c r="L100" s="75"/>
      <c r="M100" s="522"/>
      <c r="N100" s="75">
        <f t="shared" si="9"/>
        <v>0</v>
      </c>
      <c r="O100" s="75">
        <f t="shared" si="9"/>
        <v>0</v>
      </c>
      <c r="P100" s="522">
        <f t="shared" si="4"/>
        <v>0</v>
      </c>
      <c r="Q100" s="548"/>
      <c r="R100" s="75"/>
      <c r="S100" s="522">
        <f t="shared" si="5"/>
        <v>0</v>
      </c>
      <c r="T100" s="37" t="s">
        <v>4227</v>
      </c>
      <c r="U100" s="37" t="s">
        <v>4228</v>
      </c>
      <c r="V100" s="77">
        <v>2</v>
      </c>
      <c r="W100" s="10"/>
      <c r="X100" s="10"/>
      <c r="Y100" s="10">
        <v>2</v>
      </c>
      <c r="Z100" s="539">
        <v>2</v>
      </c>
      <c r="AA100" s="34">
        <v>330</v>
      </c>
      <c r="AB100" s="523">
        <v>6</v>
      </c>
      <c r="AC100" s="539">
        <v>180</v>
      </c>
      <c r="AD100" s="10" t="s">
        <v>4179</v>
      </c>
      <c r="AE100" s="10">
        <v>0</v>
      </c>
      <c r="AF100" s="10"/>
      <c r="AG100" s="10"/>
      <c r="AH100" s="10"/>
      <c r="AI100" s="10"/>
      <c r="AJ100" s="10"/>
      <c r="AK100" s="10" t="s">
        <v>102</v>
      </c>
      <c r="AL100" s="10" t="s">
        <v>102</v>
      </c>
      <c r="AM100" s="10" t="s">
        <v>102</v>
      </c>
      <c r="AN100" s="10" t="s">
        <v>102</v>
      </c>
      <c r="AO100" s="10" t="s">
        <v>102</v>
      </c>
      <c r="AP100" s="10" t="s">
        <v>102</v>
      </c>
    </row>
    <row r="101" spans="1:103" s="558" customFormat="1" ht="48" x14ac:dyDescent="0.25">
      <c r="A101" s="257" t="s">
        <v>275</v>
      </c>
      <c r="B101" s="257" t="s">
        <v>3989</v>
      </c>
      <c r="C101" s="257" t="s">
        <v>4118</v>
      </c>
      <c r="D101" s="257">
        <v>253310000</v>
      </c>
      <c r="E101" s="74" t="s">
        <v>4130</v>
      </c>
      <c r="F101" s="74">
        <v>242211</v>
      </c>
      <c r="G101" s="34" t="s">
        <v>4254</v>
      </c>
      <c r="H101" s="542">
        <v>0</v>
      </c>
      <c r="I101" s="542">
        <f>H101+'[5]FORMATOS PRODUCTOS '!I51</f>
        <v>0</v>
      </c>
      <c r="J101" s="522">
        <f>H101+'[5]FORMATOS PRODUCTOS '!J51</f>
        <v>94402890</v>
      </c>
      <c r="K101" s="75"/>
      <c r="L101" s="75"/>
      <c r="M101" s="526"/>
      <c r="N101" s="75"/>
      <c r="O101" s="75"/>
      <c r="P101" s="526"/>
      <c r="Q101" s="546"/>
      <c r="R101" s="75"/>
      <c r="S101" s="522"/>
      <c r="T101" s="37" t="s">
        <v>4255</v>
      </c>
      <c r="U101" s="37"/>
      <c r="V101" s="77"/>
      <c r="W101" s="10"/>
      <c r="X101" s="10"/>
      <c r="Y101" s="397"/>
      <c r="Z101" s="539"/>
      <c r="AA101" s="34"/>
      <c r="AB101" s="10"/>
      <c r="AC101" s="539"/>
      <c r="AD101" s="10" t="s">
        <v>4133</v>
      </c>
      <c r="AE101" s="10"/>
      <c r="AF101" s="10"/>
      <c r="AG101" s="10"/>
      <c r="AH101" s="10"/>
      <c r="AI101" s="10"/>
      <c r="AJ101" s="10"/>
      <c r="AK101" s="10"/>
      <c r="AL101" s="10"/>
      <c r="AM101" s="10"/>
      <c r="AN101" s="10"/>
      <c r="AO101" s="10"/>
      <c r="AP101" s="557"/>
      <c r="AQ101" s="231"/>
      <c r="AR101" s="231"/>
      <c r="AS101" s="231"/>
      <c r="AT101" s="231"/>
      <c r="AU101" s="231"/>
      <c r="AV101" s="231"/>
      <c r="AW101" s="231"/>
      <c r="AX101" s="231"/>
      <c r="AY101" s="231"/>
      <c r="AZ101" s="231"/>
      <c r="BA101" s="231"/>
      <c r="BB101" s="231"/>
      <c r="BC101" s="231"/>
      <c r="BD101" s="231"/>
      <c r="BE101" s="231"/>
      <c r="BF101" s="231"/>
      <c r="BG101" s="231"/>
      <c r="BH101" s="231"/>
      <c r="BI101" s="231"/>
      <c r="BJ101" s="231"/>
      <c r="BK101" s="231"/>
      <c r="BL101" s="231"/>
      <c r="BM101" s="231"/>
      <c r="BN101" s="231"/>
      <c r="BO101" s="231"/>
      <c r="BP101" s="231"/>
      <c r="BQ101" s="231"/>
      <c r="BR101" s="231"/>
      <c r="BS101" s="231"/>
      <c r="BT101" s="231"/>
      <c r="BU101" s="231"/>
      <c r="BV101" s="231"/>
      <c r="BW101" s="231"/>
      <c r="BX101" s="231"/>
      <c r="BY101" s="231"/>
      <c r="BZ101" s="231"/>
      <c r="CA101" s="231"/>
      <c r="CB101" s="231"/>
      <c r="CC101" s="231"/>
      <c r="CD101" s="231"/>
      <c r="CE101" s="231"/>
      <c r="CF101" s="231"/>
      <c r="CG101" s="231"/>
      <c r="CH101" s="231"/>
      <c r="CI101" s="231"/>
      <c r="CJ101" s="231"/>
      <c r="CK101" s="231"/>
      <c r="CL101" s="231"/>
      <c r="CM101" s="231"/>
      <c r="CN101" s="231"/>
      <c r="CO101" s="231"/>
      <c r="CP101" s="231"/>
      <c r="CQ101" s="231"/>
      <c r="CR101" s="231"/>
      <c r="CS101" s="231"/>
      <c r="CT101" s="231"/>
      <c r="CU101" s="231"/>
      <c r="CV101" s="231"/>
      <c r="CW101" s="231"/>
      <c r="CX101" s="231"/>
      <c r="CY101" s="231"/>
    </row>
    <row r="102" spans="1:103" s="559" customFormat="1" ht="60" x14ac:dyDescent="0.25">
      <c r="A102" s="257" t="s">
        <v>275</v>
      </c>
      <c r="B102" s="257" t="s">
        <v>3989</v>
      </c>
      <c r="C102" s="257" t="s">
        <v>4118</v>
      </c>
      <c r="D102" s="257">
        <v>253310000</v>
      </c>
      <c r="E102" s="74" t="s">
        <v>4134</v>
      </c>
      <c r="F102" s="74"/>
      <c r="G102" s="34" t="s">
        <v>4135</v>
      </c>
      <c r="H102" s="542"/>
      <c r="I102" s="542"/>
      <c r="J102" s="522">
        <f>H102+'[5]FORMATOS PRODUCTOS '!J52</f>
        <v>0</v>
      </c>
      <c r="K102" s="75"/>
      <c r="L102" s="75"/>
      <c r="M102" s="526"/>
      <c r="N102" s="75"/>
      <c r="O102" s="75"/>
      <c r="P102" s="526"/>
      <c r="Q102" s="546"/>
      <c r="R102" s="75"/>
      <c r="S102" s="522"/>
      <c r="T102" s="37"/>
      <c r="U102" s="37"/>
      <c r="V102" s="77"/>
      <c r="W102" s="10"/>
      <c r="X102" s="10"/>
      <c r="Y102" s="397"/>
      <c r="Z102" s="539"/>
      <c r="AA102" s="34"/>
      <c r="AB102" s="10"/>
      <c r="AC102" s="539"/>
      <c r="AD102" s="10"/>
      <c r="AE102" s="10"/>
      <c r="AF102" s="10"/>
      <c r="AG102" s="10"/>
      <c r="AH102" s="10"/>
      <c r="AI102" s="10"/>
      <c r="AJ102" s="10"/>
      <c r="AK102" s="10"/>
      <c r="AL102" s="10"/>
      <c r="AM102" s="10"/>
      <c r="AN102" s="10"/>
      <c r="AO102" s="10"/>
      <c r="AP102" s="557"/>
      <c r="AQ102" s="231"/>
      <c r="AR102" s="231"/>
      <c r="AS102" s="231"/>
      <c r="AT102" s="231"/>
      <c r="AU102" s="231"/>
      <c r="AV102" s="231"/>
      <c r="AW102" s="231"/>
      <c r="AX102" s="231"/>
      <c r="AY102" s="231"/>
      <c r="AZ102" s="231"/>
      <c r="BA102" s="231"/>
      <c r="BB102" s="231"/>
      <c r="BC102" s="231"/>
      <c r="BD102" s="231"/>
      <c r="BE102" s="231"/>
      <c r="BF102" s="231"/>
      <c r="BG102" s="231"/>
      <c r="BH102" s="231"/>
      <c r="BI102" s="231"/>
      <c r="BJ102" s="231"/>
      <c r="BK102" s="231"/>
      <c r="BL102" s="231"/>
      <c r="BM102" s="231"/>
      <c r="BN102" s="231"/>
      <c r="BO102" s="231"/>
      <c r="BP102" s="231"/>
      <c r="BQ102" s="231"/>
      <c r="BR102" s="231"/>
      <c r="BS102" s="231"/>
      <c r="BT102" s="231"/>
      <c r="BU102" s="231"/>
      <c r="BV102" s="231"/>
      <c r="BW102" s="231"/>
      <c r="BX102" s="231"/>
      <c r="BY102" s="231"/>
      <c r="BZ102" s="231"/>
      <c r="CA102" s="231"/>
      <c r="CB102" s="231"/>
      <c r="CC102" s="231"/>
      <c r="CD102" s="231"/>
      <c r="CE102" s="231"/>
      <c r="CF102" s="231"/>
      <c r="CG102" s="231"/>
      <c r="CH102" s="231"/>
      <c r="CI102" s="231"/>
      <c r="CJ102" s="231"/>
      <c r="CK102" s="231"/>
      <c r="CL102" s="231"/>
      <c r="CM102" s="231"/>
      <c r="CN102" s="231"/>
      <c r="CO102" s="231"/>
      <c r="CP102" s="231"/>
      <c r="CQ102" s="231"/>
      <c r="CR102" s="231"/>
      <c r="CS102" s="231"/>
      <c r="CT102" s="231"/>
      <c r="CU102" s="231"/>
      <c r="CV102" s="231"/>
      <c r="CW102" s="231"/>
      <c r="CX102" s="231"/>
      <c r="CY102" s="231"/>
    </row>
    <row r="103" spans="1:103" ht="48" x14ac:dyDescent="0.25">
      <c r="A103" s="34" t="s">
        <v>275</v>
      </c>
      <c r="B103" s="34" t="s">
        <v>3989</v>
      </c>
      <c r="C103" s="34" t="s">
        <v>4118</v>
      </c>
      <c r="D103" s="34">
        <v>253310000</v>
      </c>
      <c r="E103" s="74" t="s">
        <v>4138</v>
      </c>
      <c r="F103" s="34">
        <v>182312001</v>
      </c>
      <c r="G103" s="34" t="s">
        <v>4139</v>
      </c>
      <c r="H103" s="520">
        <v>433561000</v>
      </c>
      <c r="I103" s="520">
        <f>H103+'[5]FORMATOS PRODUCTOS '!I53</f>
        <v>433561000</v>
      </c>
      <c r="J103" s="522">
        <f>H103+'[5]FORMATOS PRODUCTOS '!J53</f>
        <v>433500000</v>
      </c>
      <c r="K103" s="520">
        <f>30446676+45810798</f>
        <v>76257474</v>
      </c>
      <c r="L103" s="75"/>
      <c r="M103" s="522">
        <f>K103</f>
        <v>76257474</v>
      </c>
      <c r="N103" s="75">
        <f t="shared" si="9"/>
        <v>509818474</v>
      </c>
      <c r="O103" s="75">
        <f t="shared" si="9"/>
        <v>433561000</v>
      </c>
      <c r="P103" s="522">
        <f t="shared" si="4"/>
        <v>509757474</v>
      </c>
      <c r="Q103" s="548">
        <v>433500000</v>
      </c>
      <c r="R103" s="75">
        <f>M103</f>
        <v>76257474</v>
      </c>
      <c r="S103" s="522">
        <f t="shared" si="5"/>
        <v>509757474</v>
      </c>
      <c r="T103" s="37">
        <v>0</v>
      </c>
      <c r="U103" s="37">
        <v>0</v>
      </c>
      <c r="V103" s="77">
        <v>0</v>
      </c>
      <c r="W103" s="10"/>
      <c r="X103" s="10"/>
      <c r="Y103" s="10"/>
      <c r="Z103" s="539"/>
      <c r="AA103" s="34">
        <v>0</v>
      </c>
      <c r="AB103" s="10"/>
      <c r="AC103" s="539"/>
      <c r="AD103" s="10"/>
      <c r="AE103" s="10">
        <v>0</v>
      </c>
      <c r="AF103" s="10">
        <v>0</v>
      </c>
      <c r="AG103" s="10">
        <v>0</v>
      </c>
      <c r="AH103" s="10">
        <v>0</v>
      </c>
      <c r="AI103" s="10">
        <v>0</v>
      </c>
      <c r="AJ103" s="10">
        <v>0</v>
      </c>
      <c r="AK103" s="10">
        <v>0</v>
      </c>
      <c r="AL103" s="10">
        <v>0</v>
      </c>
      <c r="AM103" s="10">
        <v>0</v>
      </c>
      <c r="AN103" s="10">
        <v>0</v>
      </c>
      <c r="AO103" s="10">
        <v>0</v>
      </c>
      <c r="AP103" s="10">
        <v>0</v>
      </c>
    </row>
    <row r="104" spans="1:103" ht="45" x14ac:dyDescent="0.25">
      <c r="A104" s="34">
        <v>0</v>
      </c>
      <c r="B104" s="34">
        <v>0</v>
      </c>
      <c r="C104" s="34">
        <v>0</v>
      </c>
      <c r="D104" s="34">
        <v>0</v>
      </c>
      <c r="E104" s="74">
        <v>0</v>
      </c>
      <c r="F104" s="34">
        <v>0</v>
      </c>
      <c r="G104" s="34">
        <v>0</v>
      </c>
      <c r="H104" s="520">
        <v>0</v>
      </c>
      <c r="I104" s="520">
        <v>0</v>
      </c>
      <c r="J104" s="522"/>
      <c r="K104" s="75"/>
      <c r="L104" s="75"/>
      <c r="M104" s="522"/>
      <c r="N104" s="75">
        <f t="shared" si="9"/>
        <v>0</v>
      </c>
      <c r="O104" s="75">
        <f t="shared" si="9"/>
        <v>0</v>
      </c>
      <c r="P104" s="522">
        <f t="shared" si="4"/>
        <v>0</v>
      </c>
      <c r="Q104" s="548"/>
      <c r="R104" s="75"/>
      <c r="S104" s="522">
        <f t="shared" si="5"/>
        <v>0</v>
      </c>
      <c r="T104" s="37" t="s">
        <v>4256</v>
      </c>
      <c r="U104" s="37" t="s">
        <v>2897</v>
      </c>
      <c r="V104" s="77">
        <v>60</v>
      </c>
      <c r="W104" s="10"/>
      <c r="X104" s="10"/>
      <c r="Y104" s="397">
        <v>0</v>
      </c>
      <c r="Z104" s="539">
        <v>60</v>
      </c>
      <c r="AA104" s="34">
        <v>150</v>
      </c>
      <c r="AB104" s="10"/>
      <c r="AC104" s="539">
        <f>150</f>
        <v>150</v>
      </c>
      <c r="AD104" s="10" t="s">
        <v>4257</v>
      </c>
      <c r="AE104" s="10"/>
      <c r="AF104" s="10"/>
      <c r="AG104" s="10"/>
      <c r="AH104" s="10"/>
      <c r="AI104" s="10"/>
      <c r="AJ104" s="10"/>
      <c r="AK104" s="10"/>
      <c r="AL104" s="10" t="s">
        <v>102</v>
      </c>
      <c r="AM104" s="10" t="s">
        <v>102</v>
      </c>
      <c r="AN104" s="10" t="s">
        <v>102</v>
      </c>
      <c r="AO104" s="10" t="s">
        <v>102</v>
      </c>
      <c r="AP104" s="10" t="s">
        <v>102</v>
      </c>
    </row>
    <row r="105" spans="1:103" ht="48" x14ac:dyDescent="0.25">
      <c r="A105" s="34" t="s">
        <v>275</v>
      </c>
      <c r="B105" s="34" t="s">
        <v>3989</v>
      </c>
      <c r="C105" s="34" t="s">
        <v>4118</v>
      </c>
      <c r="D105" s="34">
        <v>253320000</v>
      </c>
      <c r="E105" s="74" t="s">
        <v>4143</v>
      </c>
      <c r="F105" s="34">
        <v>172111001</v>
      </c>
      <c r="G105" s="34" t="s">
        <v>4144</v>
      </c>
      <c r="H105" s="520">
        <v>2025000000</v>
      </c>
      <c r="I105" s="520">
        <f>H105+'[5]FORMATOS PRODUCTOS '!I54</f>
        <v>7114144390</v>
      </c>
      <c r="J105" s="522">
        <f>H105+'[5]FORMATOS PRODUCTOS '!J54</f>
        <v>8114144390</v>
      </c>
      <c r="K105" s="75"/>
      <c r="L105" s="75"/>
      <c r="M105" s="522"/>
      <c r="N105" s="75">
        <f t="shared" si="9"/>
        <v>2025000000</v>
      </c>
      <c r="O105" s="75">
        <f t="shared" si="9"/>
        <v>7114144390</v>
      </c>
      <c r="P105" s="522">
        <f t="shared" si="4"/>
        <v>8114144390</v>
      </c>
      <c r="Q105" s="548">
        <f>P105-38927319</f>
        <v>8075217071</v>
      </c>
      <c r="R105" s="75"/>
      <c r="S105" s="522">
        <f t="shared" si="5"/>
        <v>8075217071</v>
      </c>
      <c r="T105" s="37">
        <v>0</v>
      </c>
      <c r="U105" s="37">
        <v>0</v>
      </c>
      <c r="V105" s="77">
        <v>0</v>
      </c>
      <c r="W105" s="10"/>
      <c r="X105" s="10"/>
      <c r="Y105" s="10"/>
      <c r="Z105" s="539"/>
      <c r="AA105" s="34">
        <v>0</v>
      </c>
      <c r="AB105" s="10"/>
      <c r="AC105" s="539"/>
      <c r="AD105" s="10"/>
      <c r="AE105" s="10">
        <v>0</v>
      </c>
      <c r="AF105" s="10">
        <v>0</v>
      </c>
      <c r="AG105" s="10">
        <v>0</v>
      </c>
      <c r="AH105" s="10">
        <v>0</v>
      </c>
      <c r="AI105" s="10">
        <v>0</v>
      </c>
      <c r="AJ105" s="10">
        <v>0</v>
      </c>
      <c r="AK105" s="10">
        <v>0</v>
      </c>
      <c r="AL105" s="10">
        <v>0</v>
      </c>
      <c r="AM105" s="10">
        <v>0</v>
      </c>
      <c r="AN105" s="10">
        <v>0</v>
      </c>
      <c r="AO105" s="10">
        <v>0</v>
      </c>
      <c r="AP105" s="10">
        <v>0</v>
      </c>
    </row>
    <row r="106" spans="1:103" ht="36" x14ac:dyDescent="0.25">
      <c r="A106" s="34">
        <v>0</v>
      </c>
      <c r="B106" s="34">
        <v>0</v>
      </c>
      <c r="C106" s="34">
        <v>0</v>
      </c>
      <c r="D106" s="34">
        <v>0</v>
      </c>
      <c r="E106" s="74">
        <v>0</v>
      </c>
      <c r="F106" s="34">
        <v>0</v>
      </c>
      <c r="G106" s="34">
        <v>0</v>
      </c>
      <c r="H106" s="520">
        <v>0</v>
      </c>
      <c r="I106" s="520">
        <v>0</v>
      </c>
      <c r="J106" s="522"/>
      <c r="K106" s="75"/>
      <c r="L106" s="75"/>
      <c r="M106" s="522"/>
      <c r="N106" s="75">
        <f t="shared" si="9"/>
        <v>0</v>
      </c>
      <c r="O106" s="75">
        <f t="shared" si="9"/>
        <v>0</v>
      </c>
      <c r="P106" s="522">
        <f t="shared" si="4"/>
        <v>0</v>
      </c>
      <c r="Q106" s="548"/>
      <c r="R106" s="75"/>
      <c r="S106" s="522">
        <f t="shared" si="5"/>
        <v>0</v>
      </c>
      <c r="T106" s="37" t="s">
        <v>4258</v>
      </c>
      <c r="U106" s="37" t="s">
        <v>4151</v>
      </c>
      <c r="V106" s="77">
        <v>1</v>
      </c>
      <c r="W106" s="10"/>
      <c r="X106" s="10"/>
      <c r="Y106" s="397">
        <v>0</v>
      </c>
      <c r="Z106" s="552">
        <v>0</v>
      </c>
      <c r="AA106" s="34">
        <v>330</v>
      </c>
      <c r="AB106" s="10"/>
      <c r="AC106" s="539">
        <v>0</v>
      </c>
      <c r="AD106" s="10" t="s">
        <v>4259</v>
      </c>
      <c r="AE106" s="10">
        <v>0</v>
      </c>
      <c r="AF106" s="10"/>
      <c r="AG106" s="10"/>
      <c r="AH106" s="10"/>
      <c r="AI106" s="10"/>
      <c r="AJ106" s="10"/>
      <c r="AK106" s="10"/>
      <c r="AL106" s="10"/>
      <c r="AM106" s="10"/>
      <c r="AN106" s="10"/>
      <c r="AO106" s="10"/>
      <c r="AP106" s="10"/>
    </row>
    <row r="107" spans="1:103" ht="58.5" customHeight="1" x14ac:dyDescent="0.25">
      <c r="A107" s="34">
        <v>0</v>
      </c>
      <c r="B107" s="34">
        <v>0</v>
      </c>
      <c r="C107" s="34">
        <v>0</v>
      </c>
      <c r="D107" s="34">
        <v>0</v>
      </c>
      <c r="E107" s="74">
        <v>0</v>
      </c>
      <c r="F107" s="34">
        <v>0</v>
      </c>
      <c r="G107" s="34">
        <v>0</v>
      </c>
      <c r="H107" s="520">
        <v>0</v>
      </c>
      <c r="I107" s="520">
        <v>0</v>
      </c>
      <c r="J107" s="522"/>
      <c r="K107" s="75"/>
      <c r="L107" s="75"/>
      <c r="M107" s="522"/>
      <c r="N107" s="75">
        <f t="shared" si="9"/>
        <v>0</v>
      </c>
      <c r="O107" s="75">
        <f t="shared" si="9"/>
        <v>0</v>
      </c>
      <c r="P107" s="522">
        <f t="shared" si="4"/>
        <v>0</v>
      </c>
      <c r="Q107" s="548"/>
      <c r="R107" s="75"/>
      <c r="S107" s="522">
        <f t="shared" si="5"/>
        <v>0</v>
      </c>
      <c r="T107" s="37" t="s">
        <v>4260</v>
      </c>
      <c r="U107" s="37" t="s">
        <v>4261</v>
      </c>
      <c r="V107" s="77">
        <v>7</v>
      </c>
      <c r="W107" s="10"/>
      <c r="X107" s="10"/>
      <c r="Y107" s="397">
        <v>0</v>
      </c>
      <c r="Z107" s="552">
        <v>0</v>
      </c>
      <c r="AA107" s="34">
        <v>330</v>
      </c>
      <c r="AB107" s="10"/>
      <c r="AC107" s="539">
        <v>0</v>
      </c>
      <c r="AD107" s="10" t="s">
        <v>4259</v>
      </c>
      <c r="AE107" s="10">
        <v>0</v>
      </c>
      <c r="AF107" s="10"/>
      <c r="AG107" s="10"/>
      <c r="AH107" s="10"/>
      <c r="AI107" s="10"/>
      <c r="AJ107" s="10"/>
      <c r="AK107" s="10"/>
      <c r="AL107" s="10"/>
      <c r="AM107" s="10"/>
      <c r="AN107" s="10"/>
      <c r="AO107" s="10"/>
      <c r="AP107" s="10"/>
    </row>
    <row r="108" spans="1:103" ht="120" x14ac:dyDescent="0.25">
      <c r="A108" s="34"/>
      <c r="B108" s="34"/>
      <c r="C108" s="34"/>
      <c r="D108" s="34"/>
      <c r="E108" s="74"/>
      <c r="F108" s="34"/>
      <c r="G108" s="34"/>
      <c r="H108" s="520"/>
      <c r="I108" s="520"/>
      <c r="J108" s="522"/>
      <c r="K108" s="75"/>
      <c r="L108" s="75"/>
      <c r="M108" s="522"/>
      <c r="N108" s="75"/>
      <c r="O108" s="75"/>
      <c r="P108" s="522"/>
      <c r="Q108" s="548"/>
      <c r="R108" s="75"/>
      <c r="S108" s="522"/>
      <c r="T108" s="37" t="s">
        <v>4262</v>
      </c>
      <c r="U108" s="37" t="s">
        <v>4263</v>
      </c>
      <c r="V108" s="77"/>
      <c r="W108" s="10">
        <v>2</v>
      </c>
      <c r="X108" s="10"/>
      <c r="Y108" s="10">
        <v>2</v>
      </c>
      <c r="Z108" s="539">
        <v>2</v>
      </c>
      <c r="AA108" s="34"/>
      <c r="AB108" s="10">
        <v>180</v>
      </c>
      <c r="AC108" s="539">
        <v>360</v>
      </c>
      <c r="AD108" s="10" t="s">
        <v>4264</v>
      </c>
      <c r="AE108" s="18" t="s">
        <v>102</v>
      </c>
      <c r="AF108" s="18" t="s">
        <v>102</v>
      </c>
      <c r="AG108" s="18" t="s">
        <v>102</v>
      </c>
      <c r="AH108" s="18" t="s">
        <v>102</v>
      </c>
      <c r="AI108" s="18" t="s">
        <v>102</v>
      </c>
      <c r="AJ108" s="18" t="s">
        <v>102</v>
      </c>
      <c r="AK108" s="18" t="s">
        <v>102</v>
      </c>
      <c r="AL108" s="18" t="s">
        <v>102</v>
      </c>
      <c r="AM108" s="18" t="s">
        <v>102</v>
      </c>
      <c r="AN108" s="18" t="s">
        <v>102</v>
      </c>
      <c r="AO108" s="18" t="s">
        <v>102</v>
      </c>
      <c r="AP108" s="18" t="s">
        <v>102</v>
      </c>
    </row>
    <row r="109" spans="1:103" ht="71.25" customHeight="1" x14ac:dyDescent="0.25">
      <c r="A109" s="257" t="s">
        <v>275</v>
      </c>
      <c r="B109" s="257" t="s">
        <v>3989</v>
      </c>
      <c r="C109" s="257" t="s">
        <v>4118</v>
      </c>
      <c r="D109" s="257">
        <v>253310000</v>
      </c>
      <c r="E109" s="258" t="s">
        <v>4147</v>
      </c>
      <c r="F109" s="257">
        <v>172242001</v>
      </c>
      <c r="G109" s="257" t="s">
        <v>4148</v>
      </c>
      <c r="H109" s="530">
        <v>642505000</v>
      </c>
      <c r="I109" s="530">
        <f>H109+'[5]FORMATOS PRODUCTOS '!I55</f>
        <v>4142505000</v>
      </c>
      <c r="J109" s="522">
        <f>H109+'[5]FORMATOS PRODUCTOS '!J55</f>
        <v>0</v>
      </c>
      <c r="K109" s="531"/>
      <c r="L109" s="531"/>
      <c r="M109" s="532">
        <v>0</v>
      </c>
      <c r="N109" s="531">
        <f t="shared" si="9"/>
        <v>642505000</v>
      </c>
      <c r="O109" s="531">
        <f t="shared" si="9"/>
        <v>4142505000</v>
      </c>
      <c r="P109" s="532">
        <f>J109+M109</f>
        <v>0</v>
      </c>
      <c r="Q109" s="560">
        <v>0</v>
      </c>
      <c r="R109" s="531"/>
      <c r="S109" s="533">
        <f t="shared" si="5"/>
        <v>0</v>
      </c>
      <c r="T109" s="261" t="s">
        <v>4265</v>
      </c>
      <c r="U109" s="261" t="s">
        <v>2689</v>
      </c>
      <c r="V109" s="534">
        <v>2</v>
      </c>
      <c r="W109" s="262"/>
      <c r="X109" s="262"/>
      <c r="Y109" s="535">
        <v>0</v>
      </c>
      <c r="Z109" s="561">
        <v>0</v>
      </c>
      <c r="AA109" s="257">
        <v>240</v>
      </c>
      <c r="AB109" s="262"/>
      <c r="AC109" s="562">
        <v>0</v>
      </c>
      <c r="AD109" s="262" t="s">
        <v>4266</v>
      </c>
      <c r="AE109" s="262">
        <v>0</v>
      </c>
      <c r="AF109" s="262">
        <v>0</v>
      </c>
      <c r="AG109" s="262">
        <v>0</v>
      </c>
      <c r="AH109" s="262">
        <v>0</v>
      </c>
      <c r="AI109" s="262"/>
      <c r="AJ109" s="262"/>
      <c r="AK109" s="262"/>
      <c r="AL109" s="262"/>
      <c r="AM109" s="262"/>
      <c r="AN109" s="262"/>
      <c r="AO109" s="262"/>
      <c r="AP109" s="262"/>
    </row>
    <row r="110" spans="1:103" s="563" customFormat="1" x14ac:dyDescent="0.25">
      <c r="A110" s="34"/>
      <c r="B110" s="34"/>
      <c r="C110" s="34"/>
      <c r="D110" s="34"/>
      <c r="E110" s="74"/>
      <c r="F110" s="34"/>
      <c r="G110" s="34"/>
      <c r="H110" s="520"/>
      <c r="I110" s="520"/>
      <c r="J110" s="546"/>
      <c r="K110" s="75"/>
      <c r="L110" s="75"/>
      <c r="M110" s="526"/>
      <c r="N110" s="75"/>
      <c r="O110" s="75"/>
      <c r="P110" s="526"/>
      <c r="Q110" s="546"/>
      <c r="R110" s="75"/>
      <c r="S110" s="522"/>
      <c r="T110" s="37"/>
      <c r="U110" s="37"/>
      <c r="V110" s="77"/>
      <c r="W110" s="10"/>
      <c r="X110" s="10"/>
      <c r="Y110" s="397"/>
      <c r="Z110" s="539"/>
      <c r="AA110" s="34"/>
      <c r="AB110" s="10"/>
      <c r="AC110" s="539"/>
      <c r="AD110" s="10"/>
      <c r="AE110" s="10"/>
      <c r="AF110" s="10"/>
      <c r="AG110" s="10"/>
      <c r="AH110" s="10"/>
      <c r="AI110" s="10"/>
      <c r="AJ110" s="10"/>
      <c r="AK110" s="10"/>
      <c r="AL110" s="10"/>
      <c r="AM110" s="10"/>
      <c r="AN110" s="10"/>
      <c r="AO110" s="10"/>
      <c r="AP110" s="10"/>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row>
    <row r="111" spans="1:103" s="331" customFormat="1" x14ac:dyDescent="0.25">
      <c r="H111" s="564">
        <f>SUM(H9:H109)</f>
        <v>175002736000</v>
      </c>
      <c r="I111" s="564">
        <f>SUM(I9:I109)</f>
        <v>240025175804</v>
      </c>
      <c r="J111" s="564">
        <f t="shared" ref="J111:P111" si="10">SUM(J9:J109)</f>
        <v>252948920991.18546</v>
      </c>
      <c r="K111" s="564">
        <f t="shared" si="10"/>
        <v>44886257474</v>
      </c>
      <c r="L111" s="564">
        <f t="shared" si="10"/>
        <v>52802225999</v>
      </c>
      <c r="M111" s="564">
        <f t="shared" si="10"/>
        <v>72730396767</v>
      </c>
      <c r="N111" s="564">
        <f t="shared" si="10"/>
        <v>219888993474</v>
      </c>
      <c r="O111" s="564">
        <f t="shared" si="10"/>
        <v>289195473026</v>
      </c>
      <c r="P111" s="565">
        <f t="shared" si="10"/>
        <v>320780082891.18549</v>
      </c>
      <c r="Q111" s="564">
        <f>SUM(Q9:Q109)</f>
        <v>243192988777.18546</v>
      </c>
      <c r="V111" s="536"/>
      <c r="Z111" s="536"/>
      <c r="AC111" s="536"/>
      <c r="AQ111" s="543"/>
      <c r="AR111" s="543"/>
      <c r="AS111" s="543"/>
      <c r="AT111" s="543"/>
      <c r="AU111" s="543"/>
      <c r="AV111" s="543"/>
      <c r="AW111" s="543"/>
      <c r="AX111" s="543"/>
      <c r="AY111" s="543"/>
      <c r="AZ111" s="543"/>
      <c r="BA111" s="543"/>
      <c r="BB111" s="543"/>
      <c r="BC111" s="543"/>
      <c r="BD111" s="543"/>
      <c r="BE111" s="543"/>
      <c r="BF111" s="543"/>
      <c r="BG111" s="543"/>
      <c r="BH111" s="543"/>
      <c r="BI111" s="543"/>
      <c r="BJ111" s="543"/>
      <c r="BK111" s="543"/>
      <c r="BL111" s="543"/>
      <c r="BM111" s="543"/>
      <c r="BN111" s="543"/>
      <c r="BO111" s="543"/>
      <c r="BP111" s="543"/>
      <c r="BQ111" s="543"/>
      <c r="BR111" s="543"/>
      <c r="BS111" s="543"/>
      <c r="BT111" s="543"/>
      <c r="BU111" s="543"/>
      <c r="BV111" s="543"/>
      <c r="BW111" s="543"/>
      <c r="BX111" s="543"/>
      <c r="BY111" s="543"/>
      <c r="BZ111" s="543"/>
      <c r="CA111" s="543"/>
      <c r="CB111" s="543"/>
      <c r="CC111" s="543"/>
      <c r="CD111" s="543"/>
      <c r="CE111" s="543"/>
      <c r="CF111" s="543"/>
      <c r="CG111" s="543"/>
      <c r="CH111" s="543"/>
      <c r="CI111" s="543"/>
      <c r="CJ111" s="543"/>
      <c r="CK111" s="543"/>
      <c r="CL111" s="543"/>
      <c r="CM111" s="543"/>
      <c r="CN111" s="543"/>
      <c r="CO111" s="543"/>
      <c r="CP111" s="543"/>
      <c r="CQ111" s="543"/>
      <c r="CR111" s="543"/>
      <c r="CS111" s="543"/>
    </row>
    <row r="113" spans="8:17" x14ac:dyDescent="0.25">
      <c r="H113" s="564"/>
      <c r="I113" s="564">
        <f>I109+H109</f>
        <v>4785010000</v>
      </c>
      <c r="Q113" s="564"/>
    </row>
    <row r="114" spans="8:17" x14ac:dyDescent="0.25">
      <c r="H114" s="155"/>
      <c r="I114" s="155"/>
      <c r="Q114" s="564"/>
    </row>
  </sheetData>
  <sheetProtection algorithmName="SHA-512" hashValue="OPKvalkymqf7bp+r4Lc2xjHNuzK1KFmJjuj62DqhAXUnzmloM7wcP3GHnaJb8b5dI9mi88752fhLM6lzTHDULQ==" saltValue="Kw2uTOtjMZsDIynftwNjdA==" spinCount="100000" sheet="1" objects="1" scenarios="1" formatCell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topLeftCell="A4" zoomScaleNormal="100" workbookViewId="0">
      <pane ySplit="5" topLeftCell="A9" activePane="bottomLeft" state="frozen"/>
      <selection activeCell="A4" sqref="A4"/>
      <selection pane="bottomLeft" activeCell="H12" sqref="H12"/>
    </sheetView>
  </sheetViews>
  <sheetFormatPr baseColWidth="10" defaultRowHeight="15" x14ac:dyDescent="0.25"/>
  <cols>
    <col min="1" max="1" width="11.5703125" style="1" customWidth="1"/>
    <col min="2" max="2" width="11.42578125" style="1"/>
    <col min="3" max="3" width="13.5703125" style="1" customWidth="1"/>
    <col min="4" max="4" width="11.42578125" style="1"/>
    <col min="5" max="5" width="15.5703125" style="1" customWidth="1"/>
    <col min="6" max="6" width="15.28515625" style="1" customWidth="1"/>
    <col min="7" max="7" width="15.85546875" style="1" customWidth="1"/>
    <col min="8" max="8" width="27" style="1" customWidth="1"/>
    <col min="9" max="9" width="22.28515625" style="120" customWidth="1"/>
    <col min="10" max="10" width="15.85546875" style="1" customWidth="1"/>
    <col min="11" max="11" width="23.140625" style="1" customWidth="1"/>
    <col min="12" max="12" width="11.42578125" style="1"/>
    <col min="13" max="13" width="13.28515625" style="1" bestFit="1" customWidth="1"/>
    <col min="14" max="16" width="11.42578125" style="1"/>
    <col min="17" max="17" width="18.28515625" style="1" customWidth="1"/>
    <col min="18" max="256" width="11.42578125" style="1"/>
    <col min="257" max="257" width="11.5703125" style="1" customWidth="1"/>
    <col min="258" max="258" width="11.42578125" style="1"/>
    <col min="259" max="259" width="13.5703125" style="1" customWidth="1"/>
    <col min="260" max="260" width="11.42578125" style="1"/>
    <col min="261" max="261" width="15.5703125" style="1" customWidth="1"/>
    <col min="262" max="262" width="15.28515625" style="1" customWidth="1"/>
    <col min="263" max="263" width="15.85546875" style="1" customWidth="1"/>
    <col min="264" max="264" width="27" style="1" customWidth="1"/>
    <col min="265" max="265" width="22.28515625" style="1" customWidth="1"/>
    <col min="266" max="266" width="15.85546875" style="1" customWidth="1"/>
    <col min="267" max="267" width="23.140625" style="1" customWidth="1"/>
    <col min="268" max="268" width="11.42578125" style="1"/>
    <col min="269" max="269" width="13.28515625" style="1" bestFit="1" customWidth="1"/>
    <col min="270" max="272" width="11.42578125" style="1"/>
    <col min="273" max="273" width="18.28515625" style="1" customWidth="1"/>
    <col min="274" max="512" width="11.42578125" style="1"/>
    <col min="513" max="513" width="11.5703125" style="1" customWidth="1"/>
    <col min="514" max="514" width="11.42578125" style="1"/>
    <col min="515" max="515" width="13.5703125" style="1" customWidth="1"/>
    <col min="516" max="516" width="11.42578125" style="1"/>
    <col min="517" max="517" width="15.5703125" style="1" customWidth="1"/>
    <col min="518" max="518" width="15.28515625" style="1" customWidth="1"/>
    <col min="519" max="519" width="15.85546875" style="1" customWidth="1"/>
    <col min="520" max="520" width="27" style="1" customWidth="1"/>
    <col min="521" max="521" width="22.28515625" style="1" customWidth="1"/>
    <col min="522" max="522" width="15.85546875" style="1" customWidth="1"/>
    <col min="523" max="523" width="23.140625" style="1" customWidth="1"/>
    <col min="524" max="524" width="11.42578125" style="1"/>
    <col min="525" max="525" width="13.28515625" style="1" bestFit="1" customWidth="1"/>
    <col min="526" max="528" width="11.42578125" style="1"/>
    <col min="529" max="529" width="18.28515625" style="1" customWidth="1"/>
    <col min="530" max="768" width="11.42578125" style="1"/>
    <col min="769" max="769" width="11.5703125" style="1" customWidth="1"/>
    <col min="770" max="770" width="11.42578125" style="1"/>
    <col min="771" max="771" width="13.5703125" style="1" customWidth="1"/>
    <col min="772" max="772" width="11.42578125" style="1"/>
    <col min="773" max="773" width="15.5703125" style="1" customWidth="1"/>
    <col min="774" max="774" width="15.28515625" style="1" customWidth="1"/>
    <col min="775" max="775" width="15.85546875" style="1" customWidth="1"/>
    <col min="776" max="776" width="27" style="1" customWidth="1"/>
    <col min="777" max="777" width="22.28515625" style="1" customWidth="1"/>
    <col min="778" max="778" width="15.85546875" style="1" customWidth="1"/>
    <col min="779" max="779" width="23.140625" style="1" customWidth="1"/>
    <col min="780" max="780" width="11.42578125" style="1"/>
    <col min="781" max="781" width="13.28515625" style="1" bestFit="1" customWidth="1"/>
    <col min="782" max="784" width="11.42578125" style="1"/>
    <col min="785" max="785" width="18.28515625" style="1" customWidth="1"/>
    <col min="786" max="1024" width="11.42578125" style="1"/>
    <col min="1025" max="1025" width="11.5703125" style="1" customWidth="1"/>
    <col min="1026" max="1026" width="11.42578125" style="1"/>
    <col min="1027" max="1027" width="13.5703125" style="1" customWidth="1"/>
    <col min="1028" max="1028" width="11.42578125" style="1"/>
    <col min="1029" max="1029" width="15.5703125" style="1" customWidth="1"/>
    <col min="1030" max="1030" width="15.28515625" style="1" customWidth="1"/>
    <col min="1031" max="1031" width="15.85546875" style="1" customWidth="1"/>
    <col min="1032" max="1032" width="27" style="1" customWidth="1"/>
    <col min="1033" max="1033" width="22.28515625" style="1" customWidth="1"/>
    <col min="1034" max="1034" width="15.85546875" style="1" customWidth="1"/>
    <col min="1035" max="1035" width="23.140625" style="1" customWidth="1"/>
    <col min="1036" max="1036" width="11.42578125" style="1"/>
    <col min="1037" max="1037" width="13.28515625" style="1" bestFit="1" customWidth="1"/>
    <col min="1038" max="1040" width="11.42578125" style="1"/>
    <col min="1041" max="1041" width="18.28515625" style="1" customWidth="1"/>
    <col min="1042" max="1280" width="11.42578125" style="1"/>
    <col min="1281" max="1281" width="11.5703125" style="1" customWidth="1"/>
    <col min="1282" max="1282" width="11.42578125" style="1"/>
    <col min="1283" max="1283" width="13.5703125" style="1" customWidth="1"/>
    <col min="1284" max="1284" width="11.42578125" style="1"/>
    <col min="1285" max="1285" width="15.5703125" style="1" customWidth="1"/>
    <col min="1286" max="1286" width="15.28515625" style="1" customWidth="1"/>
    <col min="1287" max="1287" width="15.85546875" style="1" customWidth="1"/>
    <col min="1288" max="1288" width="27" style="1" customWidth="1"/>
    <col min="1289" max="1289" width="22.28515625" style="1" customWidth="1"/>
    <col min="1290" max="1290" width="15.85546875" style="1" customWidth="1"/>
    <col min="1291" max="1291" width="23.140625" style="1" customWidth="1"/>
    <col min="1292" max="1292" width="11.42578125" style="1"/>
    <col min="1293" max="1293" width="13.28515625" style="1" bestFit="1" customWidth="1"/>
    <col min="1294" max="1296" width="11.42578125" style="1"/>
    <col min="1297" max="1297" width="18.28515625" style="1" customWidth="1"/>
    <col min="1298" max="1536" width="11.42578125" style="1"/>
    <col min="1537" max="1537" width="11.5703125" style="1" customWidth="1"/>
    <col min="1538" max="1538" width="11.42578125" style="1"/>
    <col min="1539" max="1539" width="13.5703125" style="1" customWidth="1"/>
    <col min="1540" max="1540" width="11.42578125" style="1"/>
    <col min="1541" max="1541" width="15.5703125" style="1" customWidth="1"/>
    <col min="1542" max="1542" width="15.28515625" style="1" customWidth="1"/>
    <col min="1543" max="1543" width="15.85546875" style="1" customWidth="1"/>
    <col min="1544" max="1544" width="27" style="1" customWidth="1"/>
    <col min="1545" max="1545" width="22.28515625" style="1" customWidth="1"/>
    <col min="1546" max="1546" width="15.85546875" style="1" customWidth="1"/>
    <col min="1547" max="1547" width="23.140625" style="1" customWidth="1"/>
    <col min="1548" max="1548" width="11.42578125" style="1"/>
    <col min="1549" max="1549" width="13.28515625" style="1" bestFit="1" customWidth="1"/>
    <col min="1550" max="1552" width="11.42578125" style="1"/>
    <col min="1553" max="1553" width="18.28515625" style="1" customWidth="1"/>
    <col min="1554" max="1792" width="11.42578125" style="1"/>
    <col min="1793" max="1793" width="11.5703125" style="1" customWidth="1"/>
    <col min="1794" max="1794" width="11.42578125" style="1"/>
    <col min="1795" max="1795" width="13.5703125" style="1" customWidth="1"/>
    <col min="1796" max="1796" width="11.42578125" style="1"/>
    <col min="1797" max="1797" width="15.5703125" style="1" customWidth="1"/>
    <col min="1798" max="1798" width="15.28515625" style="1" customWidth="1"/>
    <col min="1799" max="1799" width="15.85546875" style="1" customWidth="1"/>
    <col min="1800" max="1800" width="27" style="1" customWidth="1"/>
    <col min="1801" max="1801" width="22.28515625" style="1" customWidth="1"/>
    <col min="1802" max="1802" width="15.85546875" style="1" customWidth="1"/>
    <col min="1803" max="1803" width="23.140625" style="1" customWidth="1"/>
    <col min="1804" max="1804" width="11.42578125" style="1"/>
    <col min="1805" max="1805" width="13.28515625" style="1" bestFit="1" customWidth="1"/>
    <col min="1806" max="1808" width="11.42578125" style="1"/>
    <col min="1809" max="1809" width="18.28515625" style="1" customWidth="1"/>
    <col min="1810" max="2048" width="11.42578125" style="1"/>
    <col min="2049" max="2049" width="11.5703125" style="1" customWidth="1"/>
    <col min="2050" max="2050" width="11.42578125" style="1"/>
    <col min="2051" max="2051" width="13.5703125" style="1" customWidth="1"/>
    <col min="2052" max="2052" width="11.42578125" style="1"/>
    <col min="2053" max="2053" width="15.5703125" style="1" customWidth="1"/>
    <col min="2054" max="2054" width="15.28515625" style="1" customWidth="1"/>
    <col min="2055" max="2055" width="15.85546875" style="1" customWidth="1"/>
    <col min="2056" max="2056" width="27" style="1" customWidth="1"/>
    <col min="2057" max="2057" width="22.28515625" style="1" customWidth="1"/>
    <col min="2058" max="2058" width="15.85546875" style="1" customWidth="1"/>
    <col min="2059" max="2059" width="23.140625" style="1" customWidth="1"/>
    <col min="2060" max="2060" width="11.42578125" style="1"/>
    <col min="2061" max="2061" width="13.28515625" style="1" bestFit="1" customWidth="1"/>
    <col min="2062" max="2064" width="11.42578125" style="1"/>
    <col min="2065" max="2065" width="18.28515625" style="1" customWidth="1"/>
    <col min="2066" max="2304" width="11.42578125" style="1"/>
    <col min="2305" max="2305" width="11.5703125" style="1" customWidth="1"/>
    <col min="2306" max="2306" width="11.42578125" style="1"/>
    <col min="2307" max="2307" width="13.5703125" style="1" customWidth="1"/>
    <col min="2308" max="2308" width="11.42578125" style="1"/>
    <col min="2309" max="2309" width="15.5703125" style="1" customWidth="1"/>
    <col min="2310" max="2310" width="15.28515625" style="1" customWidth="1"/>
    <col min="2311" max="2311" width="15.85546875" style="1" customWidth="1"/>
    <col min="2312" max="2312" width="27" style="1" customWidth="1"/>
    <col min="2313" max="2313" width="22.28515625" style="1" customWidth="1"/>
    <col min="2314" max="2314" width="15.85546875" style="1" customWidth="1"/>
    <col min="2315" max="2315" width="23.140625" style="1" customWidth="1"/>
    <col min="2316" max="2316" width="11.42578125" style="1"/>
    <col min="2317" max="2317" width="13.28515625" style="1" bestFit="1" customWidth="1"/>
    <col min="2318" max="2320" width="11.42578125" style="1"/>
    <col min="2321" max="2321" width="18.28515625" style="1" customWidth="1"/>
    <col min="2322" max="2560" width="11.42578125" style="1"/>
    <col min="2561" max="2561" width="11.5703125" style="1" customWidth="1"/>
    <col min="2562" max="2562" width="11.42578125" style="1"/>
    <col min="2563" max="2563" width="13.5703125" style="1" customWidth="1"/>
    <col min="2564" max="2564" width="11.42578125" style="1"/>
    <col min="2565" max="2565" width="15.5703125" style="1" customWidth="1"/>
    <col min="2566" max="2566" width="15.28515625" style="1" customWidth="1"/>
    <col min="2567" max="2567" width="15.85546875" style="1" customWidth="1"/>
    <col min="2568" max="2568" width="27" style="1" customWidth="1"/>
    <col min="2569" max="2569" width="22.28515625" style="1" customWidth="1"/>
    <col min="2570" max="2570" width="15.85546875" style="1" customWidth="1"/>
    <col min="2571" max="2571" width="23.140625" style="1" customWidth="1"/>
    <col min="2572" max="2572" width="11.42578125" style="1"/>
    <col min="2573" max="2573" width="13.28515625" style="1" bestFit="1" customWidth="1"/>
    <col min="2574" max="2576" width="11.42578125" style="1"/>
    <col min="2577" max="2577" width="18.28515625" style="1" customWidth="1"/>
    <col min="2578" max="2816" width="11.42578125" style="1"/>
    <col min="2817" max="2817" width="11.5703125" style="1" customWidth="1"/>
    <col min="2818" max="2818" width="11.42578125" style="1"/>
    <col min="2819" max="2819" width="13.5703125" style="1" customWidth="1"/>
    <col min="2820" max="2820" width="11.42578125" style="1"/>
    <col min="2821" max="2821" width="15.5703125" style="1" customWidth="1"/>
    <col min="2822" max="2822" width="15.28515625" style="1" customWidth="1"/>
    <col min="2823" max="2823" width="15.85546875" style="1" customWidth="1"/>
    <col min="2824" max="2824" width="27" style="1" customWidth="1"/>
    <col min="2825" max="2825" width="22.28515625" style="1" customWidth="1"/>
    <col min="2826" max="2826" width="15.85546875" style="1" customWidth="1"/>
    <col min="2827" max="2827" width="23.140625" style="1" customWidth="1"/>
    <col min="2828" max="2828" width="11.42578125" style="1"/>
    <col min="2829" max="2829" width="13.28515625" style="1" bestFit="1" customWidth="1"/>
    <col min="2830" max="2832" width="11.42578125" style="1"/>
    <col min="2833" max="2833" width="18.28515625" style="1" customWidth="1"/>
    <col min="2834" max="3072" width="11.42578125" style="1"/>
    <col min="3073" max="3073" width="11.5703125" style="1" customWidth="1"/>
    <col min="3074" max="3074" width="11.42578125" style="1"/>
    <col min="3075" max="3075" width="13.5703125" style="1" customWidth="1"/>
    <col min="3076" max="3076" width="11.42578125" style="1"/>
    <col min="3077" max="3077" width="15.5703125" style="1" customWidth="1"/>
    <col min="3078" max="3078" width="15.28515625" style="1" customWidth="1"/>
    <col min="3079" max="3079" width="15.85546875" style="1" customWidth="1"/>
    <col min="3080" max="3080" width="27" style="1" customWidth="1"/>
    <col min="3081" max="3081" width="22.28515625" style="1" customWidth="1"/>
    <col min="3082" max="3082" width="15.85546875" style="1" customWidth="1"/>
    <col min="3083" max="3083" width="23.140625" style="1" customWidth="1"/>
    <col min="3084" max="3084" width="11.42578125" style="1"/>
    <col min="3085" max="3085" width="13.28515625" style="1" bestFit="1" customWidth="1"/>
    <col min="3086" max="3088" width="11.42578125" style="1"/>
    <col min="3089" max="3089" width="18.28515625" style="1" customWidth="1"/>
    <col min="3090" max="3328" width="11.42578125" style="1"/>
    <col min="3329" max="3329" width="11.5703125" style="1" customWidth="1"/>
    <col min="3330" max="3330" width="11.42578125" style="1"/>
    <col min="3331" max="3331" width="13.5703125" style="1" customWidth="1"/>
    <col min="3332" max="3332" width="11.42578125" style="1"/>
    <col min="3333" max="3333" width="15.5703125" style="1" customWidth="1"/>
    <col min="3334" max="3334" width="15.28515625" style="1" customWidth="1"/>
    <col min="3335" max="3335" width="15.85546875" style="1" customWidth="1"/>
    <col min="3336" max="3336" width="27" style="1" customWidth="1"/>
    <col min="3337" max="3337" width="22.28515625" style="1" customWidth="1"/>
    <col min="3338" max="3338" width="15.85546875" style="1" customWidth="1"/>
    <col min="3339" max="3339" width="23.140625" style="1" customWidth="1"/>
    <col min="3340" max="3340" width="11.42578125" style="1"/>
    <col min="3341" max="3341" width="13.28515625" style="1" bestFit="1" customWidth="1"/>
    <col min="3342" max="3344" width="11.42578125" style="1"/>
    <col min="3345" max="3345" width="18.28515625" style="1" customWidth="1"/>
    <col min="3346" max="3584" width="11.42578125" style="1"/>
    <col min="3585" max="3585" width="11.5703125" style="1" customWidth="1"/>
    <col min="3586" max="3586" width="11.42578125" style="1"/>
    <col min="3587" max="3587" width="13.5703125" style="1" customWidth="1"/>
    <col min="3588" max="3588" width="11.42578125" style="1"/>
    <col min="3589" max="3589" width="15.5703125" style="1" customWidth="1"/>
    <col min="3590" max="3590" width="15.28515625" style="1" customWidth="1"/>
    <col min="3591" max="3591" width="15.85546875" style="1" customWidth="1"/>
    <col min="3592" max="3592" width="27" style="1" customWidth="1"/>
    <col min="3593" max="3593" width="22.28515625" style="1" customWidth="1"/>
    <col min="3594" max="3594" width="15.85546875" style="1" customWidth="1"/>
    <col min="3595" max="3595" width="23.140625" style="1" customWidth="1"/>
    <col min="3596" max="3596" width="11.42578125" style="1"/>
    <col min="3597" max="3597" width="13.28515625" style="1" bestFit="1" customWidth="1"/>
    <col min="3598" max="3600" width="11.42578125" style="1"/>
    <col min="3601" max="3601" width="18.28515625" style="1" customWidth="1"/>
    <col min="3602" max="3840" width="11.42578125" style="1"/>
    <col min="3841" max="3841" width="11.5703125" style="1" customWidth="1"/>
    <col min="3842" max="3842" width="11.42578125" style="1"/>
    <col min="3843" max="3843" width="13.5703125" style="1" customWidth="1"/>
    <col min="3844" max="3844" width="11.42578125" style="1"/>
    <col min="3845" max="3845" width="15.5703125" style="1" customWidth="1"/>
    <col min="3846" max="3846" width="15.28515625" style="1" customWidth="1"/>
    <col min="3847" max="3847" width="15.85546875" style="1" customWidth="1"/>
    <col min="3848" max="3848" width="27" style="1" customWidth="1"/>
    <col min="3849" max="3849" width="22.28515625" style="1" customWidth="1"/>
    <col min="3850" max="3850" width="15.85546875" style="1" customWidth="1"/>
    <col min="3851" max="3851" width="23.140625" style="1" customWidth="1"/>
    <col min="3852" max="3852" width="11.42578125" style="1"/>
    <col min="3853" max="3853" width="13.28515625" style="1" bestFit="1" customWidth="1"/>
    <col min="3854" max="3856" width="11.42578125" style="1"/>
    <col min="3857" max="3857" width="18.28515625" style="1" customWidth="1"/>
    <col min="3858" max="4096" width="11.42578125" style="1"/>
    <col min="4097" max="4097" width="11.5703125" style="1" customWidth="1"/>
    <col min="4098" max="4098" width="11.42578125" style="1"/>
    <col min="4099" max="4099" width="13.5703125" style="1" customWidth="1"/>
    <col min="4100" max="4100" width="11.42578125" style="1"/>
    <col min="4101" max="4101" width="15.5703125" style="1" customWidth="1"/>
    <col min="4102" max="4102" width="15.28515625" style="1" customWidth="1"/>
    <col min="4103" max="4103" width="15.85546875" style="1" customWidth="1"/>
    <col min="4104" max="4104" width="27" style="1" customWidth="1"/>
    <col min="4105" max="4105" width="22.28515625" style="1" customWidth="1"/>
    <col min="4106" max="4106" width="15.85546875" style="1" customWidth="1"/>
    <col min="4107" max="4107" width="23.140625" style="1" customWidth="1"/>
    <col min="4108" max="4108" width="11.42578125" style="1"/>
    <col min="4109" max="4109" width="13.28515625" style="1" bestFit="1" customWidth="1"/>
    <col min="4110" max="4112" width="11.42578125" style="1"/>
    <col min="4113" max="4113" width="18.28515625" style="1" customWidth="1"/>
    <col min="4114" max="4352" width="11.42578125" style="1"/>
    <col min="4353" max="4353" width="11.5703125" style="1" customWidth="1"/>
    <col min="4354" max="4354" width="11.42578125" style="1"/>
    <col min="4355" max="4355" width="13.5703125" style="1" customWidth="1"/>
    <col min="4356" max="4356" width="11.42578125" style="1"/>
    <col min="4357" max="4357" width="15.5703125" style="1" customWidth="1"/>
    <col min="4358" max="4358" width="15.28515625" style="1" customWidth="1"/>
    <col min="4359" max="4359" width="15.85546875" style="1" customWidth="1"/>
    <col min="4360" max="4360" width="27" style="1" customWidth="1"/>
    <col min="4361" max="4361" width="22.28515625" style="1" customWidth="1"/>
    <col min="4362" max="4362" width="15.85546875" style="1" customWidth="1"/>
    <col min="4363" max="4363" width="23.140625" style="1" customWidth="1"/>
    <col min="4364" max="4364" width="11.42578125" style="1"/>
    <col min="4365" max="4365" width="13.28515625" style="1" bestFit="1" customWidth="1"/>
    <col min="4366" max="4368" width="11.42578125" style="1"/>
    <col min="4369" max="4369" width="18.28515625" style="1" customWidth="1"/>
    <col min="4370" max="4608" width="11.42578125" style="1"/>
    <col min="4609" max="4609" width="11.5703125" style="1" customWidth="1"/>
    <col min="4610" max="4610" width="11.42578125" style="1"/>
    <col min="4611" max="4611" width="13.5703125" style="1" customWidth="1"/>
    <col min="4612" max="4612" width="11.42578125" style="1"/>
    <col min="4613" max="4613" width="15.5703125" style="1" customWidth="1"/>
    <col min="4614" max="4614" width="15.28515625" style="1" customWidth="1"/>
    <col min="4615" max="4615" width="15.85546875" style="1" customWidth="1"/>
    <col min="4616" max="4616" width="27" style="1" customWidth="1"/>
    <col min="4617" max="4617" width="22.28515625" style="1" customWidth="1"/>
    <col min="4618" max="4618" width="15.85546875" style="1" customWidth="1"/>
    <col min="4619" max="4619" width="23.140625" style="1" customWidth="1"/>
    <col min="4620" max="4620" width="11.42578125" style="1"/>
    <col min="4621" max="4621" width="13.28515625" style="1" bestFit="1" customWidth="1"/>
    <col min="4622" max="4624" width="11.42578125" style="1"/>
    <col min="4625" max="4625" width="18.28515625" style="1" customWidth="1"/>
    <col min="4626" max="4864" width="11.42578125" style="1"/>
    <col min="4865" max="4865" width="11.5703125" style="1" customWidth="1"/>
    <col min="4866" max="4866" width="11.42578125" style="1"/>
    <col min="4867" max="4867" width="13.5703125" style="1" customWidth="1"/>
    <col min="4868" max="4868" width="11.42578125" style="1"/>
    <col min="4869" max="4869" width="15.5703125" style="1" customWidth="1"/>
    <col min="4870" max="4870" width="15.28515625" style="1" customWidth="1"/>
    <col min="4871" max="4871" width="15.85546875" style="1" customWidth="1"/>
    <col min="4872" max="4872" width="27" style="1" customWidth="1"/>
    <col min="4873" max="4873" width="22.28515625" style="1" customWidth="1"/>
    <col min="4874" max="4874" width="15.85546875" style="1" customWidth="1"/>
    <col min="4875" max="4875" width="23.140625" style="1" customWidth="1"/>
    <col min="4876" max="4876" width="11.42578125" style="1"/>
    <col min="4877" max="4877" width="13.28515625" style="1" bestFit="1" customWidth="1"/>
    <col min="4878" max="4880" width="11.42578125" style="1"/>
    <col min="4881" max="4881" width="18.28515625" style="1" customWidth="1"/>
    <col min="4882" max="5120" width="11.42578125" style="1"/>
    <col min="5121" max="5121" width="11.5703125" style="1" customWidth="1"/>
    <col min="5122" max="5122" width="11.42578125" style="1"/>
    <col min="5123" max="5123" width="13.5703125" style="1" customWidth="1"/>
    <col min="5124" max="5124" width="11.42578125" style="1"/>
    <col min="5125" max="5125" width="15.5703125" style="1" customWidth="1"/>
    <col min="5126" max="5126" width="15.28515625" style="1" customWidth="1"/>
    <col min="5127" max="5127" width="15.85546875" style="1" customWidth="1"/>
    <col min="5128" max="5128" width="27" style="1" customWidth="1"/>
    <col min="5129" max="5129" width="22.28515625" style="1" customWidth="1"/>
    <col min="5130" max="5130" width="15.85546875" style="1" customWidth="1"/>
    <col min="5131" max="5131" width="23.140625" style="1" customWidth="1"/>
    <col min="5132" max="5132" width="11.42578125" style="1"/>
    <col min="5133" max="5133" width="13.28515625" style="1" bestFit="1" customWidth="1"/>
    <col min="5134" max="5136" width="11.42578125" style="1"/>
    <col min="5137" max="5137" width="18.28515625" style="1" customWidth="1"/>
    <col min="5138" max="5376" width="11.42578125" style="1"/>
    <col min="5377" max="5377" width="11.5703125" style="1" customWidth="1"/>
    <col min="5378" max="5378" width="11.42578125" style="1"/>
    <col min="5379" max="5379" width="13.5703125" style="1" customWidth="1"/>
    <col min="5380" max="5380" width="11.42578125" style="1"/>
    <col min="5381" max="5381" width="15.5703125" style="1" customWidth="1"/>
    <col min="5382" max="5382" width="15.28515625" style="1" customWidth="1"/>
    <col min="5383" max="5383" width="15.85546875" style="1" customWidth="1"/>
    <col min="5384" max="5384" width="27" style="1" customWidth="1"/>
    <col min="5385" max="5385" width="22.28515625" style="1" customWidth="1"/>
    <col min="5386" max="5386" width="15.85546875" style="1" customWidth="1"/>
    <col min="5387" max="5387" width="23.140625" style="1" customWidth="1"/>
    <col min="5388" max="5388" width="11.42578125" style="1"/>
    <col min="5389" max="5389" width="13.28515625" style="1" bestFit="1" customWidth="1"/>
    <col min="5390" max="5392" width="11.42578125" style="1"/>
    <col min="5393" max="5393" width="18.28515625" style="1" customWidth="1"/>
    <col min="5394" max="5632" width="11.42578125" style="1"/>
    <col min="5633" max="5633" width="11.5703125" style="1" customWidth="1"/>
    <col min="5634" max="5634" width="11.42578125" style="1"/>
    <col min="5635" max="5635" width="13.5703125" style="1" customWidth="1"/>
    <col min="5636" max="5636" width="11.42578125" style="1"/>
    <col min="5637" max="5637" width="15.5703125" style="1" customWidth="1"/>
    <col min="5638" max="5638" width="15.28515625" style="1" customWidth="1"/>
    <col min="5639" max="5639" width="15.85546875" style="1" customWidth="1"/>
    <col min="5640" max="5640" width="27" style="1" customWidth="1"/>
    <col min="5641" max="5641" width="22.28515625" style="1" customWidth="1"/>
    <col min="5642" max="5642" width="15.85546875" style="1" customWidth="1"/>
    <col min="5643" max="5643" width="23.140625" style="1" customWidth="1"/>
    <col min="5644" max="5644" width="11.42578125" style="1"/>
    <col min="5645" max="5645" width="13.28515625" style="1" bestFit="1" customWidth="1"/>
    <col min="5646" max="5648" width="11.42578125" style="1"/>
    <col min="5649" max="5649" width="18.28515625" style="1" customWidth="1"/>
    <col min="5650" max="5888" width="11.42578125" style="1"/>
    <col min="5889" max="5889" width="11.5703125" style="1" customWidth="1"/>
    <col min="5890" max="5890" width="11.42578125" style="1"/>
    <col min="5891" max="5891" width="13.5703125" style="1" customWidth="1"/>
    <col min="5892" max="5892" width="11.42578125" style="1"/>
    <col min="5893" max="5893" width="15.5703125" style="1" customWidth="1"/>
    <col min="5894" max="5894" width="15.28515625" style="1" customWidth="1"/>
    <col min="5895" max="5895" width="15.85546875" style="1" customWidth="1"/>
    <col min="5896" max="5896" width="27" style="1" customWidth="1"/>
    <col min="5897" max="5897" width="22.28515625" style="1" customWidth="1"/>
    <col min="5898" max="5898" width="15.85546875" style="1" customWidth="1"/>
    <col min="5899" max="5899" width="23.140625" style="1" customWidth="1"/>
    <col min="5900" max="5900" width="11.42578125" style="1"/>
    <col min="5901" max="5901" width="13.28515625" style="1" bestFit="1" customWidth="1"/>
    <col min="5902" max="5904" width="11.42578125" style="1"/>
    <col min="5905" max="5905" width="18.28515625" style="1" customWidth="1"/>
    <col min="5906" max="6144" width="11.42578125" style="1"/>
    <col min="6145" max="6145" width="11.5703125" style="1" customWidth="1"/>
    <col min="6146" max="6146" width="11.42578125" style="1"/>
    <col min="6147" max="6147" width="13.5703125" style="1" customWidth="1"/>
    <col min="6148" max="6148" width="11.42578125" style="1"/>
    <col min="6149" max="6149" width="15.5703125" style="1" customWidth="1"/>
    <col min="6150" max="6150" width="15.28515625" style="1" customWidth="1"/>
    <col min="6151" max="6151" width="15.85546875" style="1" customWidth="1"/>
    <col min="6152" max="6152" width="27" style="1" customWidth="1"/>
    <col min="6153" max="6153" width="22.28515625" style="1" customWidth="1"/>
    <col min="6154" max="6154" width="15.85546875" style="1" customWidth="1"/>
    <col min="6155" max="6155" width="23.140625" style="1" customWidth="1"/>
    <col min="6156" max="6156" width="11.42578125" style="1"/>
    <col min="6157" max="6157" width="13.28515625" style="1" bestFit="1" customWidth="1"/>
    <col min="6158" max="6160" width="11.42578125" style="1"/>
    <col min="6161" max="6161" width="18.28515625" style="1" customWidth="1"/>
    <col min="6162" max="6400" width="11.42578125" style="1"/>
    <col min="6401" max="6401" width="11.5703125" style="1" customWidth="1"/>
    <col min="6402" max="6402" width="11.42578125" style="1"/>
    <col min="6403" max="6403" width="13.5703125" style="1" customWidth="1"/>
    <col min="6404" max="6404" width="11.42578125" style="1"/>
    <col min="6405" max="6405" width="15.5703125" style="1" customWidth="1"/>
    <col min="6406" max="6406" width="15.28515625" style="1" customWidth="1"/>
    <col min="6407" max="6407" width="15.85546875" style="1" customWidth="1"/>
    <col min="6408" max="6408" width="27" style="1" customWidth="1"/>
    <col min="6409" max="6409" width="22.28515625" style="1" customWidth="1"/>
    <col min="6410" max="6410" width="15.85546875" style="1" customWidth="1"/>
    <col min="6411" max="6411" width="23.140625" style="1" customWidth="1"/>
    <col min="6412" max="6412" width="11.42578125" style="1"/>
    <col min="6413" max="6413" width="13.28515625" style="1" bestFit="1" customWidth="1"/>
    <col min="6414" max="6416" width="11.42578125" style="1"/>
    <col min="6417" max="6417" width="18.28515625" style="1" customWidth="1"/>
    <col min="6418" max="6656" width="11.42578125" style="1"/>
    <col min="6657" max="6657" width="11.5703125" style="1" customWidth="1"/>
    <col min="6658" max="6658" width="11.42578125" style="1"/>
    <col min="6659" max="6659" width="13.5703125" style="1" customWidth="1"/>
    <col min="6660" max="6660" width="11.42578125" style="1"/>
    <col min="6661" max="6661" width="15.5703125" style="1" customWidth="1"/>
    <col min="6662" max="6662" width="15.28515625" style="1" customWidth="1"/>
    <col min="6663" max="6663" width="15.85546875" style="1" customWidth="1"/>
    <col min="6664" max="6664" width="27" style="1" customWidth="1"/>
    <col min="6665" max="6665" width="22.28515625" style="1" customWidth="1"/>
    <col min="6666" max="6666" width="15.85546875" style="1" customWidth="1"/>
    <col min="6667" max="6667" width="23.140625" style="1" customWidth="1"/>
    <col min="6668" max="6668" width="11.42578125" style="1"/>
    <col min="6669" max="6669" width="13.28515625" style="1" bestFit="1" customWidth="1"/>
    <col min="6670" max="6672" width="11.42578125" style="1"/>
    <col min="6673" max="6673" width="18.28515625" style="1" customWidth="1"/>
    <col min="6674" max="6912" width="11.42578125" style="1"/>
    <col min="6913" max="6913" width="11.5703125" style="1" customWidth="1"/>
    <col min="6914" max="6914" width="11.42578125" style="1"/>
    <col min="6915" max="6915" width="13.5703125" style="1" customWidth="1"/>
    <col min="6916" max="6916" width="11.42578125" style="1"/>
    <col min="6917" max="6917" width="15.5703125" style="1" customWidth="1"/>
    <col min="6918" max="6918" width="15.28515625" style="1" customWidth="1"/>
    <col min="6919" max="6919" width="15.85546875" style="1" customWidth="1"/>
    <col min="6920" max="6920" width="27" style="1" customWidth="1"/>
    <col min="6921" max="6921" width="22.28515625" style="1" customWidth="1"/>
    <col min="6922" max="6922" width="15.85546875" style="1" customWidth="1"/>
    <col min="6923" max="6923" width="23.140625" style="1" customWidth="1"/>
    <col min="6924" max="6924" width="11.42578125" style="1"/>
    <col min="6925" max="6925" width="13.28515625" style="1" bestFit="1" customWidth="1"/>
    <col min="6926" max="6928" width="11.42578125" style="1"/>
    <col min="6929" max="6929" width="18.28515625" style="1" customWidth="1"/>
    <col min="6930" max="7168" width="11.42578125" style="1"/>
    <col min="7169" max="7169" width="11.5703125" style="1" customWidth="1"/>
    <col min="7170" max="7170" width="11.42578125" style="1"/>
    <col min="7171" max="7171" width="13.5703125" style="1" customWidth="1"/>
    <col min="7172" max="7172" width="11.42578125" style="1"/>
    <col min="7173" max="7173" width="15.5703125" style="1" customWidth="1"/>
    <col min="7174" max="7174" width="15.28515625" style="1" customWidth="1"/>
    <col min="7175" max="7175" width="15.85546875" style="1" customWidth="1"/>
    <col min="7176" max="7176" width="27" style="1" customWidth="1"/>
    <col min="7177" max="7177" width="22.28515625" style="1" customWidth="1"/>
    <col min="7178" max="7178" width="15.85546875" style="1" customWidth="1"/>
    <col min="7179" max="7179" width="23.140625" style="1" customWidth="1"/>
    <col min="7180" max="7180" width="11.42578125" style="1"/>
    <col min="7181" max="7181" width="13.28515625" style="1" bestFit="1" customWidth="1"/>
    <col min="7182" max="7184" width="11.42578125" style="1"/>
    <col min="7185" max="7185" width="18.28515625" style="1" customWidth="1"/>
    <col min="7186" max="7424" width="11.42578125" style="1"/>
    <col min="7425" max="7425" width="11.5703125" style="1" customWidth="1"/>
    <col min="7426" max="7426" width="11.42578125" style="1"/>
    <col min="7427" max="7427" width="13.5703125" style="1" customWidth="1"/>
    <col min="7428" max="7428" width="11.42578125" style="1"/>
    <col min="7429" max="7429" width="15.5703125" style="1" customWidth="1"/>
    <col min="7430" max="7430" width="15.28515625" style="1" customWidth="1"/>
    <col min="7431" max="7431" width="15.85546875" style="1" customWidth="1"/>
    <col min="7432" max="7432" width="27" style="1" customWidth="1"/>
    <col min="7433" max="7433" width="22.28515625" style="1" customWidth="1"/>
    <col min="7434" max="7434" width="15.85546875" style="1" customWidth="1"/>
    <col min="7435" max="7435" width="23.140625" style="1" customWidth="1"/>
    <col min="7436" max="7436" width="11.42578125" style="1"/>
    <col min="7437" max="7437" width="13.28515625" style="1" bestFit="1" customWidth="1"/>
    <col min="7438" max="7440" width="11.42578125" style="1"/>
    <col min="7441" max="7441" width="18.28515625" style="1" customWidth="1"/>
    <col min="7442" max="7680" width="11.42578125" style="1"/>
    <col min="7681" max="7681" width="11.5703125" style="1" customWidth="1"/>
    <col min="7682" max="7682" width="11.42578125" style="1"/>
    <col min="7683" max="7683" width="13.5703125" style="1" customWidth="1"/>
    <col min="7684" max="7684" width="11.42578125" style="1"/>
    <col min="7685" max="7685" width="15.5703125" style="1" customWidth="1"/>
    <col min="7686" max="7686" width="15.28515625" style="1" customWidth="1"/>
    <col min="7687" max="7687" width="15.85546875" style="1" customWidth="1"/>
    <col min="7688" max="7688" width="27" style="1" customWidth="1"/>
    <col min="7689" max="7689" width="22.28515625" style="1" customWidth="1"/>
    <col min="7690" max="7690" width="15.85546875" style="1" customWidth="1"/>
    <col min="7691" max="7691" width="23.140625" style="1" customWidth="1"/>
    <col min="7692" max="7692" width="11.42578125" style="1"/>
    <col min="7693" max="7693" width="13.28515625" style="1" bestFit="1" customWidth="1"/>
    <col min="7694" max="7696" width="11.42578125" style="1"/>
    <col min="7697" max="7697" width="18.28515625" style="1" customWidth="1"/>
    <col min="7698" max="7936" width="11.42578125" style="1"/>
    <col min="7937" max="7937" width="11.5703125" style="1" customWidth="1"/>
    <col min="7938" max="7938" width="11.42578125" style="1"/>
    <col min="7939" max="7939" width="13.5703125" style="1" customWidth="1"/>
    <col min="7940" max="7940" width="11.42578125" style="1"/>
    <col min="7941" max="7941" width="15.5703125" style="1" customWidth="1"/>
    <col min="7942" max="7942" width="15.28515625" style="1" customWidth="1"/>
    <col min="7943" max="7943" width="15.85546875" style="1" customWidth="1"/>
    <col min="7944" max="7944" width="27" style="1" customWidth="1"/>
    <col min="7945" max="7945" width="22.28515625" style="1" customWidth="1"/>
    <col min="7946" max="7946" width="15.85546875" style="1" customWidth="1"/>
    <col min="7947" max="7947" width="23.140625" style="1" customWidth="1"/>
    <col min="7948" max="7948" width="11.42578125" style="1"/>
    <col min="7949" max="7949" width="13.28515625" style="1" bestFit="1" customWidth="1"/>
    <col min="7950" max="7952" width="11.42578125" style="1"/>
    <col min="7953" max="7953" width="18.28515625" style="1" customWidth="1"/>
    <col min="7954" max="8192" width="11.42578125" style="1"/>
    <col min="8193" max="8193" width="11.5703125" style="1" customWidth="1"/>
    <col min="8194" max="8194" width="11.42578125" style="1"/>
    <col min="8195" max="8195" width="13.5703125" style="1" customWidth="1"/>
    <col min="8196" max="8196" width="11.42578125" style="1"/>
    <col min="8197" max="8197" width="15.5703125" style="1" customWidth="1"/>
    <col min="8198" max="8198" width="15.28515625" style="1" customWidth="1"/>
    <col min="8199" max="8199" width="15.85546875" style="1" customWidth="1"/>
    <col min="8200" max="8200" width="27" style="1" customWidth="1"/>
    <col min="8201" max="8201" width="22.28515625" style="1" customWidth="1"/>
    <col min="8202" max="8202" width="15.85546875" style="1" customWidth="1"/>
    <col min="8203" max="8203" width="23.140625" style="1" customWidth="1"/>
    <col min="8204" max="8204" width="11.42578125" style="1"/>
    <col min="8205" max="8205" width="13.28515625" style="1" bestFit="1" customWidth="1"/>
    <col min="8206" max="8208" width="11.42578125" style="1"/>
    <col min="8209" max="8209" width="18.28515625" style="1" customWidth="1"/>
    <col min="8210" max="8448" width="11.42578125" style="1"/>
    <col min="8449" max="8449" width="11.5703125" style="1" customWidth="1"/>
    <col min="8450" max="8450" width="11.42578125" style="1"/>
    <col min="8451" max="8451" width="13.5703125" style="1" customWidth="1"/>
    <col min="8452" max="8452" width="11.42578125" style="1"/>
    <col min="8453" max="8453" width="15.5703125" style="1" customWidth="1"/>
    <col min="8454" max="8454" width="15.28515625" style="1" customWidth="1"/>
    <col min="8455" max="8455" width="15.85546875" style="1" customWidth="1"/>
    <col min="8456" max="8456" width="27" style="1" customWidth="1"/>
    <col min="8457" max="8457" width="22.28515625" style="1" customWidth="1"/>
    <col min="8458" max="8458" width="15.85546875" style="1" customWidth="1"/>
    <col min="8459" max="8459" width="23.140625" style="1" customWidth="1"/>
    <col min="8460" max="8460" width="11.42578125" style="1"/>
    <col min="8461" max="8461" width="13.28515625" style="1" bestFit="1" customWidth="1"/>
    <col min="8462" max="8464" width="11.42578125" style="1"/>
    <col min="8465" max="8465" width="18.28515625" style="1" customWidth="1"/>
    <col min="8466" max="8704" width="11.42578125" style="1"/>
    <col min="8705" max="8705" width="11.5703125" style="1" customWidth="1"/>
    <col min="8706" max="8706" width="11.42578125" style="1"/>
    <col min="8707" max="8707" width="13.5703125" style="1" customWidth="1"/>
    <col min="8708" max="8708" width="11.42578125" style="1"/>
    <col min="8709" max="8709" width="15.5703125" style="1" customWidth="1"/>
    <col min="8710" max="8710" width="15.28515625" style="1" customWidth="1"/>
    <col min="8711" max="8711" width="15.85546875" style="1" customWidth="1"/>
    <col min="8712" max="8712" width="27" style="1" customWidth="1"/>
    <col min="8713" max="8713" width="22.28515625" style="1" customWidth="1"/>
    <col min="8714" max="8714" width="15.85546875" style="1" customWidth="1"/>
    <col min="8715" max="8715" width="23.140625" style="1" customWidth="1"/>
    <col min="8716" max="8716" width="11.42578125" style="1"/>
    <col min="8717" max="8717" width="13.28515625" style="1" bestFit="1" customWidth="1"/>
    <col min="8718" max="8720" width="11.42578125" style="1"/>
    <col min="8721" max="8721" width="18.28515625" style="1" customWidth="1"/>
    <col min="8722" max="8960" width="11.42578125" style="1"/>
    <col min="8961" max="8961" width="11.5703125" style="1" customWidth="1"/>
    <col min="8962" max="8962" width="11.42578125" style="1"/>
    <col min="8963" max="8963" width="13.5703125" style="1" customWidth="1"/>
    <col min="8964" max="8964" width="11.42578125" style="1"/>
    <col min="8965" max="8965" width="15.5703125" style="1" customWidth="1"/>
    <col min="8966" max="8966" width="15.28515625" style="1" customWidth="1"/>
    <col min="8967" max="8967" width="15.85546875" style="1" customWidth="1"/>
    <col min="8968" max="8968" width="27" style="1" customWidth="1"/>
    <col min="8969" max="8969" width="22.28515625" style="1" customWidth="1"/>
    <col min="8970" max="8970" width="15.85546875" style="1" customWidth="1"/>
    <col min="8971" max="8971" width="23.140625" style="1" customWidth="1"/>
    <col min="8972" max="8972" width="11.42578125" style="1"/>
    <col min="8973" max="8973" width="13.28515625" style="1" bestFit="1" customWidth="1"/>
    <col min="8974" max="8976" width="11.42578125" style="1"/>
    <col min="8977" max="8977" width="18.28515625" style="1" customWidth="1"/>
    <col min="8978" max="9216" width="11.42578125" style="1"/>
    <col min="9217" max="9217" width="11.5703125" style="1" customWidth="1"/>
    <col min="9218" max="9218" width="11.42578125" style="1"/>
    <col min="9219" max="9219" width="13.5703125" style="1" customWidth="1"/>
    <col min="9220" max="9220" width="11.42578125" style="1"/>
    <col min="9221" max="9221" width="15.5703125" style="1" customWidth="1"/>
    <col min="9222" max="9222" width="15.28515625" style="1" customWidth="1"/>
    <col min="9223" max="9223" width="15.85546875" style="1" customWidth="1"/>
    <col min="9224" max="9224" width="27" style="1" customWidth="1"/>
    <col min="9225" max="9225" width="22.28515625" style="1" customWidth="1"/>
    <col min="9226" max="9226" width="15.85546875" style="1" customWidth="1"/>
    <col min="9227" max="9227" width="23.140625" style="1" customWidth="1"/>
    <col min="9228" max="9228" width="11.42578125" style="1"/>
    <col min="9229" max="9229" width="13.28515625" style="1" bestFit="1" customWidth="1"/>
    <col min="9230" max="9232" width="11.42578125" style="1"/>
    <col min="9233" max="9233" width="18.28515625" style="1" customWidth="1"/>
    <col min="9234" max="9472" width="11.42578125" style="1"/>
    <col min="9473" max="9473" width="11.5703125" style="1" customWidth="1"/>
    <col min="9474" max="9474" width="11.42578125" style="1"/>
    <col min="9475" max="9475" width="13.5703125" style="1" customWidth="1"/>
    <col min="9476" max="9476" width="11.42578125" style="1"/>
    <col min="9477" max="9477" width="15.5703125" style="1" customWidth="1"/>
    <col min="9478" max="9478" width="15.28515625" style="1" customWidth="1"/>
    <col min="9479" max="9479" width="15.85546875" style="1" customWidth="1"/>
    <col min="9480" max="9480" width="27" style="1" customWidth="1"/>
    <col min="9481" max="9481" width="22.28515625" style="1" customWidth="1"/>
    <col min="9482" max="9482" width="15.85546875" style="1" customWidth="1"/>
    <col min="9483" max="9483" width="23.140625" style="1" customWidth="1"/>
    <col min="9484" max="9484" width="11.42578125" style="1"/>
    <col min="9485" max="9485" width="13.28515625" style="1" bestFit="1" customWidth="1"/>
    <col min="9486" max="9488" width="11.42578125" style="1"/>
    <col min="9489" max="9489" width="18.28515625" style="1" customWidth="1"/>
    <col min="9490" max="9728" width="11.42578125" style="1"/>
    <col min="9729" max="9729" width="11.5703125" style="1" customWidth="1"/>
    <col min="9730" max="9730" width="11.42578125" style="1"/>
    <col min="9731" max="9731" width="13.5703125" style="1" customWidth="1"/>
    <col min="9732" max="9732" width="11.42578125" style="1"/>
    <col min="9733" max="9733" width="15.5703125" style="1" customWidth="1"/>
    <col min="9734" max="9734" width="15.28515625" style="1" customWidth="1"/>
    <col min="9735" max="9735" width="15.85546875" style="1" customWidth="1"/>
    <col min="9736" max="9736" width="27" style="1" customWidth="1"/>
    <col min="9737" max="9737" width="22.28515625" style="1" customWidth="1"/>
    <col min="9738" max="9738" width="15.85546875" style="1" customWidth="1"/>
    <col min="9739" max="9739" width="23.140625" style="1" customWidth="1"/>
    <col min="9740" max="9740" width="11.42578125" style="1"/>
    <col min="9741" max="9741" width="13.28515625" style="1" bestFit="1" customWidth="1"/>
    <col min="9742" max="9744" width="11.42578125" style="1"/>
    <col min="9745" max="9745" width="18.28515625" style="1" customWidth="1"/>
    <col min="9746" max="9984" width="11.42578125" style="1"/>
    <col min="9985" max="9985" width="11.5703125" style="1" customWidth="1"/>
    <col min="9986" max="9986" width="11.42578125" style="1"/>
    <col min="9987" max="9987" width="13.5703125" style="1" customWidth="1"/>
    <col min="9988" max="9988" width="11.42578125" style="1"/>
    <col min="9989" max="9989" width="15.5703125" style="1" customWidth="1"/>
    <col min="9990" max="9990" width="15.28515625" style="1" customWidth="1"/>
    <col min="9991" max="9991" width="15.85546875" style="1" customWidth="1"/>
    <col min="9992" max="9992" width="27" style="1" customWidth="1"/>
    <col min="9993" max="9993" width="22.28515625" style="1" customWidth="1"/>
    <col min="9994" max="9994" width="15.85546875" style="1" customWidth="1"/>
    <col min="9995" max="9995" width="23.140625" style="1" customWidth="1"/>
    <col min="9996" max="9996" width="11.42578125" style="1"/>
    <col min="9997" max="9997" width="13.28515625" style="1" bestFit="1" customWidth="1"/>
    <col min="9998" max="10000" width="11.42578125" style="1"/>
    <col min="10001" max="10001" width="18.28515625" style="1" customWidth="1"/>
    <col min="10002" max="10240" width="11.42578125" style="1"/>
    <col min="10241" max="10241" width="11.5703125" style="1" customWidth="1"/>
    <col min="10242" max="10242" width="11.42578125" style="1"/>
    <col min="10243" max="10243" width="13.5703125" style="1" customWidth="1"/>
    <col min="10244" max="10244" width="11.42578125" style="1"/>
    <col min="10245" max="10245" width="15.5703125" style="1" customWidth="1"/>
    <col min="10246" max="10246" width="15.28515625" style="1" customWidth="1"/>
    <col min="10247" max="10247" width="15.85546875" style="1" customWidth="1"/>
    <col min="10248" max="10248" width="27" style="1" customWidth="1"/>
    <col min="10249" max="10249" width="22.28515625" style="1" customWidth="1"/>
    <col min="10250" max="10250" width="15.85546875" style="1" customWidth="1"/>
    <col min="10251" max="10251" width="23.140625" style="1" customWidth="1"/>
    <col min="10252" max="10252" width="11.42578125" style="1"/>
    <col min="10253" max="10253" width="13.28515625" style="1" bestFit="1" customWidth="1"/>
    <col min="10254" max="10256" width="11.42578125" style="1"/>
    <col min="10257" max="10257" width="18.28515625" style="1" customWidth="1"/>
    <col min="10258" max="10496" width="11.42578125" style="1"/>
    <col min="10497" max="10497" width="11.5703125" style="1" customWidth="1"/>
    <col min="10498" max="10498" width="11.42578125" style="1"/>
    <col min="10499" max="10499" width="13.5703125" style="1" customWidth="1"/>
    <col min="10500" max="10500" width="11.42578125" style="1"/>
    <col min="10501" max="10501" width="15.5703125" style="1" customWidth="1"/>
    <col min="10502" max="10502" width="15.28515625" style="1" customWidth="1"/>
    <col min="10503" max="10503" width="15.85546875" style="1" customWidth="1"/>
    <col min="10504" max="10504" width="27" style="1" customWidth="1"/>
    <col min="10505" max="10505" width="22.28515625" style="1" customWidth="1"/>
    <col min="10506" max="10506" width="15.85546875" style="1" customWidth="1"/>
    <col min="10507" max="10507" width="23.140625" style="1" customWidth="1"/>
    <col min="10508" max="10508" width="11.42578125" style="1"/>
    <col min="10509" max="10509" width="13.28515625" style="1" bestFit="1" customWidth="1"/>
    <col min="10510" max="10512" width="11.42578125" style="1"/>
    <col min="10513" max="10513" width="18.28515625" style="1" customWidth="1"/>
    <col min="10514" max="10752" width="11.42578125" style="1"/>
    <col min="10753" max="10753" width="11.5703125" style="1" customWidth="1"/>
    <col min="10754" max="10754" width="11.42578125" style="1"/>
    <col min="10755" max="10755" width="13.5703125" style="1" customWidth="1"/>
    <col min="10756" max="10756" width="11.42578125" style="1"/>
    <col min="10757" max="10757" width="15.5703125" style="1" customWidth="1"/>
    <col min="10758" max="10758" width="15.28515625" style="1" customWidth="1"/>
    <col min="10759" max="10759" width="15.85546875" style="1" customWidth="1"/>
    <col min="10760" max="10760" width="27" style="1" customWidth="1"/>
    <col min="10761" max="10761" width="22.28515625" style="1" customWidth="1"/>
    <col min="10762" max="10762" width="15.85546875" style="1" customWidth="1"/>
    <col min="10763" max="10763" width="23.140625" style="1" customWidth="1"/>
    <col min="10764" max="10764" width="11.42578125" style="1"/>
    <col min="10765" max="10765" width="13.28515625" style="1" bestFit="1" customWidth="1"/>
    <col min="10766" max="10768" width="11.42578125" style="1"/>
    <col min="10769" max="10769" width="18.28515625" style="1" customWidth="1"/>
    <col min="10770" max="11008" width="11.42578125" style="1"/>
    <col min="11009" max="11009" width="11.5703125" style="1" customWidth="1"/>
    <col min="11010" max="11010" width="11.42578125" style="1"/>
    <col min="11011" max="11011" width="13.5703125" style="1" customWidth="1"/>
    <col min="11012" max="11012" width="11.42578125" style="1"/>
    <col min="11013" max="11013" width="15.5703125" style="1" customWidth="1"/>
    <col min="11014" max="11014" width="15.28515625" style="1" customWidth="1"/>
    <col min="11015" max="11015" width="15.85546875" style="1" customWidth="1"/>
    <col min="11016" max="11016" width="27" style="1" customWidth="1"/>
    <col min="11017" max="11017" width="22.28515625" style="1" customWidth="1"/>
    <col min="11018" max="11018" width="15.85546875" style="1" customWidth="1"/>
    <col min="11019" max="11019" width="23.140625" style="1" customWidth="1"/>
    <col min="11020" max="11020" width="11.42578125" style="1"/>
    <col min="11021" max="11021" width="13.28515625" style="1" bestFit="1" customWidth="1"/>
    <col min="11022" max="11024" width="11.42578125" style="1"/>
    <col min="11025" max="11025" width="18.28515625" style="1" customWidth="1"/>
    <col min="11026" max="11264" width="11.42578125" style="1"/>
    <col min="11265" max="11265" width="11.5703125" style="1" customWidth="1"/>
    <col min="11266" max="11266" width="11.42578125" style="1"/>
    <col min="11267" max="11267" width="13.5703125" style="1" customWidth="1"/>
    <col min="11268" max="11268" width="11.42578125" style="1"/>
    <col min="11269" max="11269" width="15.5703125" style="1" customWidth="1"/>
    <col min="11270" max="11270" width="15.28515625" style="1" customWidth="1"/>
    <col min="11271" max="11271" width="15.85546875" style="1" customWidth="1"/>
    <col min="11272" max="11272" width="27" style="1" customWidth="1"/>
    <col min="11273" max="11273" width="22.28515625" style="1" customWidth="1"/>
    <col min="11274" max="11274" width="15.85546875" style="1" customWidth="1"/>
    <col min="11275" max="11275" width="23.140625" style="1" customWidth="1"/>
    <col min="11276" max="11276" width="11.42578125" style="1"/>
    <col min="11277" max="11277" width="13.28515625" style="1" bestFit="1" customWidth="1"/>
    <col min="11278" max="11280" width="11.42578125" style="1"/>
    <col min="11281" max="11281" width="18.28515625" style="1" customWidth="1"/>
    <col min="11282" max="11520" width="11.42578125" style="1"/>
    <col min="11521" max="11521" width="11.5703125" style="1" customWidth="1"/>
    <col min="11522" max="11522" width="11.42578125" style="1"/>
    <col min="11523" max="11523" width="13.5703125" style="1" customWidth="1"/>
    <col min="11524" max="11524" width="11.42578125" style="1"/>
    <col min="11525" max="11525" width="15.5703125" style="1" customWidth="1"/>
    <col min="11526" max="11526" width="15.28515625" style="1" customWidth="1"/>
    <col min="11527" max="11527" width="15.85546875" style="1" customWidth="1"/>
    <col min="11528" max="11528" width="27" style="1" customWidth="1"/>
    <col min="11529" max="11529" width="22.28515625" style="1" customWidth="1"/>
    <col min="11530" max="11530" width="15.85546875" style="1" customWidth="1"/>
    <col min="11531" max="11531" width="23.140625" style="1" customWidth="1"/>
    <col min="11532" max="11532" width="11.42578125" style="1"/>
    <col min="11533" max="11533" width="13.28515625" style="1" bestFit="1" customWidth="1"/>
    <col min="11534" max="11536" width="11.42578125" style="1"/>
    <col min="11537" max="11537" width="18.28515625" style="1" customWidth="1"/>
    <col min="11538" max="11776" width="11.42578125" style="1"/>
    <col min="11777" max="11777" width="11.5703125" style="1" customWidth="1"/>
    <col min="11778" max="11778" width="11.42578125" style="1"/>
    <col min="11779" max="11779" width="13.5703125" style="1" customWidth="1"/>
    <col min="11780" max="11780" width="11.42578125" style="1"/>
    <col min="11781" max="11781" width="15.5703125" style="1" customWidth="1"/>
    <col min="11782" max="11782" width="15.28515625" style="1" customWidth="1"/>
    <col min="11783" max="11783" width="15.85546875" style="1" customWidth="1"/>
    <col min="11784" max="11784" width="27" style="1" customWidth="1"/>
    <col min="11785" max="11785" width="22.28515625" style="1" customWidth="1"/>
    <col min="11786" max="11786" width="15.85546875" style="1" customWidth="1"/>
    <col min="11787" max="11787" width="23.140625" style="1" customWidth="1"/>
    <col min="11788" max="11788" width="11.42578125" style="1"/>
    <col min="11789" max="11789" width="13.28515625" style="1" bestFit="1" customWidth="1"/>
    <col min="11790" max="11792" width="11.42578125" style="1"/>
    <col min="11793" max="11793" width="18.28515625" style="1" customWidth="1"/>
    <col min="11794" max="12032" width="11.42578125" style="1"/>
    <col min="12033" max="12033" width="11.5703125" style="1" customWidth="1"/>
    <col min="12034" max="12034" width="11.42578125" style="1"/>
    <col min="12035" max="12035" width="13.5703125" style="1" customWidth="1"/>
    <col min="12036" max="12036" width="11.42578125" style="1"/>
    <col min="12037" max="12037" width="15.5703125" style="1" customWidth="1"/>
    <col min="12038" max="12038" width="15.28515625" style="1" customWidth="1"/>
    <col min="12039" max="12039" width="15.85546875" style="1" customWidth="1"/>
    <col min="12040" max="12040" width="27" style="1" customWidth="1"/>
    <col min="12041" max="12041" width="22.28515625" style="1" customWidth="1"/>
    <col min="12042" max="12042" width="15.85546875" style="1" customWidth="1"/>
    <col min="12043" max="12043" width="23.140625" style="1" customWidth="1"/>
    <col min="12044" max="12044" width="11.42578125" style="1"/>
    <col min="12045" max="12045" width="13.28515625" style="1" bestFit="1" customWidth="1"/>
    <col min="12046" max="12048" width="11.42578125" style="1"/>
    <col min="12049" max="12049" width="18.28515625" style="1" customWidth="1"/>
    <col min="12050" max="12288" width="11.42578125" style="1"/>
    <col min="12289" max="12289" width="11.5703125" style="1" customWidth="1"/>
    <col min="12290" max="12290" width="11.42578125" style="1"/>
    <col min="12291" max="12291" width="13.5703125" style="1" customWidth="1"/>
    <col min="12292" max="12292" width="11.42578125" style="1"/>
    <col min="12293" max="12293" width="15.5703125" style="1" customWidth="1"/>
    <col min="12294" max="12294" width="15.28515625" style="1" customWidth="1"/>
    <col min="12295" max="12295" width="15.85546875" style="1" customWidth="1"/>
    <col min="12296" max="12296" width="27" style="1" customWidth="1"/>
    <col min="12297" max="12297" width="22.28515625" style="1" customWidth="1"/>
    <col min="12298" max="12298" width="15.85546875" style="1" customWidth="1"/>
    <col min="12299" max="12299" width="23.140625" style="1" customWidth="1"/>
    <col min="12300" max="12300" width="11.42578125" style="1"/>
    <col min="12301" max="12301" width="13.28515625" style="1" bestFit="1" customWidth="1"/>
    <col min="12302" max="12304" width="11.42578125" style="1"/>
    <col min="12305" max="12305" width="18.28515625" style="1" customWidth="1"/>
    <col min="12306" max="12544" width="11.42578125" style="1"/>
    <col min="12545" max="12545" width="11.5703125" style="1" customWidth="1"/>
    <col min="12546" max="12546" width="11.42578125" style="1"/>
    <col min="12547" max="12547" width="13.5703125" style="1" customWidth="1"/>
    <col min="12548" max="12548" width="11.42578125" style="1"/>
    <col min="12549" max="12549" width="15.5703125" style="1" customWidth="1"/>
    <col min="12550" max="12550" width="15.28515625" style="1" customWidth="1"/>
    <col min="12551" max="12551" width="15.85546875" style="1" customWidth="1"/>
    <col min="12552" max="12552" width="27" style="1" customWidth="1"/>
    <col min="12553" max="12553" width="22.28515625" style="1" customWidth="1"/>
    <col min="12554" max="12554" width="15.85546875" style="1" customWidth="1"/>
    <col min="12555" max="12555" width="23.140625" style="1" customWidth="1"/>
    <col min="12556" max="12556" width="11.42578125" style="1"/>
    <col min="12557" max="12557" width="13.28515625" style="1" bestFit="1" customWidth="1"/>
    <col min="12558" max="12560" width="11.42578125" style="1"/>
    <col min="12561" max="12561" width="18.28515625" style="1" customWidth="1"/>
    <col min="12562" max="12800" width="11.42578125" style="1"/>
    <col min="12801" max="12801" width="11.5703125" style="1" customWidth="1"/>
    <col min="12802" max="12802" width="11.42578125" style="1"/>
    <col min="12803" max="12803" width="13.5703125" style="1" customWidth="1"/>
    <col min="12804" max="12804" width="11.42578125" style="1"/>
    <col min="12805" max="12805" width="15.5703125" style="1" customWidth="1"/>
    <col min="12806" max="12806" width="15.28515625" style="1" customWidth="1"/>
    <col min="12807" max="12807" width="15.85546875" style="1" customWidth="1"/>
    <col min="12808" max="12808" width="27" style="1" customWidth="1"/>
    <col min="12809" max="12809" width="22.28515625" style="1" customWidth="1"/>
    <col min="12810" max="12810" width="15.85546875" style="1" customWidth="1"/>
    <col min="12811" max="12811" width="23.140625" style="1" customWidth="1"/>
    <col min="12812" max="12812" width="11.42578125" style="1"/>
    <col min="12813" max="12813" width="13.28515625" style="1" bestFit="1" customWidth="1"/>
    <col min="12814" max="12816" width="11.42578125" style="1"/>
    <col min="12817" max="12817" width="18.28515625" style="1" customWidth="1"/>
    <col min="12818" max="13056" width="11.42578125" style="1"/>
    <col min="13057" max="13057" width="11.5703125" style="1" customWidth="1"/>
    <col min="13058" max="13058" width="11.42578125" style="1"/>
    <col min="13059" max="13059" width="13.5703125" style="1" customWidth="1"/>
    <col min="13060" max="13060" width="11.42578125" style="1"/>
    <col min="13061" max="13061" width="15.5703125" style="1" customWidth="1"/>
    <col min="13062" max="13062" width="15.28515625" style="1" customWidth="1"/>
    <col min="13063" max="13063" width="15.85546875" style="1" customWidth="1"/>
    <col min="13064" max="13064" width="27" style="1" customWidth="1"/>
    <col min="13065" max="13065" width="22.28515625" style="1" customWidth="1"/>
    <col min="13066" max="13066" width="15.85546875" style="1" customWidth="1"/>
    <col min="13067" max="13067" width="23.140625" style="1" customWidth="1"/>
    <col min="13068" max="13068" width="11.42578125" style="1"/>
    <col min="13069" max="13069" width="13.28515625" style="1" bestFit="1" customWidth="1"/>
    <col min="13070" max="13072" width="11.42578125" style="1"/>
    <col min="13073" max="13073" width="18.28515625" style="1" customWidth="1"/>
    <col min="13074" max="13312" width="11.42578125" style="1"/>
    <col min="13313" max="13313" width="11.5703125" style="1" customWidth="1"/>
    <col min="13314" max="13314" width="11.42578125" style="1"/>
    <col min="13315" max="13315" width="13.5703125" style="1" customWidth="1"/>
    <col min="13316" max="13316" width="11.42578125" style="1"/>
    <col min="13317" max="13317" width="15.5703125" style="1" customWidth="1"/>
    <col min="13318" max="13318" width="15.28515625" style="1" customWidth="1"/>
    <col min="13319" max="13319" width="15.85546875" style="1" customWidth="1"/>
    <col min="13320" max="13320" width="27" style="1" customWidth="1"/>
    <col min="13321" max="13321" width="22.28515625" style="1" customWidth="1"/>
    <col min="13322" max="13322" width="15.85546875" style="1" customWidth="1"/>
    <col min="13323" max="13323" width="23.140625" style="1" customWidth="1"/>
    <col min="13324" max="13324" width="11.42578125" style="1"/>
    <col min="13325" max="13325" width="13.28515625" style="1" bestFit="1" customWidth="1"/>
    <col min="13326" max="13328" width="11.42578125" style="1"/>
    <col min="13329" max="13329" width="18.28515625" style="1" customWidth="1"/>
    <col min="13330" max="13568" width="11.42578125" style="1"/>
    <col min="13569" max="13569" width="11.5703125" style="1" customWidth="1"/>
    <col min="13570" max="13570" width="11.42578125" style="1"/>
    <col min="13571" max="13571" width="13.5703125" style="1" customWidth="1"/>
    <col min="13572" max="13572" width="11.42578125" style="1"/>
    <col min="13573" max="13573" width="15.5703125" style="1" customWidth="1"/>
    <col min="13574" max="13574" width="15.28515625" style="1" customWidth="1"/>
    <col min="13575" max="13575" width="15.85546875" style="1" customWidth="1"/>
    <col min="13576" max="13576" width="27" style="1" customWidth="1"/>
    <col min="13577" max="13577" width="22.28515625" style="1" customWidth="1"/>
    <col min="13578" max="13578" width="15.85546875" style="1" customWidth="1"/>
    <col min="13579" max="13579" width="23.140625" style="1" customWidth="1"/>
    <col min="13580" max="13580" width="11.42578125" style="1"/>
    <col min="13581" max="13581" width="13.28515625" style="1" bestFit="1" customWidth="1"/>
    <col min="13582" max="13584" width="11.42578125" style="1"/>
    <col min="13585" max="13585" width="18.28515625" style="1" customWidth="1"/>
    <col min="13586" max="13824" width="11.42578125" style="1"/>
    <col min="13825" max="13825" width="11.5703125" style="1" customWidth="1"/>
    <col min="13826" max="13826" width="11.42578125" style="1"/>
    <col min="13827" max="13827" width="13.5703125" style="1" customWidth="1"/>
    <col min="13828" max="13828" width="11.42578125" style="1"/>
    <col min="13829" max="13829" width="15.5703125" style="1" customWidth="1"/>
    <col min="13830" max="13830" width="15.28515625" style="1" customWidth="1"/>
    <col min="13831" max="13831" width="15.85546875" style="1" customWidth="1"/>
    <col min="13832" max="13832" width="27" style="1" customWidth="1"/>
    <col min="13833" max="13833" width="22.28515625" style="1" customWidth="1"/>
    <col min="13834" max="13834" width="15.85546875" style="1" customWidth="1"/>
    <col min="13835" max="13835" width="23.140625" style="1" customWidth="1"/>
    <col min="13836" max="13836" width="11.42578125" style="1"/>
    <col min="13837" max="13837" width="13.28515625" style="1" bestFit="1" customWidth="1"/>
    <col min="13838" max="13840" width="11.42578125" style="1"/>
    <col min="13841" max="13841" width="18.28515625" style="1" customWidth="1"/>
    <col min="13842" max="14080" width="11.42578125" style="1"/>
    <col min="14081" max="14081" width="11.5703125" style="1" customWidth="1"/>
    <col min="14082" max="14082" width="11.42578125" style="1"/>
    <col min="14083" max="14083" width="13.5703125" style="1" customWidth="1"/>
    <col min="14084" max="14084" width="11.42578125" style="1"/>
    <col min="14085" max="14085" width="15.5703125" style="1" customWidth="1"/>
    <col min="14086" max="14086" width="15.28515625" style="1" customWidth="1"/>
    <col min="14087" max="14087" width="15.85546875" style="1" customWidth="1"/>
    <col min="14088" max="14088" width="27" style="1" customWidth="1"/>
    <col min="14089" max="14089" width="22.28515625" style="1" customWidth="1"/>
    <col min="14090" max="14090" width="15.85546875" style="1" customWidth="1"/>
    <col min="14091" max="14091" width="23.140625" style="1" customWidth="1"/>
    <col min="14092" max="14092" width="11.42578125" style="1"/>
    <col min="14093" max="14093" width="13.28515625" style="1" bestFit="1" customWidth="1"/>
    <col min="14094" max="14096" width="11.42578125" style="1"/>
    <col min="14097" max="14097" width="18.28515625" style="1" customWidth="1"/>
    <col min="14098" max="14336" width="11.42578125" style="1"/>
    <col min="14337" max="14337" width="11.5703125" style="1" customWidth="1"/>
    <col min="14338" max="14338" width="11.42578125" style="1"/>
    <col min="14339" max="14339" width="13.5703125" style="1" customWidth="1"/>
    <col min="14340" max="14340" width="11.42578125" style="1"/>
    <col min="14341" max="14341" width="15.5703125" style="1" customWidth="1"/>
    <col min="14342" max="14342" width="15.28515625" style="1" customWidth="1"/>
    <col min="14343" max="14343" width="15.85546875" style="1" customWidth="1"/>
    <col min="14344" max="14344" width="27" style="1" customWidth="1"/>
    <col min="14345" max="14345" width="22.28515625" style="1" customWidth="1"/>
    <col min="14346" max="14346" width="15.85546875" style="1" customWidth="1"/>
    <col min="14347" max="14347" width="23.140625" style="1" customWidth="1"/>
    <col min="14348" max="14348" width="11.42578125" style="1"/>
    <col min="14349" max="14349" width="13.28515625" style="1" bestFit="1" customWidth="1"/>
    <col min="14350" max="14352" width="11.42578125" style="1"/>
    <col min="14353" max="14353" width="18.28515625" style="1" customWidth="1"/>
    <col min="14354" max="14592" width="11.42578125" style="1"/>
    <col min="14593" max="14593" width="11.5703125" style="1" customWidth="1"/>
    <col min="14594" max="14594" width="11.42578125" style="1"/>
    <col min="14595" max="14595" width="13.5703125" style="1" customWidth="1"/>
    <col min="14596" max="14596" width="11.42578125" style="1"/>
    <col min="14597" max="14597" width="15.5703125" style="1" customWidth="1"/>
    <col min="14598" max="14598" width="15.28515625" style="1" customWidth="1"/>
    <col min="14599" max="14599" width="15.85546875" style="1" customWidth="1"/>
    <col min="14600" max="14600" width="27" style="1" customWidth="1"/>
    <col min="14601" max="14601" width="22.28515625" style="1" customWidth="1"/>
    <col min="14602" max="14602" width="15.85546875" style="1" customWidth="1"/>
    <col min="14603" max="14603" width="23.140625" style="1" customWidth="1"/>
    <col min="14604" max="14604" width="11.42578125" style="1"/>
    <col min="14605" max="14605" width="13.28515625" style="1" bestFit="1" customWidth="1"/>
    <col min="14606" max="14608" width="11.42578125" style="1"/>
    <col min="14609" max="14609" width="18.28515625" style="1" customWidth="1"/>
    <col min="14610" max="14848" width="11.42578125" style="1"/>
    <col min="14849" max="14849" width="11.5703125" style="1" customWidth="1"/>
    <col min="14850" max="14850" width="11.42578125" style="1"/>
    <col min="14851" max="14851" width="13.5703125" style="1" customWidth="1"/>
    <col min="14852" max="14852" width="11.42578125" style="1"/>
    <col min="14853" max="14853" width="15.5703125" style="1" customWidth="1"/>
    <col min="14854" max="14854" width="15.28515625" style="1" customWidth="1"/>
    <col min="14855" max="14855" width="15.85546875" style="1" customWidth="1"/>
    <col min="14856" max="14856" width="27" style="1" customWidth="1"/>
    <col min="14857" max="14857" width="22.28515625" style="1" customWidth="1"/>
    <col min="14858" max="14858" width="15.85546875" style="1" customWidth="1"/>
    <col min="14859" max="14859" width="23.140625" style="1" customWidth="1"/>
    <col min="14860" max="14860" width="11.42578125" style="1"/>
    <col min="14861" max="14861" width="13.28515625" style="1" bestFit="1" customWidth="1"/>
    <col min="14862" max="14864" width="11.42578125" style="1"/>
    <col min="14865" max="14865" width="18.28515625" style="1" customWidth="1"/>
    <col min="14866" max="15104" width="11.42578125" style="1"/>
    <col min="15105" max="15105" width="11.5703125" style="1" customWidth="1"/>
    <col min="15106" max="15106" width="11.42578125" style="1"/>
    <col min="15107" max="15107" width="13.5703125" style="1" customWidth="1"/>
    <col min="15108" max="15108" width="11.42578125" style="1"/>
    <col min="15109" max="15109" width="15.5703125" style="1" customWidth="1"/>
    <col min="15110" max="15110" width="15.28515625" style="1" customWidth="1"/>
    <col min="15111" max="15111" width="15.85546875" style="1" customWidth="1"/>
    <col min="15112" max="15112" width="27" style="1" customWidth="1"/>
    <col min="15113" max="15113" width="22.28515625" style="1" customWidth="1"/>
    <col min="15114" max="15114" width="15.85546875" style="1" customWidth="1"/>
    <col min="15115" max="15115" width="23.140625" style="1" customWidth="1"/>
    <col min="15116" max="15116" width="11.42578125" style="1"/>
    <col min="15117" max="15117" width="13.28515625" style="1" bestFit="1" customWidth="1"/>
    <col min="15118" max="15120" width="11.42578125" style="1"/>
    <col min="15121" max="15121" width="18.28515625" style="1" customWidth="1"/>
    <col min="15122" max="15360" width="11.42578125" style="1"/>
    <col min="15361" max="15361" width="11.5703125" style="1" customWidth="1"/>
    <col min="15362" max="15362" width="11.42578125" style="1"/>
    <col min="15363" max="15363" width="13.5703125" style="1" customWidth="1"/>
    <col min="15364" max="15364" width="11.42578125" style="1"/>
    <col min="15365" max="15365" width="15.5703125" style="1" customWidth="1"/>
    <col min="15366" max="15366" width="15.28515625" style="1" customWidth="1"/>
    <col min="15367" max="15367" width="15.85546875" style="1" customWidth="1"/>
    <col min="15368" max="15368" width="27" style="1" customWidth="1"/>
    <col min="15369" max="15369" width="22.28515625" style="1" customWidth="1"/>
    <col min="15370" max="15370" width="15.85546875" style="1" customWidth="1"/>
    <col min="15371" max="15371" width="23.140625" style="1" customWidth="1"/>
    <col min="15372" max="15372" width="11.42578125" style="1"/>
    <col min="15373" max="15373" width="13.28515625" style="1" bestFit="1" customWidth="1"/>
    <col min="15374" max="15376" width="11.42578125" style="1"/>
    <col min="15377" max="15377" width="18.28515625" style="1" customWidth="1"/>
    <col min="15378" max="15616" width="11.42578125" style="1"/>
    <col min="15617" max="15617" width="11.5703125" style="1" customWidth="1"/>
    <col min="15618" max="15618" width="11.42578125" style="1"/>
    <col min="15619" max="15619" width="13.5703125" style="1" customWidth="1"/>
    <col min="15620" max="15620" width="11.42578125" style="1"/>
    <col min="15621" max="15621" width="15.5703125" style="1" customWidth="1"/>
    <col min="15622" max="15622" width="15.28515625" style="1" customWidth="1"/>
    <col min="15623" max="15623" width="15.85546875" style="1" customWidth="1"/>
    <col min="15624" max="15624" width="27" style="1" customWidth="1"/>
    <col min="15625" max="15625" width="22.28515625" style="1" customWidth="1"/>
    <col min="15626" max="15626" width="15.85546875" style="1" customWidth="1"/>
    <col min="15627" max="15627" width="23.140625" style="1" customWidth="1"/>
    <col min="15628" max="15628" width="11.42578125" style="1"/>
    <col min="15629" max="15629" width="13.28515625" style="1" bestFit="1" customWidth="1"/>
    <col min="15630" max="15632" width="11.42578125" style="1"/>
    <col min="15633" max="15633" width="18.28515625" style="1" customWidth="1"/>
    <col min="15634" max="15872" width="11.42578125" style="1"/>
    <col min="15873" max="15873" width="11.5703125" style="1" customWidth="1"/>
    <col min="15874" max="15874" width="11.42578125" style="1"/>
    <col min="15875" max="15875" width="13.5703125" style="1" customWidth="1"/>
    <col min="15876" max="15876" width="11.42578125" style="1"/>
    <col min="15877" max="15877" width="15.5703125" style="1" customWidth="1"/>
    <col min="15878" max="15878" width="15.28515625" style="1" customWidth="1"/>
    <col min="15879" max="15879" width="15.85546875" style="1" customWidth="1"/>
    <col min="15880" max="15880" width="27" style="1" customWidth="1"/>
    <col min="15881" max="15881" width="22.28515625" style="1" customWidth="1"/>
    <col min="15882" max="15882" width="15.85546875" style="1" customWidth="1"/>
    <col min="15883" max="15883" width="23.140625" style="1" customWidth="1"/>
    <col min="15884" max="15884" width="11.42578125" style="1"/>
    <col min="15885" max="15885" width="13.28515625" style="1" bestFit="1" customWidth="1"/>
    <col min="15886" max="15888" width="11.42578125" style="1"/>
    <col min="15889" max="15889" width="18.28515625" style="1" customWidth="1"/>
    <col min="15890" max="16128" width="11.42578125" style="1"/>
    <col min="16129" max="16129" width="11.5703125" style="1" customWidth="1"/>
    <col min="16130" max="16130" width="11.42578125" style="1"/>
    <col min="16131" max="16131" width="13.5703125" style="1" customWidth="1"/>
    <col min="16132" max="16132" width="11.42578125" style="1"/>
    <col min="16133" max="16133" width="15.5703125" style="1" customWidth="1"/>
    <col min="16134" max="16134" width="15.28515625" style="1" customWidth="1"/>
    <col min="16135" max="16135" width="15.85546875" style="1" customWidth="1"/>
    <col min="16136" max="16136" width="27" style="1" customWidth="1"/>
    <col min="16137" max="16137" width="22.28515625" style="1" customWidth="1"/>
    <col min="16138" max="16138" width="15.85546875" style="1" customWidth="1"/>
    <col min="16139" max="16139" width="23.140625" style="1" customWidth="1"/>
    <col min="16140" max="16140" width="11.42578125" style="1"/>
    <col min="16141" max="16141" width="13.28515625" style="1" bestFit="1" customWidth="1"/>
    <col min="16142" max="16144" width="11.42578125" style="1"/>
    <col min="16145" max="16145" width="18.28515625" style="1" customWidth="1"/>
    <col min="16146" max="16384" width="11.42578125" style="1"/>
  </cols>
  <sheetData>
    <row r="1" spans="1:21" x14ac:dyDescent="0.25">
      <c r="A1" s="605" t="s">
        <v>0</v>
      </c>
      <c r="B1" s="605"/>
      <c r="C1" s="605"/>
      <c r="D1" s="605"/>
      <c r="E1" s="605"/>
      <c r="F1" s="605"/>
      <c r="G1" s="605"/>
      <c r="H1" s="605"/>
      <c r="I1" s="605"/>
      <c r="J1" s="605"/>
      <c r="K1" s="605"/>
      <c r="L1" s="605"/>
      <c r="M1" s="605"/>
      <c r="N1" s="605"/>
      <c r="O1" s="605"/>
    </row>
    <row r="2" spans="1:21" x14ac:dyDescent="0.25">
      <c r="A2" s="605" t="s">
        <v>1</v>
      </c>
      <c r="B2" s="605"/>
      <c r="C2" s="605"/>
      <c r="D2" s="605"/>
      <c r="E2" s="605"/>
      <c r="F2" s="605"/>
      <c r="G2" s="605"/>
      <c r="H2" s="605"/>
      <c r="I2" s="605"/>
      <c r="J2" s="605"/>
      <c r="K2" s="605"/>
      <c r="L2" s="605"/>
      <c r="M2" s="605"/>
      <c r="N2" s="605"/>
      <c r="O2" s="605"/>
    </row>
    <row r="3" spans="1:21" x14ac:dyDescent="0.25">
      <c r="A3" s="605" t="s">
        <v>2</v>
      </c>
      <c r="B3" s="605"/>
      <c r="C3" s="605"/>
      <c r="D3" s="605"/>
      <c r="E3" s="605"/>
      <c r="F3" s="605"/>
      <c r="G3" s="605"/>
      <c r="H3" s="605" t="s">
        <v>3</v>
      </c>
      <c r="I3" s="605"/>
      <c r="J3" s="605"/>
      <c r="K3" s="605"/>
      <c r="L3" s="605"/>
      <c r="M3" s="605"/>
      <c r="N3" s="605"/>
      <c r="O3" s="605"/>
    </row>
    <row r="4" spans="1:21" x14ac:dyDescent="0.25">
      <c r="A4" s="605">
        <v>2013</v>
      </c>
      <c r="B4" s="605"/>
      <c r="C4" s="605"/>
      <c r="D4" s="605"/>
      <c r="E4" s="605"/>
      <c r="F4" s="605"/>
      <c r="G4" s="605"/>
      <c r="H4" s="605"/>
      <c r="I4" s="605"/>
      <c r="J4" s="605"/>
      <c r="K4" s="605"/>
      <c r="L4" s="605"/>
      <c r="M4" s="605"/>
      <c r="N4" s="605"/>
      <c r="O4" s="605"/>
    </row>
    <row r="5" spans="1:21" x14ac:dyDescent="0.25">
      <c r="A5" s="2"/>
      <c r="B5" s="2"/>
      <c r="C5" s="2"/>
      <c r="D5" s="2"/>
      <c r="E5" s="2"/>
      <c r="F5" s="2"/>
      <c r="G5" s="2"/>
      <c r="H5" s="2"/>
      <c r="I5" s="115"/>
      <c r="J5" s="3"/>
      <c r="K5" s="2"/>
      <c r="L5" s="4"/>
      <c r="M5" s="6"/>
      <c r="N5" s="5"/>
      <c r="O5" s="5"/>
    </row>
    <row r="6" spans="1:21" x14ac:dyDescent="0.25">
      <c r="A6" s="7" t="s">
        <v>4</v>
      </c>
      <c r="B6" s="606" t="s">
        <v>274</v>
      </c>
      <c r="C6" s="606"/>
      <c r="D6" s="606"/>
      <c r="E6" s="606"/>
      <c r="F6" s="606"/>
      <c r="G6" s="606"/>
      <c r="H6" s="606"/>
      <c r="I6" s="606"/>
      <c r="J6" s="606"/>
      <c r="K6" s="606"/>
      <c r="L6" s="606"/>
      <c r="M6" s="606"/>
      <c r="N6" s="606"/>
      <c r="O6" s="606"/>
    </row>
    <row r="7" spans="1:21" ht="15" customHeight="1" x14ac:dyDescent="0.25">
      <c r="A7" s="617" t="s">
        <v>6</v>
      </c>
      <c r="B7" s="617" t="s">
        <v>7</v>
      </c>
      <c r="C7" s="617" t="s">
        <v>8</v>
      </c>
      <c r="D7" s="617" t="s">
        <v>9</v>
      </c>
      <c r="E7" s="617" t="s">
        <v>10</v>
      </c>
      <c r="F7" s="617" t="s">
        <v>11</v>
      </c>
      <c r="G7" s="617" t="s">
        <v>12</v>
      </c>
      <c r="H7" s="617" t="s">
        <v>13</v>
      </c>
      <c r="I7" s="699" t="s">
        <v>14</v>
      </c>
      <c r="J7" s="621" t="s">
        <v>15</v>
      </c>
      <c r="K7" s="617" t="s">
        <v>16</v>
      </c>
      <c r="L7" s="617" t="s">
        <v>17</v>
      </c>
      <c r="M7" s="617" t="s">
        <v>18</v>
      </c>
      <c r="N7" s="623" t="s">
        <v>19</v>
      </c>
      <c r="O7" s="623" t="s">
        <v>20</v>
      </c>
      <c r="P7" s="623" t="s">
        <v>21</v>
      </c>
      <c r="Q7" s="619" t="s">
        <v>22</v>
      </c>
    </row>
    <row r="8" spans="1:21" ht="32.25" customHeight="1" x14ac:dyDescent="0.25">
      <c r="A8" s="618"/>
      <c r="B8" s="618"/>
      <c r="C8" s="618"/>
      <c r="D8" s="618"/>
      <c r="E8" s="618"/>
      <c r="F8" s="618"/>
      <c r="G8" s="618"/>
      <c r="H8" s="618"/>
      <c r="I8" s="700"/>
      <c r="J8" s="622"/>
      <c r="K8" s="618"/>
      <c r="L8" s="618"/>
      <c r="M8" s="618"/>
      <c r="N8" s="624"/>
      <c r="O8" s="624"/>
      <c r="P8" s="624"/>
      <c r="Q8" s="620"/>
      <c r="S8" s="8"/>
      <c r="T8" s="8"/>
      <c r="U8" s="8"/>
    </row>
    <row r="9" spans="1:21" ht="76.5" customHeight="1" x14ac:dyDescent="0.25">
      <c r="A9" s="10" t="s">
        <v>275</v>
      </c>
      <c r="B9" s="10" t="s">
        <v>276</v>
      </c>
      <c r="C9" s="10" t="s">
        <v>277</v>
      </c>
      <c r="D9" s="10">
        <v>251510000</v>
      </c>
      <c r="E9" s="10" t="s">
        <v>278</v>
      </c>
      <c r="F9" s="50" t="s">
        <v>279</v>
      </c>
      <c r="G9" s="10" t="s">
        <v>280</v>
      </c>
      <c r="H9" s="10" t="s">
        <v>281</v>
      </c>
      <c r="I9" s="116">
        <v>498460545</v>
      </c>
      <c r="J9" s="117">
        <v>625279931</v>
      </c>
      <c r="K9" s="10" t="s">
        <v>282</v>
      </c>
      <c r="L9" s="10">
        <v>104</v>
      </c>
      <c r="M9" s="10"/>
      <c r="N9" s="10"/>
      <c r="O9" s="10">
        <v>104</v>
      </c>
      <c r="P9" s="118">
        <f>104+114</f>
        <v>218</v>
      </c>
      <c r="Q9" s="10"/>
      <c r="R9" s="16"/>
      <c r="U9" s="17"/>
    </row>
    <row r="10" spans="1:21" ht="66" customHeight="1" x14ac:dyDescent="0.25">
      <c r="A10" s="10"/>
      <c r="B10" s="10"/>
      <c r="C10" s="10"/>
      <c r="D10" s="10"/>
      <c r="E10" s="10"/>
      <c r="F10" s="50"/>
      <c r="G10" s="10"/>
      <c r="H10" s="10"/>
      <c r="I10" s="116"/>
      <c r="J10" s="117"/>
      <c r="K10" s="10" t="s">
        <v>283</v>
      </c>
      <c r="L10" s="10">
        <v>13</v>
      </c>
      <c r="M10" s="10"/>
      <c r="N10" s="10"/>
      <c r="O10" s="10">
        <v>9</v>
      </c>
      <c r="P10" s="45">
        <f>9+115</f>
        <v>124</v>
      </c>
      <c r="Q10" s="10"/>
      <c r="R10" s="16"/>
      <c r="U10" s="17"/>
    </row>
    <row r="11" spans="1:21" ht="66" customHeight="1" x14ac:dyDescent="0.25">
      <c r="A11" s="10"/>
      <c r="B11" s="10"/>
      <c r="C11" s="10"/>
      <c r="D11" s="10"/>
      <c r="E11" s="10"/>
      <c r="F11" s="50"/>
      <c r="G11" s="10"/>
      <c r="H11" s="10"/>
      <c r="I11" s="116"/>
      <c r="J11" s="117"/>
      <c r="K11" s="10" t="s">
        <v>284</v>
      </c>
      <c r="L11" s="10">
        <v>25</v>
      </c>
      <c r="M11" s="10"/>
      <c r="N11" s="10"/>
      <c r="O11" s="10">
        <v>20</v>
      </c>
      <c r="P11" s="45">
        <f>20+18</f>
        <v>38</v>
      </c>
      <c r="Q11" s="10"/>
      <c r="R11" s="16"/>
      <c r="U11" s="17"/>
    </row>
    <row r="12" spans="1:21" ht="121.5" customHeight="1" x14ac:dyDescent="0.25">
      <c r="A12" s="10" t="s">
        <v>275</v>
      </c>
      <c r="B12" s="10" t="s">
        <v>276</v>
      </c>
      <c r="C12" s="10" t="s">
        <v>277</v>
      </c>
      <c r="D12" s="10">
        <v>251560000</v>
      </c>
      <c r="E12" s="10" t="s">
        <v>285</v>
      </c>
      <c r="F12" s="50" t="s">
        <v>286</v>
      </c>
      <c r="G12" s="10" t="s">
        <v>287</v>
      </c>
      <c r="H12" s="10" t="s">
        <v>288</v>
      </c>
      <c r="I12" s="116">
        <v>325800000</v>
      </c>
      <c r="J12" s="117">
        <v>369084590</v>
      </c>
      <c r="K12" s="10" t="s">
        <v>289</v>
      </c>
      <c r="L12" s="10">
        <v>80</v>
      </c>
      <c r="M12" s="10"/>
      <c r="N12" s="10"/>
      <c r="O12" s="10">
        <v>100</v>
      </c>
      <c r="P12" s="45">
        <v>100</v>
      </c>
      <c r="Q12" s="10"/>
      <c r="R12" s="16"/>
      <c r="U12" s="17"/>
    </row>
    <row r="13" spans="1:21" ht="30" x14ac:dyDescent="0.25">
      <c r="A13" s="10"/>
      <c r="B13" s="10"/>
      <c r="C13" s="10"/>
      <c r="D13" s="10"/>
      <c r="E13" s="10"/>
      <c r="F13" s="50"/>
      <c r="G13" s="10"/>
      <c r="H13" s="10"/>
      <c r="I13" s="116"/>
      <c r="J13" s="117"/>
      <c r="K13" s="10" t="s">
        <v>290</v>
      </c>
      <c r="L13" s="10">
        <v>30</v>
      </c>
      <c r="M13" s="10"/>
      <c r="N13" s="10"/>
      <c r="O13" s="10">
        <v>0</v>
      </c>
      <c r="P13" s="45">
        <f>0+22</f>
        <v>22</v>
      </c>
      <c r="Q13" s="10"/>
      <c r="R13" s="16"/>
      <c r="U13" s="17"/>
    </row>
    <row r="14" spans="1:21" ht="135" x14ac:dyDescent="0.25">
      <c r="A14" s="10" t="s">
        <v>275</v>
      </c>
      <c r="B14" s="10" t="s">
        <v>276</v>
      </c>
      <c r="C14" s="10" t="s">
        <v>277</v>
      </c>
      <c r="D14" s="10">
        <v>251520000</v>
      </c>
      <c r="E14" s="10" t="s">
        <v>291</v>
      </c>
      <c r="F14" s="50" t="s">
        <v>292</v>
      </c>
      <c r="G14" s="10" t="s">
        <v>293</v>
      </c>
      <c r="H14" s="10" t="s">
        <v>294</v>
      </c>
      <c r="I14" s="116">
        <v>350000000</v>
      </c>
      <c r="J14" s="117">
        <v>421191153</v>
      </c>
      <c r="K14" s="10" t="s">
        <v>295</v>
      </c>
      <c r="L14" s="10">
        <v>3</v>
      </c>
      <c r="M14" s="10"/>
      <c r="N14" s="10"/>
      <c r="O14" s="10">
        <v>0</v>
      </c>
      <c r="P14" s="45">
        <v>0</v>
      </c>
      <c r="Q14" s="10" t="s">
        <v>296</v>
      </c>
      <c r="R14" s="16"/>
      <c r="U14" s="17"/>
    </row>
    <row r="15" spans="1:21" ht="75" x14ac:dyDescent="0.25">
      <c r="A15" s="10" t="s">
        <v>275</v>
      </c>
      <c r="B15" s="10" t="s">
        <v>276</v>
      </c>
      <c r="C15" s="10" t="s">
        <v>277</v>
      </c>
      <c r="D15" s="10">
        <v>251530000</v>
      </c>
      <c r="E15" s="10" t="s">
        <v>297</v>
      </c>
      <c r="F15" s="50" t="s">
        <v>298</v>
      </c>
      <c r="G15" s="10" t="s">
        <v>299</v>
      </c>
      <c r="H15" s="10" t="s">
        <v>300</v>
      </c>
      <c r="I15" s="116">
        <v>-439896000</v>
      </c>
      <c r="J15" s="117">
        <v>-179866000</v>
      </c>
      <c r="K15" s="10" t="s">
        <v>301</v>
      </c>
      <c r="L15" s="10">
        <v>60</v>
      </c>
      <c r="M15" s="10"/>
      <c r="N15" s="10"/>
      <c r="O15" s="10">
        <v>98</v>
      </c>
      <c r="P15" s="45">
        <f>98+213</f>
        <v>311</v>
      </c>
      <c r="Q15" s="10"/>
      <c r="R15" s="16"/>
      <c r="U15" s="17"/>
    </row>
    <row r="16" spans="1:21" ht="72.75" customHeight="1" x14ac:dyDescent="0.25">
      <c r="A16" s="10" t="s">
        <v>275</v>
      </c>
      <c r="B16" s="10" t="s">
        <v>276</v>
      </c>
      <c r="C16" s="10" t="s">
        <v>277</v>
      </c>
      <c r="D16" s="10">
        <v>251540000</v>
      </c>
      <c r="E16" s="10" t="s">
        <v>302</v>
      </c>
      <c r="F16" s="50" t="s">
        <v>303</v>
      </c>
      <c r="G16" s="10" t="s">
        <v>304</v>
      </c>
      <c r="H16" s="10" t="s">
        <v>305</v>
      </c>
      <c r="I16" s="116">
        <v>0</v>
      </c>
      <c r="J16" s="117">
        <v>-48102680</v>
      </c>
      <c r="K16" s="10" t="s">
        <v>306</v>
      </c>
      <c r="L16" s="10">
        <v>80</v>
      </c>
      <c r="M16" s="10"/>
      <c r="N16" s="10"/>
      <c r="O16" s="10">
        <v>86</v>
      </c>
      <c r="P16" s="45">
        <f>86+120</f>
        <v>206</v>
      </c>
      <c r="Q16" s="10"/>
      <c r="R16" s="16"/>
      <c r="U16" s="17"/>
    </row>
    <row r="17" spans="1:21" ht="82.5" customHeight="1" x14ac:dyDescent="0.25">
      <c r="A17" s="10" t="s">
        <v>275</v>
      </c>
      <c r="B17" s="10" t="s">
        <v>276</v>
      </c>
      <c r="C17" s="10" t="s">
        <v>277</v>
      </c>
      <c r="D17" s="10">
        <v>251570000</v>
      </c>
      <c r="E17" s="10" t="s">
        <v>307</v>
      </c>
      <c r="F17" s="50" t="s">
        <v>308</v>
      </c>
      <c r="G17" s="10" t="s">
        <v>309</v>
      </c>
      <c r="H17" s="18" t="s">
        <v>310</v>
      </c>
      <c r="I17" s="119">
        <v>-1032307045</v>
      </c>
      <c r="J17" s="117">
        <v>-1039173320</v>
      </c>
      <c r="K17" s="18" t="s">
        <v>311</v>
      </c>
      <c r="L17" s="18">
        <v>45</v>
      </c>
      <c r="M17" s="10"/>
      <c r="N17" s="10"/>
      <c r="O17" s="10">
        <v>2</v>
      </c>
      <c r="P17" s="45">
        <f>2+9</f>
        <v>11</v>
      </c>
      <c r="Q17" s="10" t="s">
        <v>312</v>
      </c>
      <c r="R17" s="16"/>
      <c r="U17" s="17"/>
    </row>
    <row r="18" spans="1:21" ht="96.75" customHeight="1" x14ac:dyDescent="0.25">
      <c r="A18" s="10" t="s">
        <v>275</v>
      </c>
      <c r="B18" s="10" t="s">
        <v>276</v>
      </c>
      <c r="C18" s="10" t="s">
        <v>277</v>
      </c>
      <c r="D18" s="10">
        <v>251570000</v>
      </c>
      <c r="E18" s="10" t="s">
        <v>307</v>
      </c>
      <c r="F18" s="50" t="s">
        <v>313</v>
      </c>
      <c r="G18" s="10" t="s">
        <v>314</v>
      </c>
      <c r="H18" s="18" t="s">
        <v>315</v>
      </c>
      <c r="I18" s="119">
        <v>6104389545</v>
      </c>
      <c r="J18" s="117">
        <v>6104389545</v>
      </c>
      <c r="K18" s="18" t="s">
        <v>311</v>
      </c>
      <c r="L18" s="18">
        <v>45</v>
      </c>
      <c r="M18" s="10"/>
      <c r="N18" s="10"/>
      <c r="O18" s="10">
        <v>45</v>
      </c>
      <c r="P18" s="45">
        <f>0+45</f>
        <v>45</v>
      </c>
      <c r="Q18" s="10" t="s">
        <v>312</v>
      </c>
      <c r="R18" s="16"/>
      <c r="U18" s="17"/>
    </row>
    <row r="21" spans="1:21" x14ac:dyDescent="0.25">
      <c r="J21" s="121"/>
    </row>
  </sheetData>
  <sheetProtection algorithmName="SHA-512" hashValue="olEtWN8AMGoaS0hAubO6MGZXzwNL5vz7QCHeM7FG8og3KL+VOOsZScPT0eRxzErCr/6b/oM8xk5X8KK9m2sm2A==" saltValue="/c3tjQ5GPLYINK+mV3wn7A=="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showZeros="0" topLeftCell="O4" zoomScaleNormal="100" zoomScaleSheetLayoutView="100" workbookViewId="0">
      <pane ySplit="5" topLeftCell="A9" activePane="bottomLeft" state="frozen"/>
      <selection activeCell="A4" sqref="A4"/>
      <selection pane="bottomLeft" activeCell="S11" sqref="S11"/>
    </sheetView>
  </sheetViews>
  <sheetFormatPr baseColWidth="10" defaultRowHeight="15" x14ac:dyDescent="0.25"/>
  <cols>
    <col min="1" max="1" width="15.7109375" style="1" customWidth="1"/>
    <col min="2" max="2" width="17.7109375" style="1" customWidth="1"/>
    <col min="3" max="3" width="18.7109375" style="1" customWidth="1"/>
    <col min="4" max="5" width="13.7109375" style="1" customWidth="1"/>
    <col min="6" max="6" width="13" style="1" customWidth="1"/>
    <col min="7" max="7" width="22.7109375" style="1" customWidth="1"/>
    <col min="8" max="8" width="14.7109375" style="1" customWidth="1"/>
    <col min="9" max="9" width="14.7109375" style="68" customWidth="1"/>
    <col min="10" max="18" width="14.7109375" style="1" customWidth="1"/>
    <col min="19" max="19" width="14.7109375" style="68" customWidth="1"/>
    <col min="20" max="20" width="30.7109375" style="1" customWidth="1"/>
    <col min="21" max="28" width="12.7109375" style="69" customWidth="1"/>
    <col min="29" max="29" width="12.7109375" style="1" customWidth="1"/>
    <col min="30" max="30" width="21.7109375" style="1" customWidth="1"/>
    <col min="31" max="38" width="5.7109375" style="1" customWidth="1"/>
    <col min="39" max="42" width="8.7109375" style="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135</v>
      </c>
      <c r="D5" s="24"/>
      <c r="E5" s="24"/>
      <c r="F5" s="24"/>
      <c r="G5" s="70"/>
      <c r="H5" s="24"/>
      <c r="I5" s="71"/>
      <c r="J5" s="25"/>
      <c r="K5" s="24"/>
      <c r="L5" s="25"/>
      <c r="M5" s="25"/>
      <c r="N5" s="25"/>
      <c r="O5" s="25"/>
      <c r="P5" s="25"/>
      <c r="Q5" s="27"/>
      <c r="R5" s="27"/>
      <c r="S5" s="72"/>
      <c r="T5" s="27"/>
      <c r="U5" s="73"/>
      <c r="V5" s="73"/>
      <c r="W5" s="73"/>
      <c r="X5" s="73"/>
      <c r="Y5" s="73"/>
      <c r="Z5" s="73"/>
      <c r="AA5" s="73"/>
      <c r="AB5" s="73"/>
      <c r="AC5" s="27"/>
      <c r="AD5" s="27"/>
    </row>
    <row r="7" spans="1:42" s="29" customFormat="1" ht="24" customHeight="1" x14ac:dyDescent="0.2">
      <c r="A7" s="603" t="s">
        <v>6</v>
      </c>
      <c r="B7" s="603" t="s">
        <v>7</v>
      </c>
      <c r="C7" s="603" t="s">
        <v>8</v>
      </c>
      <c r="D7" s="603" t="s">
        <v>9</v>
      </c>
      <c r="E7" s="603" t="s">
        <v>11</v>
      </c>
      <c r="F7" s="603" t="s">
        <v>12</v>
      </c>
      <c r="G7" s="603" t="s">
        <v>13</v>
      </c>
      <c r="H7" s="603" t="s">
        <v>62</v>
      </c>
      <c r="I7" s="701" t="s">
        <v>63</v>
      </c>
      <c r="J7" s="607" t="s">
        <v>64</v>
      </c>
      <c r="K7" s="603" t="s">
        <v>65</v>
      </c>
      <c r="L7" s="607" t="s">
        <v>66</v>
      </c>
      <c r="M7" s="607" t="s">
        <v>67</v>
      </c>
      <c r="N7" s="603" t="s">
        <v>68</v>
      </c>
      <c r="O7" s="607" t="s">
        <v>69</v>
      </c>
      <c r="P7" s="607" t="s">
        <v>70</v>
      </c>
      <c r="Q7" s="603" t="s">
        <v>71</v>
      </c>
      <c r="R7" s="603" t="s">
        <v>72</v>
      </c>
      <c r="S7" s="7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36" customHeight="1" x14ac:dyDescent="0.25">
      <c r="A8" s="604"/>
      <c r="B8" s="604"/>
      <c r="C8" s="604"/>
      <c r="D8" s="604"/>
      <c r="E8" s="604"/>
      <c r="F8" s="604"/>
      <c r="G8" s="604"/>
      <c r="H8" s="604"/>
      <c r="I8" s="702"/>
      <c r="J8" s="608"/>
      <c r="K8" s="604"/>
      <c r="L8" s="608"/>
      <c r="M8" s="608"/>
      <c r="N8" s="604"/>
      <c r="O8" s="608"/>
      <c r="P8" s="608"/>
      <c r="Q8" s="604"/>
      <c r="R8" s="604"/>
      <c r="S8" s="704"/>
      <c r="T8" s="30" t="s">
        <v>76</v>
      </c>
      <c r="U8" s="32" t="s">
        <v>77</v>
      </c>
      <c r="V8" s="32"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60" x14ac:dyDescent="0.25">
      <c r="A9" s="34" t="s">
        <v>23</v>
      </c>
      <c r="B9" s="34" t="s">
        <v>136</v>
      </c>
      <c r="C9" s="34" t="s">
        <v>137</v>
      </c>
      <c r="D9" s="34">
        <v>211180000</v>
      </c>
      <c r="E9" s="34" t="s">
        <v>139</v>
      </c>
      <c r="F9" s="74" t="s">
        <v>213</v>
      </c>
      <c r="G9" s="34" t="s">
        <v>140</v>
      </c>
      <c r="H9" s="75">
        <v>260000000</v>
      </c>
      <c r="I9" s="75">
        <v>235000000</v>
      </c>
      <c r="J9" s="75">
        <v>235000000</v>
      </c>
      <c r="K9" s="75">
        <v>0</v>
      </c>
      <c r="L9" s="75"/>
      <c r="M9" s="75"/>
      <c r="N9" s="75">
        <f>H9+K9</f>
        <v>260000000</v>
      </c>
      <c r="O9" s="75">
        <f>I9+L9</f>
        <v>235000000</v>
      </c>
      <c r="P9" s="75">
        <f>J9+M9</f>
        <v>235000000</v>
      </c>
      <c r="Q9" s="76">
        <v>235000000</v>
      </c>
      <c r="R9" s="75"/>
      <c r="S9" s="75">
        <f>Q9+R9</f>
        <v>235000000</v>
      </c>
      <c r="T9" s="37" t="s">
        <v>214</v>
      </c>
      <c r="U9" s="77" t="s">
        <v>215</v>
      </c>
      <c r="V9" s="77">
        <v>8</v>
      </c>
      <c r="W9" s="78">
        <v>6</v>
      </c>
      <c r="X9" s="79"/>
      <c r="Y9" s="79">
        <v>5</v>
      </c>
      <c r="Z9" s="79">
        <v>5</v>
      </c>
      <c r="AA9" s="79">
        <v>345</v>
      </c>
      <c r="AB9" s="79">
        <v>180</v>
      </c>
      <c r="AC9" s="34">
        <v>360</v>
      </c>
      <c r="AD9" s="10"/>
      <c r="AE9" s="10" t="s">
        <v>102</v>
      </c>
      <c r="AF9" s="10" t="s">
        <v>102</v>
      </c>
      <c r="AG9" s="10" t="s">
        <v>102</v>
      </c>
      <c r="AH9" s="10" t="s">
        <v>102</v>
      </c>
      <c r="AI9" s="10" t="s">
        <v>102</v>
      </c>
      <c r="AJ9" s="10" t="s">
        <v>102</v>
      </c>
      <c r="AK9" s="10" t="s">
        <v>102</v>
      </c>
      <c r="AL9" s="10" t="s">
        <v>102</v>
      </c>
      <c r="AM9" s="10" t="s">
        <v>102</v>
      </c>
      <c r="AN9" s="10" t="s">
        <v>102</v>
      </c>
      <c r="AO9" s="10" t="s">
        <v>102</v>
      </c>
      <c r="AP9" s="10" t="s">
        <v>102</v>
      </c>
    </row>
    <row r="10" spans="1:42" ht="36" x14ac:dyDescent="0.25">
      <c r="A10" s="34">
        <v>0</v>
      </c>
      <c r="B10" s="34">
        <v>0</v>
      </c>
      <c r="C10" s="34">
        <v>0</v>
      </c>
      <c r="D10" s="34">
        <v>0</v>
      </c>
      <c r="E10" s="34">
        <v>0</v>
      </c>
      <c r="F10" s="74">
        <v>0</v>
      </c>
      <c r="G10" s="34">
        <v>0</v>
      </c>
      <c r="H10" s="75">
        <v>0</v>
      </c>
      <c r="I10" s="19"/>
      <c r="J10" s="19"/>
      <c r="K10" s="19"/>
      <c r="L10" s="19"/>
      <c r="M10" s="19"/>
      <c r="N10" s="75">
        <f t="shared" ref="N10:P32" si="0">H10+K10</f>
        <v>0</v>
      </c>
      <c r="O10" s="75">
        <f t="shared" si="0"/>
        <v>0</v>
      </c>
      <c r="P10" s="75">
        <f t="shared" si="0"/>
        <v>0</v>
      </c>
      <c r="Q10" s="75"/>
      <c r="R10" s="75"/>
      <c r="S10" s="75">
        <f t="shared" ref="S10:S32" si="1">Q10+R10</f>
        <v>0</v>
      </c>
      <c r="T10" s="37" t="s">
        <v>216</v>
      </c>
      <c r="U10" s="77" t="s">
        <v>215</v>
      </c>
      <c r="V10" s="77">
        <v>1</v>
      </c>
      <c r="W10" s="80"/>
      <c r="X10" s="81"/>
      <c r="Y10" s="81">
        <v>1</v>
      </c>
      <c r="Z10" s="81">
        <v>1</v>
      </c>
      <c r="AA10" s="79">
        <v>150</v>
      </c>
      <c r="AB10" s="79">
        <v>180</v>
      </c>
      <c r="AC10" s="10">
        <v>360</v>
      </c>
      <c r="AD10" s="82" t="s">
        <v>217</v>
      </c>
      <c r="AE10" s="10">
        <v>0</v>
      </c>
      <c r="AF10" s="10">
        <v>0</v>
      </c>
      <c r="AG10" s="10" t="s">
        <v>102</v>
      </c>
      <c r="AH10" s="10" t="s">
        <v>102</v>
      </c>
      <c r="AI10" s="10" t="s">
        <v>102</v>
      </c>
      <c r="AJ10" s="10" t="s">
        <v>102</v>
      </c>
      <c r="AK10" s="10" t="s">
        <v>102</v>
      </c>
      <c r="AL10" s="83" t="s">
        <v>218</v>
      </c>
      <c r="AM10" s="83" t="s">
        <v>218</v>
      </c>
      <c r="AN10" s="83" t="s">
        <v>218</v>
      </c>
      <c r="AO10" s="83" t="s">
        <v>218</v>
      </c>
      <c r="AP10" s="83" t="s">
        <v>218</v>
      </c>
    </row>
    <row r="11" spans="1:42" ht="48" x14ac:dyDescent="0.25">
      <c r="A11" s="34">
        <v>0</v>
      </c>
      <c r="B11" s="34">
        <v>0</v>
      </c>
      <c r="C11" s="34">
        <v>0</v>
      </c>
      <c r="D11" s="34">
        <v>0</v>
      </c>
      <c r="E11" s="34">
        <v>0</v>
      </c>
      <c r="F11" s="74">
        <v>0</v>
      </c>
      <c r="G11" s="34">
        <v>0</v>
      </c>
      <c r="H11" s="75">
        <v>0</v>
      </c>
      <c r="I11" s="19"/>
      <c r="J11" s="19"/>
      <c r="K11" s="19"/>
      <c r="L11" s="19"/>
      <c r="M11" s="19"/>
      <c r="N11" s="75">
        <f t="shared" si="0"/>
        <v>0</v>
      </c>
      <c r="O11" s="75">
        <f t="shared" si="0"/>
        <v>0</v>
      </c>
      <c r="P11" s="75">
        <f t="shared" si="0"/>
        <v>0</v>
      </c>
      <c r="Q11" s="75"/>
      <c r="R11" s="75"/>
      <c r="S11" s="75">
        <f t="shared" si="1"/>
        <v>0</v>
      </c>
      <c r="T11" s="37" t="s">
        <v>219</v>
      </c>
      <c r="U11" s="77" t="s">
        <v>215</v>
      </c>
      <c r="V11" s="77">
        <v>1</v>
      </c>
      <c r="W11" s="81"/>
      <c r="X11" s="81"/>
      <c r="Y11" s="81">
        <v>1</v>
      </c>
      <c r="Z11" s="81">
        <v>1</v>
      </c>
      <c r="AA11" s="79">
        <v>120</v>
      </c>
      <c r="AB11" s="81">
        <v>90</v>
      </c>
      <c r="AC11" s="10">
        <v>210</v>
      </c>
      <c r="AD11" s="82" t="s">
        <v>220</v>
      </c>
      <c r="AE11" s="10">
        <v>0</v>
      </c>
      <c r="AF11" s="10" t="s">
        <v>102</v>
      </c>
      <c r="AG11" s="10" t="s">
        <v>102</v>
      </c>
      <c r="AH11" s="10" t="s">
        <v>102</v>
      </c>
      <c r="AI11" s="10" t="s">
        <v>102</v>
      </c>
      <c r="AJ11" s="10">
        <v>0</v>
      </c>
      <c r="AK11" s="10">
        <v>0</v>
      </c>
      <c r="AL11" s="10">
        <v>0</v>
      </c>
      <c r="AM11" s="10" t="s">
        <v>102</v>
      </c>
      <c r="AN11" s="10" t="s">
        <v>102</v>
      </c>
      <c r="AO11" s="10" t="s">
        <v>102</v>
      </c>
      <c r="AP11" s="10" t="s">
        <v>102</v>
      </c>
    </row>
    <row r="12" spans="1:42" ht="72" x14ac:dyDescent="0.25">
      <c r="A12" s="34" t="s">
        <v>23</v>
      </c>
      <c r="B12" s="34" t="s">
        <v>142</v>
      </c>
      <c r="C12" s="34" t="s">
        <v>143</v>
      </c>
      <c r="D12" s="34">
        <v>212210000</v>
      </c>
      <c r="E12" s="34" t="s">
        <v>146</v>
      </c>
      <c r="F12" s="74" t="s">
        <v>145</v>
      </c>
      <c r="G12" s="34" t="s">
        <v>147</v>
      </c>
      <c r="H12" s="75">
        <v>500000000</v>
      </c>
      <c r="I12" s="19"/>
      <c r="J12" s="19">
        <v>500000000</v>
      </c>
      <c r="K12" s="19"/>
      <c r="L12" s="19"/>
      <c r="M12" s="19"/>
      <c r="N12" s="75">
        <f t="shared" si="0"/>
        <v>500000000</v>
      </c>
      <c r="O12" s="75">
        <f t="shared" si="0"/>
        <v>0</v>
      </c>
      <c r="P12" s="75">
        <f t="shared" si="0"/>
        <v>500000000</v>
      </c>
      <c r="Q12" s="76">
        <v>496472407</v>
      </c>
      <c r="R12" s="75"/>
      <c r="S12" s="75">
        <f t="shared" si="1"/>
        <v>496472407</v>
      </c>
      <c r="T12" s="37" t="s">
        <v>221</v>
      </c>
      <c r="U12" s="77" t="s">
        <v>222</v>
      </c>
      <c r="V12" s="77">
        <v>100</v>
      </c>
      <c r="W12" s="81"/>
      <c r="X12" s="81"/>
      <c r="Y12" s="84">
        <v>0.2</v>
      </c>
      <c r="Z12" s="84">
        <v>0.3</v>
      </c>
      <c r="AA12" s="79">
        <v>330</v>
      </c>
      <c r="AB12" s="81">
        <v>150</v>
      </c>
      <c r="AC12" s="10">
        <v>330</v>
      </c>
      <c r="AD12" s="82" t="s">
        <v>223</v>
      </c>
      <c r="AE12" s="10">
        <v>0</v>
      </c>
      <c r="AF12" s="10" t="s">
        <v>102</v>
      </c>
      <c r="AG12" s="10" t="s">
        <v>102</v>
      </c>
      <c r="AH12" s="10" t="s">
        <v>102</v>
      </c>
      <c r="AI12" s="10" t="s">
        <v>102</v>
      </c>
      <c r="AJ12" s="10" t="s">
        <v>102</v>
      </c>
      <c r="AK12" s="10" t="s">
        <v>102</v>
      </c>
      <c r="AL12" s="10" t="s">
        <v>102</v>
      </c>
      <c r="AM12" s="10" t="s">
        <v>102</v>
      </c>
      <c r="AN12" s="10" t="s">
        <v>102</v>
      </c>
      <c r="AO12" s="10" t="s">
        <v>102</v>
      </c>
      <c r="AP12" s="10" t="s">
        <v>102</v>
      </c>
    </row>
    <row r="13" spans="1:42" ht="67.5" x14ac:dyDescent="0.25">
      <c r="A13" s="34">
        <v>0</v>
      </c>
      <c r="B13" s="34">
        <v>0</v>
      </c>
      <c r="C13" s="34">
        <v>0</v>
      </c>
      <c r="D13" s="34">
        <v>0</v>
      </c>
      <c r="E13" s="34">
        <v>0</v>
      </c>
      <c r="F13" s="74">
        <v>0</v>
      </c>
      <c r="G13" s="34">
        <v>0</v>
      </c>
      <c r="H13" s="75">
        <v>0</v>
      </c>
      <c r="I13" s="19"/>
      <c r="J13" s="19"/>
      <c r="K13" s="19"/>
      <c r="L13" s="19"/>
      <c r="M13" s="19"/>
      <c r="N13" s="75">
        <f t="shared" si="0"/>
        <v>0</v>
      </c>
      <c r="O13" s="75">
        <f t="shared" si="0"/>
        <v>0</v>
      </c>
      <c r="P13" s="75">
        <f t="shared" si="0"/>
        <v>0</v>
      </c>
      <c r="Q13" s="75"/>
      <c r="R13" s="75"/>
      <c r="S13" s="75">
        <f t="shared" si="1"/>
        <v>0</v>
      </c>
      <c r="T13" s="37" t="s">
        <v>224</v>
      </c>
      <c r="U13" s="77" t="s">
        <v>225</v>
      </c>
      <c r="V13" s="77">
        <v>1</v>
      </c>
      <c r="W13" s="81">
        <v>0</v>
      </c>
      <c r="X13" s="81"/>
      <c r="Y13" s="85">
        <v>0.2</v>
      </c>
      <c r="Z13" s="81">
        <v>0.2</v>
      </c>
      <c r="AA13" s="79">
        <v>330</v>
      </c>
      <c r="AB13" s="81">
        <v>0</v>
      </c>
      <c r="AC13" s="10">
        <v>60</v>
      </c>
      <c r="AD13" s="82" t="s">
        <v>226</v>
      </c>
      <c r="AE13" s="10">
        <v>0</v>
      </c>
      <c r="AF13" s="10" t="s">
        <v>102</v>
      </c>
      <c r="AG13" s="10" t="s">
        <v>102</v>
      </c>
      <c r="AH13" s="10" t="s">
        <v>102</v>
      </c>
      <c r="AI13" s="10" t="s">
        <v>102</v>
      </c>
      <c r="AJ13" s="10" t="s">
        <v>102</v>
      </c>
      <c r="AK13" s="10"/>
      <c r="AL13" s="10"/>
      <c r="AM13" s="10"/>
      <c r="AN13" s="10"/>
      <c r="AO13" s="10"/>
      <c r="AP13" s="10"/>
    </row>
    <row r="14" spans="1:42" ht="72" x14ac:dyDescent="0.25">
      <c r="A14" s="34" t="s">
        <v>23</v>
      </c>
      <c r="B14" s="34" t="s">
        <v>142</v>
      </c>
      <c r="C14" s="34" t="s">
        <v>150</v>
      </c>
      <c r="D14" s="34">
        <v>212320000</v>
      </c>
      <c r="E14" s="34" t="s">
        <v>153</v>
      </c>
      <c r="F14" s="74" t="s">
        <v>152</v>
      </c>
      <c r="G14" s="34" t="s">
        <v>154</v>
      </c>
      <c r="H14" s="75">
        <v>70000000</v>
      </c>
      <c r="I14" s="19"/>
      <c r="J14" s="19">
        <v>70000000</v>
      </c>
      <c r="K14" s="19"/>
      <c r="L14" s="19"/>
      <c r="M14" s="19">
        <v>69482334</v>
      </c>
      <c r="N14" s="75">
        <f t="shared" si="0"/>
        <v>70000000</v>
      </c>
      <c r="O14" s="75">
        <f t="shared" si="0"/>
        <v>0</v>
      </c>
      <c r="P14" s="75">
        <f t="shared" si="0"/>
        <v>139482334</v>
      </c>
      <c r="Q14" s="76">
        <v>69482334</v>
      </c>
      <c r="R14" s="75"/>
      <c r="S14" s="75">
        <f t="shared" si="1"/>
        <v>69482334</v>
      </c>
      <c r="T14" s="37" t="s">
        <v>227</v>
      </c>
      <c r="U14" s="77" t="s">
        <v>222</v>
      </c>
      <c r="V14" s="77">
        <v>100</v>
      </c>
      <c r="W14" s="81"/>
      <c r="X14" s="81"/>
      <c r="Y14" s="84">
        <v>0.6</v>
      </c>
      <c r="Z14" s="84">
        <v>1</v>
      </c>
      <c r="AA14" s="79">
        <v>345</v>
      </c>
      <c r="AB14" s="81">
        <v>180</v>
      </c>
      <c r="AC14" s="10">
        <v>360</v>
      </c>
      <c r="AD14" s="82" t="s">
        <v>228</v>
      </c>
      <c r="AE14" s="10" t="s">
        <v>102</v>
      </c>
      <c r="AF14" s="10" t="s">
        <v>102</v>
      </c>
      <c r="AG14" s="10" t="s">
        <v>102</v>
      </c>
      <c r="AH14" s="10" t="s">
        <v>102</v>
      </c>
      <c r="AI14" s="10" t="s">
        <v>102</v>
      </c>
      <c r="AJ14" s="10" t="s">
        <v>102</v>
      </c>
      <c r="AK14" s="10" t="s">
        <v>102</v>
      </c>
      <c r="AL14" s="10" t="s">
        <v>102</v>
      </c>
      <c r="AM14" s="10" t="s">
        <v>102</v>
      </c>
      <c r="AN14" s="10" t="s">
        <v>102</v>
      </c>
      <c r="AO14" s="10" t="s">
        <v>102</v>
      </c>
      <c r="AP14" s="10" t="s">
        <v>102</v>
      </c>
    </row>
    <row r="15" spans="1:42" ht="84" x14ac:dyDescent="0.25">
      <c r="A15" s="34" t="s">
        <v>156</v>
      </c>
      <c r="B15" s="34" t="s">
        <v>157</v>
      </c>
      <c r="C15" s="34" t="s">
        <v>158</v>
      </c>
      <c r="D15" s="34">
        <v>223110000</v>
      </c>
      <c r="E15" s="74" t="s">
        <v>161</v>
      </c>
      <c r="F15" s="74" t="s">
        <v>160</v>
      </c>
      <c r="G15" s="34" t="s">
        <v>162</v>
      </c>
      <c r="H15" s="75">
        <v>1100472000</v>
      </c>
      <c r="I15" s="75">
        <v>3709035011</v>
      </c>
      <c r="J15" s="19">
        <v>2250811056</v>
      </c>
      <c r="K15" s="19"/>
      <c r="L15" s="19">
        <v>335234306</v>
      </c>
      <c r="M15" s="19">
        <v>1433759910</v>
      </c>
      <c r="N15" s="75">
        <f t="shared" si="0"/>
        <v>1100472000</v>
      </c>
      <c r="O15" s="75">
        <f t="shared" si="0"/>
        <v>4044269317</v>
      </c>
      <c r="P15" s="75">
        <f t="shared" si="0"/>
        <v>3684570966</v>
      </c>
      <c r="Q15" s="75">
        <v>1915716267</v>
      </c>
      <c r="R15" s="75">
        <v>1349815430</v>
      </c>
      <c r="S15" s="75">
        <f>Q15+R15</f>
        <v>3265531697</v>
      </c>
      <c r="T15" s="37" t="s">
        <v>229</v>
      </c>
      <c r="U15" s="77" t="s">
        <v>222</v>
      </c>
      <c r="V15" s="77">
        <v>100</v>
      </c>
      <c r="W15" s="81"/>
      <c r="X15" s="81"/>
      <c r="Y15" s="84">
        <v>0.5</v>
      </c>
      <c r="Z15" s="84">
        <v>1</v>
      </c>
      <c r="AA15" s="79">
        <v>300</v>
      </c>
      <c r="AB15" s="81">
        <v>120</v>
      </c>
      <c r="AC15" s="10">
        <v>300</v>
      </c>
      <c r="AD15" s="10"/>
      <c r="AE15" s="10">
        <v>0</v>
      </c>
      <c r="AF15" s="10">
        <v>0</v>
      </c>
      <c r="AG15" s="10" t="s">
        <v>102</v>
      </c>
      <c r="AH15" s="10" t="s">
        <v>102</v>
      </c>
      <c r="AI15" s="10" t="s">
        <v>102</v>
      </c>
      <c r="AJ15" s="10" t="s">
        <v>102</v>
      </c>
      <c r="AK15" s="10" t="s">
        <v>102</v>
      </c>
      <c r="AL15" s="10" t="s">
        <v>102</v>
      </c>
      <c r="AM15" s="10" t="s">
        <v>102</v>
      </c>
      <c r="AN15" s="10" t="s">
        <v>102</v>
      </c>
      <c r="AO15" s="10" t="s">
        <v>102</v>
      </c>
      <c r="AP15" s="10" t="s">
        <v>102</v>
      </c>
    </row>
    <row r="16" spans="1:42" ht="24" x14ac:dyDescent="0.25">
      <c r="A16" s="34">
        <v>0</v>
      </c>
      <c r="B16" s="34">
        <v>0</v>
      </c>
      <c r="C16" s="34">
        <v>0</v>
      </c>
      <c r="D16" s="34">
        <v>0</v>
      </c>
      <c r="E16" s="74">
        <v>0</v>
      </c>
      <c r="F16" s="74">
        <v>0</v>
      </c>
      <c r="G16" s="34">
        <v>0</v>
      </c>
      <c r="H16" s="75">
        <v>0</v>
      </c>
      <c r="I16" s="86"/>
      <c r="J16" s="19"/>
      <c r="K16" s="19"/>
      <c r="L16" s="19"/>
      <c r="M16" s="19"/>
      <c r="N16" s="75">
        <f t="shared" si="0"/>
        <v>0</v>
      </c>
      <c r="O16" s="75">
        <f t="shared" si="0"/>
        <v>0</v>
      </c>
      <c r="P16" s="75">
        <f t="shared" si="0"/>
        <v>0</v>
      </c>
      <c r="Q16" s="75"/>
      <c r="R16" s="75"/>
      <c r="S16" s="75">
        <f t="shared" si="1"/>
        <v>0</v>
      </c>
      <c r="T16" s="37" t="s">
        <v>230</v>
      </c>
      <c r="U16" s="77" t="s">
        <v>222</v>
      </c>
      <c r="V16" s="77">
        <v>100</v>
      </c>
      <c r="W16" s="81"/>
      <c r="X16" s="81"/>
      <c r="Y16" s="84">
        <v>0.5</v>
      </c>
      <c r="Z16" s="84">
        <v>1</v>
      </c>
      <c r="AA16" s="79">
        <v>345</v>
      </c>
      <c r="AB16" s="81">
        <v>150</v>
      </c>
      <c r="AC16" s="10">
        <v>330</v>
      </c>
      <c r="AD16" s="82"/>
      <c r="AE16" s="10" t="s">
        <v>102</v>
      </c>
      <c r="AF16" s="10" t="s">
        <v>102</v>
      </c>
      <c r="AG16" s="10" t="s">
        <v>102</v>
      </c>
      <c r="AH16" s="10" t="s">
        <v>102</v>
      </c>
      <c r="AI16" s="10" t="s">
        <v>102</v>
      </c>
      <c r="AJ16" s="10" t="s">
        <v>102</v>
      </c>
      <c r="AK16" s="10" t="s">
        <v>102</v>
      </c>
      <c r="AL16" s="10" t="s">
        <v>102</v>
      </c>
      <c r="AM16" s="10" t="s">
        <v>102</v>
      </c>
      <c r="AN16" s="10" t="s">
        <v>102</v>
      </c>
      <c r="AO16" s="10" t="s">
        <v>102</v>
      </c>
      <c r="AP16" s="10" t="s">
        <v>102</v>
      </c>
    </row>
    <row r="17" spans="1:42" x14ac:dyDescent="0.25">
      <c r="A17" s="34">
        <v>0</v>
      </c>
      <c r="B17" s="34">
        <v>0</v>
      </c>
      <c r="C17" s="34">
        <v>0</v>
      </c>
      <c r="D17" s="34">
        <v>0</v>
      </c>
      <c r="E17" s="74">
        <v>0</v>
      </c>
      <c r="F17" s="74">
        <v>0</v>
      </c>
      <c r="G17" s="34">
        <v>0</v>
      </c>
      <c r="H17" s="75">
        <v>0</v>
      </c>
      <c r="I17" s="86"/>
      <c r="J17" s="19"/>
      <c r="K17" s="19"/>
      <c r="L17" s="19"/>
      <c r="M17" s="19"/>
      <c r="N17" s="75">
        <f t="shared" si="0"/>
        <v>0</v>
      </c>
      <c r="O17" s="75">
        <f t="shared" si="0"/>
        <v>0</v>
      </c>
      <c r="P17" s="75">
        <f t="shared" si="0"/>
        <v>0</v>
      </c>
      <c r="Q17" s="75"/>
      <c r="R17" s="75"/>
      <c r="S17" s="75">
        <f t="shared" si="1"/>
        <v>0</v>
      </c>
      <c r="T17" s="37" t="s">
        <v>231</v>
      </c>
      <c r="U17" s="77" t="s">
        <v>222</v>
      </c>
      <c r="V17" s="77">
        <v>100</v>
      </c>
      <c r="W17" s="84">
        <v>0</v>
      </c>
      <c r="X17" s="81"/>
      <c r="Y17" s="84">
        <v>0</v>
      </c>
      <c r="Z17" s="84">
        <v>0.95</v>
      </c>
      <c r="AA17" s="79">
        <v>330</v>
      </c>
      <c r="AB17" s="81">
        <v>120</v>
      </c>
      <c r="AC17" s="10">
        <v>210</v>
      </c>
      <c r="AD17" s="82"/>
      <c r="AE17" s="10">
        <v>0</v>
      </c>
      <c r="AF17" s="10"/>
      <c r="AG17" s="10"/>
      <c r="AH17" s="10"/>
      <c r="AI17" s="10"/>
      <c r="AJ17" s="10"/>
      <c r="AK17" s="10" t="s">
        <v>102</v>
      </c>
      <c r="AL17" s="10" t="s">
        <v>102</v>
      </c>
      <c r="AM17" s="10" t="s">
        <v>102</v>
      </c>
      <c r="AN17" s="10" t="s">
        <v>102</v>
      </c>
      <c r="AO17" s="10" t="s">
        <v>102</v>
      </c>
      <c r="AP17" s="10" t="s">
        <v>102</v>
      </c>
    </row>
    <row r="18" spans="1:42" ht="48" x14ac:dyDescent="0.25">
      <c r="A18" s="34" t="s">
        <v>156</v>
      </c>
      <c r="B18" s="34" t="s">
        <v>157</v>
      </c>
      <c r="C18" s="34" t="s">
        <v>158</v>
      </c>
      <c r="D18" s="34">
        <v>223120000</v>
      </c>
      <c r="E18" s="74" t="s">
        <v>166</v>
      </c>
      <c r="F18" s="74" t="s">
        <v>165</v>
      </c>
      <c r="G18" s="34" t="s">
        <v>167</v>
      </c>
      <c r="H18" s="75">
        <v>803113000</v>
      </c>
      <c r="I18" s="87">
        <v>4152278491</v>
      </c>
      <c r="J18" s="19">
        <v>2527995823</v>
      </c>
      <c r="K18" s="19"/>
      <c r="L18" s="19">
        <v>223489503</v>
      </c>
      <c r="M18" s="19">
        <v>2485687165</v>
      </c>
      <c r="N18" s="75">
        <f t="shared" si="0"/>
        <v>803113000</v>
      </c>
      <c r="O18" s="75">
        <f t="shared" si="0"/>
        <v>4375767994</v>
      </c>
      <c r="P18" s="75">
        <f t="shared" si="0"/>
        <v>5013682988</v>
      </c>
      <c r="Q18" s="75">
        <v>2397349462</v>
      </c>
      <c r="R18" s="75">
        <v>2485687165</v>
      </c>
      <c r="S18" s="75">
        <f t="shared" si="1"/>
        <v>4883036627</v>
      </c>
      <c r="T18" s="37" t="s">
        <v>232</v>
      </c>
      <c r="U18" s="77" t="s">
        <v>225</v>
      </c>
      <c r="V18" s="77">
        <v>1</v>
      </c>
      <c r="W18" s="81">
        <v>0</v>
      </c>
      <c r="X18" s="81"/>
      <c r="Y18" s="81">
        <v>0</v>
      </c>
      <c r="Z18" s="81">
        <v>1</v>
      </c>
      <c r="AA18" s="79">
        <v>120</v>
      </c>
      <c r="AB18" s="81">
        <v>0</v>
      </c>
      <c r="AC18" s="10">
        <v>120</v>
      </c>
      <c r="AD18" s="82" t="s">
        <v>233</v>
      </c>
      <c r="AE18" s="10">
        <v>0</v>
      </c>
      <c r="AF18" s="10">
        <v>0</v>
      </c>
      <c r="AG18" s="10">
        <v>0</v>
      </c>
      <c r="AH18" s="10">
        <v>0</v>
      </c>
      <c r="AI18" s="10">
        <v>0</v>
      </c>
      <c r="AJ18" s="10">
        <v>0</v>
      </c>
      <c r="AK18" s="10">
        <v>0</v>
      </c>
      <c r="AL18" s="10" t="s">
        <v>102</v>
      </c>
      <c r="AM18" s="10" t="s">
        <v>102</v>
      </c>
      <c r="AN18" s="10" t="s">
        <v>102</v>
      </c>
      <c r="AO18" s="10" t="s">
        <v>102</v>
      </c>
      <c r="AP18" s="10">
        <v>0</v>
      </c>
    </row>
    <row r="19" spans="1:42" ht="33.75" x14ac:dyDescent="0.25">
      <c r="A19" s="34">
        <v>0</v>
      </c>
      <c r="B19" s="34">
        <v>0</v>
      </c>
      <c r="C19" s="34">
        <v>0</v>
      </c>
      <c r="D19" s="34">
        <v>0</v>
      </c>
      <c r="E19" s="74">
        <v>0</v>
      </c>
      <c r="F19" s="74">
        <v>0</v>
      </c>
      <c r="G19" s="34">
        <v>0</v>
      </c>
      <c r="H19" s="75">
        <v>0</v>
      </c>
      <c r="I19" s="86"/>
      <c r="J19" s="19"/>
      <c r="K19" s="19"/>
      <c r="L19" s="19"/>
      <c r="M19" s="19"/>
      <c r="N19" s="75">
        <f t="shared" si="0"/>
        <v>0</v>
      </c>
      <c r="O19" s="75">
        <f t="shared" si="0"/>
        <v>0</v>
      </c>
      <c r="P19" s="75">
        <f t="shared" si="0"/>
        <v>0</v>
      </c>
      <c r="Q19" s="75"/>
      <c r="R19" s="75"/>
      <c r="S19" s="75">
        <f t="shared" si="1"/>
        <v>0</v>
      </c>
      <c r="T19" s="37" t="s">
        <v>234</v>
      </c>
      <c r="U19" s="77" t="s">
        <v>225</v>
      </c>
      <c r="V19" s="77">
        <v>1</v>
      </c>
      <c r="W19" s="81"/>
      <c r="X19" s="81"/>
      <c r="Y19" s="81">
        <v>0</v>
      </c>
      <c r="Z19" s="81">
        <v>6</v>
      </c>
      <c r="AA19" s="79">
        <v>150</v>
      </c>
      <c r="AB19" s="81">
        <v>0</v>
      </c>
      <c r="AC19" s="10">
        <v>150</v>
      </c>
      <c r="AD19" s="82" t="s">
        <v>235</v>
      </c>
      <c r="AE19" s="10">
        <v>0</v>
      </c>
      <c r="AF19" s="10">
        <v>0</v>
      </c>
      <c r="AG19" s="10">
        <v>0</v>
      </c>
      <c r="AH19" s="10">
        <v>0</v>
      </c>
      <c r="AI19" s="10">
        <v>0</v>
      </c>
      <c r="AJ19" s="10">
        <v>0</v>
      </c>
      <c r="AK19" s="10"/>
      <c r="AL19" s="10" t="s">
        <v>102</v>
      </c>
      <c r="AM19" s="10" t="s">
        <v>102</v>
      </c>
      <c r="AN19" s="10" t="s">
        <v>102</v>
      </c>
      <c r="AO19" s="10" t="s">
        <v>102</v>
      </c>
      <c r="AP19" s="10" t="s">
        <v>102</v>
      </c>
    </row>
    <row r="20" spans="1:42" ht="33.75" x14ac:dyDescent="0.25">
      <c r="A20" s="34">
        <v>0</v>
      </c>
      <c r="B20" s="34">
        <v>0</v>
      </c>
      <c r="C20" s="34">
        <v>0</v>
      </c>
      <c r="D20" s="34">
        <v>0</v>
      </c>
      <c r="E20" s="74">
        <v>0</v>
      </c>
      <c r="F20" s="74">
        <v>0</v>
      </c>
      <c r="G20" s="34">
        <v>0</v>
      </c>
      <c r="H20" s="75">
        <v>0</v>
      </c>
      <c r="I20" s="86"/>
      <c r="J20" s="19"/>
      <c r="K20" s="19"/>
      <c r="L20" s="19"/>
      <c r="M20" s="19"/>
      <c r="N20" s="75">
        <f t="shared" si="0"/>
        <v>0</v>
      </c>
      <c r="O20" s="75">
        <f t="shared" si="0"/>
        <v>0</v>
      </c>
      <c r="P20" s="75">
        <f t="shared" si="0"/>
        <v>0</v>
      </c>
      <c r="Q20" s="75"/>
      <c r="R20" s="75"/>
      <c r="S20" s="75">
        <f t="shared" si="1"/>
        <v>0</v>
      </c>
      <c r="T20" s="37" t="s">
        <v>236</v>
      </c>
      <c r="U20" s="77" t="s">
        <v>225</v>
      </c>
      <c r="V20" s="77">
        <v>1</v>
      </c>
      <c r="W20" s="81"/>
      <c r="X20" s="81"/>
      <c r="Y20" s="81">
        <v>0.5</v>
      </c>
      <c r="Z20" s="81">
        <v>15</v>
      </c>
      <c r="AA20" s="79">
        <v>360</v>
      </c>
      <c r="AB20" s="81">
        <v>120</v>
      </c>
      <c r="AC20" s="10">
        <v>300</v>
      </c>
      <c r="AD20" s="82" t="s">
        <v>237</v>
      </c>
      <c r="AE20" s="10" t="s">
        <v>102</v>
      </c>
      <c r="AF20" s="10" t="s">
        <v>102</v>
      </c>
      <c r="AG20" s="10" t="s">
        <v>102</v>
      </c>
      <c r="AH20" s="10" t="s">
        <v>102</v>
      </c>
      <c r="AI20" s="10" t="s">
        <v>102</v>
      </c>
      <c r="AJ20" s="10" t="s">
        <v>102</v>
      </c>
      <c r="AK20" s="10" t="s">
        <v>102</v>
      </c>
      <c r="AL20" s="10" t="s">
        <v>102</v>
      </c>
      <c r="AM20" s="10" t="s">
        <v>102</v>
      </c>
      <c r="AN20" s="10" t="s">
        <v>102</v>
      </c>
      <c r="AO20" s="10" t="s">
        <v>102</v>
      </c>
      <c r="AP20" s="10" t="s">
        <v>102</v>
      </c>
    </row>
    <row r="21" spans="1:42" ht="72" x14ac:dyDescent="0.25">
      <c r="A21" s="34" t="s">
        <v>156</v>
      </c>
      <c r="B21" s="34" t="s">
        <v>157</v>
      </c>
      <c r="C21" s="34" t="s">
        <v>158</v>
      </c>
      <c r="D21" s="34">
        <v>223130000</v>
      </c>
      <c r="E21" s="34" t="s">
        <v>171</v>
      </c>
      <c r="F21" s="74" t="s">
        <v>170</v>
      </c>
      <c r="G21" s="34" t="s">
        <v>172</v>
      </c>
      <c r="H21" s="75">
        <v>685849000</v>
      </c>
      <c r="I21" s="88">
        <v>1400851928</v>
      </c>
      <c r="J21" s="19">
        <v>1402530302</v>
      </c>
      <c r="K21" s="19"/>
      <c r="L21" s="19">
        <v>109575333</v>
      </c>
      <c r="M21" s="19"/>
      <c r="N21" s="75">
        <f t="shared" si="0"/>
        <v>685849000</v>
      </c>
      <c r="O21" s="75">
        <f t="shared" si="0"/>
        <v>1510427261</v>
      </c>
      <c r="P21" s="75">
        <f t="shared" si="0"/>
        <v>1402530302</v>
      </c>
      <c r="Q21" s="75">
        <v>685849000</v>
      </c>
      <c r="R21" s="75">
        <v>455450272</v>
      </c>
      <c r="S21" s="75">
        <f t="shared" si="1"/>
        <v>1141299272</v>
      </c>
      <c r="T21" s="37" t="s">
        <v>238</v>
      </c>
      <c r="U21" s="77" t="s">
        <v>225</v>
      </c>
      <c r="V21" s="77">
        <v>3</v>
      </c>
      <c r="W21" s="81">
        <v>2</v>
      </c>
      <c r="X21" s="81"/>
      <c r="Y21" s="81">
        <v>1</v>
      </c>
      <c r="Z21" s="81">
        <v>2</v>
      </c>
      <c r="AA21" s="79">
        <v>90</v>
      </c>
      <c r="AB21" s="81">
        <v>90</v>
      </c>
      <c r="AC21" s="10">
        <v>270</v>
      </c>
      <c r="AD21" s="82" t="s">
        <v>239</v>
      </c>
      <c r="AE21" s="10">
        <v>0</v>
      </c>
      <c r="AF21" s="10" t="s">
        <v>102</v>
      </c>
      <c r="AG21" s="10">
        <v>0</v>
      </c>
      <c r="AH21" s="10" t="s">
        <v>102</v>
      </c>
      <c r="AI21" s="10">
        <v>0</v>
      </c>
      <c r="AJ21" s="10" t="s">
        <v>102</v>
      </c>
      <c r="AK21" s="10" t="s">
        <v>102</v>
      </c>
      <c r="AL21" s="10" t="s">
        <v>102</v>
      </c>
      <c r="AM21" s="10" t="s">
        <v>102</v>
      </c>
      <c r="AN21" s="10" t="s">
        <v>102</v>
      </c>
      <c r="AO21" s="10" t="s">
        <v>102</v>
      </c>
      <c r="AP21" s="10" t="s">
        <v>102</v>
      </c>
    </row>
    <row r="22" spans="1:42" ht="72" x14ac:dyDescent="0.25">
      <c r="A22" s="34" t="s">
        <v>156</v>
      </c>
      <c r="B22" s="34" t="s">
        <v>157</v>
      </c>
      <c r="C22" s="34" t="s">
        <v>174</v>
      </c>
      <c r="D22" s="34">
        <v>223210000</v>
      </c>
      <c r="E22" s="34" t="s">
        <v>177</v>
      </c>
      <c r="F22" s="74" t="s">
        <v>176</v>
      </c>
      <c r="G22" s="34" t="s">
        <v>178</v>
      </c>
      <c r="H22" s="75">
        <v>1526130000</v>
      </c>
      <c r="I22" s="88">
        <v>1786480930</v>
      </c>
      <c r="J22" s="88">
        <v>1786480930</v>
      </c>
      <c r="K22" s="19"/>
      <c r="L22" s="19">
        <v>171820808</v>
      </c>
      <c r="M22" s="19"/>
      <c r="N22" s="75">
        <f t="shared" si="0"/>
        <v>1526130000</v>
      </c>
      <c r="O22" s="75">
        <f t="shared" si="0"/>
        <v>1958301738</v>
      </c>
      <c r="P22" s="75">
        <f t="shared" si="0"/>
        <v>1786480930</v>
      </c>
      <c r="Q22" s="75">
        <f>1708063851-R22</f>
        <v>1708063851</v>
      </c>
      <c r="R22" s="75"/>
      <c r="S22" s="75">
        <f t="shared" si="1"/>
        <v>1708063851</v>
      </c>
      <c r="T22" s="37" t="s">
        <v>240</v>
      </c>
      <c r="U22" s="77" t="s">
        <v>222</v>
      </c>
      <c r="V22" s="77">
        <v>100</v>
      </c>
      <c r="W22" s="84">
        <v>1</v>
      </c>
      <c r="X22" s="81"/>
      <c r="Y22" s="84">
        <v>0.4</v>
      </c>
      <c r="Z22" s="81">
        <v>100</v>
      </c>
      <c r="AA22" s="79">
        <v>330</v>
      </c>
      <c r="AB22" s="81">
        <v>150</v>
      </c>
      <c r="AC22" s="10">
        <v>330</v>
      </c>
      <c r="AD22" s="82" t="s">
        <v>241</v>
      </c>
      <c r="AE22" s="10">
        <v>0</v>
      </c>
      <c r="AF22" s="10" t="s">
        <v>102</v>
      </c>
      <c r="AG22" s="10" t="s">
        <v>102</v>
      </c>
      <c r="AH22" s="10" t="s">
        <v>102</v>
      </c>
      <c r="AI22" s="10" t="s">
        <v>102</v>
      </c>
      <c r="AJ22" s="10" t="s">
        <v>102</v>
      </c>
      <c r="AK22" s="10" t="s">
        <v>102</v>
      </c>
      <c r="AL22" s="10" t="s">
        <v>102</v>
      </c>
      <c r="AM22" s="10" t="s">
        <v>102</v>
      </c>
      <c r="AN22" s="10" t="s">
        <v>102</v>
      </c>
      <c r="AO22" s="10" t="s">
        <v>102</v>
      </c>
      <c r="AP22" s="10" t="s">
        <v>102</v>
      </c>
    </row>
    <row r="23" spans="1:42" ht="22.5" x14ac:dyDescent="0.25">
      <c r="A23" s="34">
        <v>0</v>
      </c>
      <c r="B23" s="34">
        <v>0</v>
      </c>
      <c r="C23" s="34">
        <v>0</v>
      </c>
      <c r="D23" s="34">
        <v>0</v>
      </c>
      <c r="E23" s="34">
        <v>0</v>
      </c>
      <c r="F23" s="74">
        <v>0</v>
      </c>
      <c r="G23" s="34">
        <v>0</v>
      </c>
      <c r="H23" s="75">
        <v>0</v>
      </c>
      <c r="I23" s="19"/>
      <c r="J23" s="19"/>
      <c r="K23" s="19"/>
      <c r="L23" s="19"/>
      <c r="M23" s="19"/>
      <c r="N23" s="75">
        <f t="shared" si="0"/>
        <v>0</v>
      </c>
      <c r="O23" s="75">
        <f t="shared" si="0"/>
        <v>0</v>
      </c>
      <c r="P23" s="75">
        <f t="shared" si="0"/>
        <v>0</v>
      </c>
      <c r="Q23" s="75"/>
      <c r="R23" s="75"/>
      <c r="S23" s="75">
        <f t="shared" si="1"/>
        <v>0</v>
      </c>
      <c r="T23" s="37" t="s">
        <v>242</v>
      </c>
      <c r="U23" s="77" t="s">
        <v>222</v>
      </c>
      <c r="V23" s="77">
        <v>100</v>
      </c>
      <c r="W23" s="84">
        <v>1</v>
      </c>
      <c r="X23" s="81"/>
      <c r="Y23" s="84">
        <v>0.5</v>
      </c>
      <c r="Z23" s="84">
        <v>1</v>
      </c>
      <c r="AA23" s="79">
        <v>345</v>
      </c>
      <c r="AB23" s="81">
        <v>150</v>
      </c>
      <c r="AC23" s="10">
        <v>330</v>
      </c>
      <c r="AD23" s="82" t="s">
        <v>243</v>
      </c>
      <c r="AE23" s="10" t="s">
        <v>102</v>
      </c>
      <c r="AF23" s="10" t="s">
        <v>102</v>
      </c>
      <c r="AG23" s="10" t="s">
        <v>102</v>
      </c>
      <c r="AH23" s="10" t="s">
        <v>102</v>
      </c>
      <c r="AI23" s="10" t="s">
        <v>102</v>
      </c>
      <c r="AJ23" s="10" t="s">
        <v>102</v>
      </c>
      <c r="AK23" s="10" t="s">
        <v>102</v>
      </c>
      <c r="AL23" s="10" t="s">
        <v>102</v>
      </c>
      <c r="AM23" s="10" t="s">
        <v>102</v>
      </c>
      <c r="AN23" s="10" t="s">
        <v>102</v>
      </c>
      <c r="AO23" s="10" t="s">
        <v>102</v>
      </c>
      <c r="AP23" s="10" t="s">
        <v>102</v>
      </c>
    </row>
    <row r="24" spans="1:42" ht="48" x14ac:dyDescent="0.25">
      <c r="A24" s="34" t="s">
        <v>156</v>
      </c>
      <c r="B24" s="34" t="s">
        <v>157</v>
      </c>
      <c r="C24" s="34" t="s">
        <v>174</v>
      </c>
      <c r="D24" s="34">
        <v>223220000</v>
      </c>
      <c r="E24" s="34" t="s">
        <v>182</v>
      </c>
      <c r="F24" s="74" t="s">
        <v>181</v>
      </c>
      <c r="G24" s="34" t="s">
        <v>183</v>
      </c>
      <c r="H24" s="75">
        <v>262924000</v>
      </c>
      <c r="I24" s="89">
        <v>617072655</v>
      </c>
      <c r="J24" s="19">
        <v>737072655</v>
      </c>
      <c r="K24" s="19"/>
      <c r="L24" s="19"/>
      <c r="M24" s="19"/>
      <c r="N24" s="75">
        <f t="shared" si="0"/>
        <v>262924000</v>
      </c>
      <c r="O24" s="75">
        <f t="shared" si="0"/>
        <v>617072655</v>
      </c>
      <c r="P24" s="75">
        <f t="shared" si="0"/>
        <v>737072655</v>
      </c>
      <c r="Q24" s="90">
        <v>724340395</v>
      </c>
      <c r="R24" s="75"/>
      <c r="S24" s="75">
        <f t="shared" si="1"/>
        <v>724340395</v>
      </c>
      <c r="T24" s="37" t="s">
        <v>244</v>
      </c>
      <c r="U24" s="77" t="s">
        <v>225</v>
      </c>
      <c r="V24" s="77">
        <v>4</v>
      </c>
      <c r="W24" s="81">
        <v>13</v>
      </c>
      <c r="X24" s="81"/>
      <c r="Y24" s="81">
        <v>0</v>
      </c>
      <c r="Z24" s="81">
        <v>13</v>
      </c>
      <c r="AA24" s="79">
        <v>180</v>
      </c>
      <c r="AB24" s="81">
        <v>180</v>
      </c>
      <c r="AC24" s="10">
        <v>360</v>
      </c>
      <c r="AD24" s="82" t="s">
        <v>245</v>
      </c>
      <c r="AE24" s="10">
        <v>0</v>
      </c>
      <c r="AF24" s="10">
        <v>0</v>
      </c>
      <c r="AG24" s="10">
        <v>0</v>
      </c>
      <c r="AH24" s="10">
        <v>0</v>
      </c>
      <c r="AI24" s="10">
        <v>0</v>
      </c>
      <c r="AJ24" s="10">
        <v>0</v>
      </c>
      <c r="AK24" s="10" t="s">
        <v>102</v>
      </c>
      <c r="AL24" s="10" t="s">
        <v>102</v>
      </c>
      <c r="AM24" s="10" t="s">
        <v>102</v>
      </c>
      <c r="AN24" s="10" t="s">
        <v>102</v>
      </c>
      <c r="AO24" s="10" t="s">
        <v>102</v>
      </c>
      <c r="AP24" s="10" t="s">
        <v>102</v>
      </c>
    </row>
    <row r="25" spans="1:42" ht="69" customHeight="1" x14ac:dyDescent="0.25">
      <c r="A25" s="34" t="s">
        <v>156</v>
      </c>
      <c r="B25" s="34" t="s">
        <v>157</v>
      </c>
      <c r="C25" s="34" t="s">
        <v>174</v>
      </c>
      <c r="D25" s="34">
        <v>223220000</v>
      </c>
      <c r="E25" s="34" t="s">
        <v>186</v>
      </c>
      <c r="F25" s="74" t="s">
        <v>185</v>
      </c>
      <c r="G25" s="34" t="s">
        <v>187</v>
      </c>
      <c r="H25" s="75">
        <v>60000000</v>
      </c>
      <c r="I25" s="19">
        <v>0</v>
      </c>
      <c r="J25" s="19">
        <v>90000000</v>
      </c>
      <c r="K25" s="19"/>
      <c r="L25" s="19">
        <v>37500000</v>
      </c>
      <c r="M25" s="19"/>
      <c r="N25" s="75">
        <f t="shared" si="0"/>
        <v>60000000</v>
      </c>
      <c r="O25" s="75">
        <f t="shared" si="0"/>
        <v>37500000</v>
      </c>
      <c r="P25" s="75">
        <f t="shared" si="0"/>
        <v>90000000</v>
      </c>
      <c r="Q25" s="75">
        <v>90000000</v>
      </c>
      <c r="R25" s="75"/>
      <c r="S25" s="75">
        <f t="shared" si="1"/>
        <v>90000000</v>
      </c>
      <c r="T25" s="37" t="s">
        <v>246</v>
      </c>
      <c r="U25" s="77" t="s">
        <v>222</v>
      </c>
      <c r="V25" s="77">
        <v>100</v>
      </c>
      <c r="W25" s="84">
        <v>1</v>
      </c>
      <c r="X25" s="81"/>
      <c r="Y25" s="81">
        <v>0</v>
      </c>
      <c r="Z25" s="84">
        <v>1</v>
      </c>
      <c r="AA25" s="79">
        <v>300</v>
      </c>
      <c r="AB25" s="81">
        <v>0</v>
      </c>
      <c r="AC25" s="10">
        <v>120</v>
      </c>
      <c r="AD25" s="82" t="s">
        <v>247</v>
      </c>
      <c r="AE25" s="10">
        <v>0</v>
      </c>
      <c r="AF25" s="10">
        <v>0</v>
      </c>
      <c r="AG25" s="10"/>
      <c r="AH25" s="10"/>
      <c r="AI25" s="10"/>
      <c r="AJ25" s="10"/>
      <c r="AK25" s="10"/>
      <c r="AL25" s="10"/>
      <c r="AM25" s="10" t="s">
        <v>102</v>
      </c>
      <c r="AN25" s="10" t="s">
        <v>102</v>
      </c>
      <c r="AO25" s="10" t="s">
        <v>102</v>
      </c>
      <c r="AP25" s="10" t="s">
        <v>102</v>
      </c>
    </row>
    <row r="26" spans="1:42" ht="60" x14ac:dyDescent="0.25">
      <c r="A26" s="34" t="s">
        <v>156</v>
      </c>
      <c r="B26" s="34" t="s">
        <v>157</v>
      </c>
      <c r="C26" s="34" t="s">
        <v>174</v>
      </c>
      <c r="D26" s="34">
        <v>223220000</v>
      </c>
      <c r="E26" s="34" t="s">
        <v>191</v>
      </c>
      <c r="F26" s="74" t="s">
        <v>190</v>
      </c>
      <c r="G26" s="34" t="s">
        <v>192</v>
      </c>
      <c r="H26" s="75">
        <v>120000000</v>
      </c>
      <c r="I26" s="89">
        <v>290000000</v>
      </c>
      <c r="J26" s="19">
        <v>270706391</v>
      </c>
      <c r="K26" s="19"/>
      <c r="L26" s="19"/>
      <c r="M26" s="19"/>
      <c r="N26" s="75">
        <f t="shared" si="0"/>
        <v>120000000</v>
      </c>
      <c r="O26" s="75">
        <f t="shared" si="0"/>
        <v>290000000</v>
      </c>
      <c r="P26" s="75">
        <f t="shared" si="0"/>
        <v>270706391</v>
      </c>
      <c r="Q26" s="75">
        <v>270706390</v>
      </c>
      <c r="R26" s="75"/>
      <c r="S26" s="75">
        <f t="shared" si="1"/>
        <v>270706390</v>
      </c>
      <c r="T26" s="37" t="s">
        <v>248</v>
      </c>
      <c r="U26" s="77" t="s">
        <v>222</v>
      </c>
      <c r="V26" s="77">
        <v>100</v>
      </c>
      <c r="W26" s="84">
        <v>1</v>
      </c>
      <c r="X26" s="81"/>
      <c r="Y26" s="84">
        <v>0.1</v>
      </c>
      <c r="Z26" s="84">
        <v>1</v>
      </c>
      <c r="AA26" s="79">
        <v>90</v>
      </c>
      <c r="AB26" s="81">
        <v>30</v>
      </c>
      <c r="AC26" s="10">
        <v>210</v>
      </c>
      <c r="AD26" s="82" t="s">
        <v>249</v>
      </c>
      <c r="AE26" s="10">
        <v>0</v>
      </c>
      <c r="AF26" s="10">
        <v>0</v>
      </c>
      <c r="AG26" s="10">
        <v>0</v>
      </c>
      <c r="AH26" s="10">
        <v>0</v>
      </c>
      <c r="AI26" s="10">
        <v>0</v>
      </c>
      <c r="AJ26" s="10">
        <v>0</v>
      </c>
      <c r="AK26" s="10" t="s">
        <v>102</v>
      </c>
      <c r="AL26" s="10" t="s">
        <v>102</v>
      </c>
      <c r="AM26" s="10" t="s">
        <v>102</v>
      </c>
      <c r="AN26" s="10" t="s">
        <v>102</v>
      </c>
      <c r="AO26" s="10" t="s">
        <v>102</v>
      </c>
      <c r="AP26" s="10" t="s">
        <v>102</v>
      </c>
    </row>
    <row r="27" spans="1:42" ht="48" x14ac:dyDescent="0.25">
      <c r="A27" s="34" t="s">
        <v>156</v>
      </c>
      <c r="B27" s="34" t="s">
        <v>157</v>
      </c>
      <c r="C27" s="34" t="s">
        <v>193</v>
      </c>
      <c r="D27" s="34">
        <v>223310000</v>
      </c>
      <c r="E27" s="34" t="s">
        <v>196</v>
      </c>
      <c r="F27" s="74" t="s">
        <v>195</v>
      </c>
      <c r="G27" s="34" t="s">
        <v>197</v>
      </c>
      <c r="H27" s="75">
        <v>911510000</v>
      </c>
      <c r="I27" s="89">
        <v>834434250</v>
      </c>
      <c r="J27" s="19">
        <v>834434250</v>
      </c>
      <c r="K27" s="19"/>
      <c r="L27" s="19">
        <v>12000000</v>
      </c>
      <c r="M27" s="19">
        <v>15000000</v>
      </c>
      <c r="N27" s="75">
        <f t="shared" si="0"/>
        <v>911510000</v>
      </c>
      <c r="O27" s="75">
        <f t="shared" si="0"/>
        <v>846434250</v>
      </c>
      <c r="P27" s="75">
        <f t="shared" si="0"/>
        <v>849434250</v>
      </c>
      <c r="Q27" s="90">
        <v>834434250</v>
      </c>
      <c r="R27" s="75">
        <v>15000000</v>
      </c>
      <c r="S27" s="75">
        <f t="shared" si="1"/>
        <v>849434250</v>
      </c>
      <c r="T27" s="37" t="s">
        <v>250</v>
      </c>
      <c r="U27" s="77" t="s">
        <v>225</v>
      </c>
      <c r="V27" s="77">
        <v>1</v>
      </c>
      <c r="W27" s="81">
        <v>1</v>
      </c>
      <c r="X27" s="81"/>
      <c r="Y27" s="81">
        <v>0.3</v>
      </c>
      <c r="Z27" s="81">
        <v>1</v>
      </c>
      <c r="AA27" s="79">
        <v>270</v>
      </c>
      <c r="AB27" s="81">
        <v>120</v>
      </c>
      <c r="AC27" s="10">
        <v>300</v>
      </c>
      <c r="AD27" s="82" t="s">
        <v>251</v>
      </c>
      <c r="AE27" s="10">
        <v>0</v>
      </c>
      <c r="AF27" s="10">
        <v>0</v>
      </c>
      <c r="AG27" s="10" t="s">
        <v>102</v>
      </c>
      <c r="AH27" s="10" t="s">
        <v>102</v>
      </c>
      <c r="AI27" s="10" t="s">
        <v>102</v>
      </c>
      <c r="AJ27" s="10" t="s">
        <v>102</v>
      </c>
      <c r="AK27" s="10" t="s">
        <v>102</v>
      </c>
      <c r="AL27" s="10" t="s">
        <v>102</v>
      </c>
      <c r="AM27" s="10" t="s">
        <v>102</v>
      </c>
      <c r="AN27" s="10" t="s">
        <v>102</v>
      </c>
      <c r="AO27" s="10" t="s">
        <v>102</v>
      </c>
      <c r="AP27" s="10" t="s">
        <v>102</v>
      </c>
    </row>
    <row r="28" spans="1:42" ht="33.75" x14ac:dyDescent="0.25">
      <c r="A28" s="34">
        <v>0</v>
      </c>
      <c r="B28" s="34">
        <v>0</v>
      </c>
      <c r="C28" s="34">
        <v>0</v>
      </c>
      <c r="D28" s="34">
        <v>0</v>
      </c>
      <c r="E28" s="34">
        <v>0</v>
      </c>
      <c r="F28" s="74">
        <v>0</v>
      </c>
      <c r="G28" s="34">
        <v>0</v>
      </c>
      <c r="H28" s="75">
        <v>0</v>
      </c>
      <c r="I28" s="19"/>
      <c r="J28" s="19"/>
      <c r="K28" s="19"/>
      <c r="L28" s="19"/>
      <c r="M28" s="19"/>
      <c r="N28" s="75">
        <f t="shared" si="0"/>
        <v>0</v>
      </c>
      <c r="O28" s="75">
        <f t="shared" si="0"/>
        <v>0</v>
      </c>
      <c r="P28" s="75">
        <f t="shared" si="0"/>
        <v>0</v>
      </c>
      <c r="Q28" s="75"/>
      <c r="R28" s="75"/>
      <c r="S28" s="75">
        <f t="shared" si="1"/>
        <v>0</v>
      </c>
      <c r="T28" s="37" t="s">
        <v>252</v>
      </c>
      <c r="U28" s="77" t="s">
        <v>225</v>
      </c>
      <c r="V28" s="77">
        <v>1</v>
      </c>
      <c r="W28" s="81">
        <v>1</v>
      </c>
      <c r="X28" s="81"/>
      <c r="Y28" s="81">
        <v>0.15</v>
      </c>
      <c r="Z28" s="81">
        <v>1</v>
      </c>
      <c r="AA28" s="79">
        <v>270</v>
      </c>
      <c r="AB28" s="81">
        <v>120</v>
      </c>
      <c r="AC28" s="10">
        <v>300</v>
      </c>
      <c r="AD28" s="82" t="s">
        <v>253</v>
      </c>
      <c r="AE28" s="10">
        <v>0</v>
      </c>
      <c r="AF28" s="10">
        <v>0</v>
      </c>
      <c r="AG28" s="10" t="s">
        <v>102</v>
      </c>
      <c r="AH28" s="10" t="s">
        <v>102</v>
      </c>
      <c r="AI28" s="10" t="s">
        <v>102</v>
      </c>
      <c r="AJ28" s="10" t="s">
        <v>102</v>
      </c>
      <c r="AK28" s="10" t="s">
        <v>102</v>
      </c>
      <c r="AL28" s="10" t="s">
        <v>102</v>
      </c>
      <c r="AM28" s="10" t="s">
        <v>102</v>
      </c>
      <c r="AN28" s="10" t="s">
        <v>102</v>
      </c>
      <c r="AO28" s="10" t="s">
        <v>102</v>
      </c>
      <c r="AP28" s="10">
        <v>0</v>
      </c>
    </row>
    <row r="29" spans="1:42" ht="48" x14ac:dyDescent="0.25">
      <c r="A29" s="34">
        <v>0</v>
      </c>
      <c r="B29" s="34">
        <v>0</v>
      </c>
      <c r="C29" s="34">
        <v>0</v>
      </c>
      <c r="D29" s="34">
        <v>0</v>
      </c>
      <c r="E29" s="34">
        <v>0</v>
      </c>
      <c r="F29" s="74">
        <v>0</v>
      </c>
      <c r="G29" s="34">
        <v>0</v>
      </c>
      <c r="H29" s="75">
        <v>0</v>
      </c>
      <c r="I29" s="19"/>
      <c r="J29" s="91"/>
      <c r="K29" s="19"/>
      <c r="L29" s="19"/>
      <c r="M29" s="19"/>
      <c r="N29" s="75">
        <f t="shared" si="0"/>
        <v>0</v>
      </c>
      <c r="O29" s="75">
        <f t="shared" si="0"/>
        <v>0</v>
      </c>
      <c r="P29" s="75">
        <f t="shared" si="0"/>
        <v>0</v>
      </c>
      <c r="Q29" s="75"/>
      <c r="R29" s="75"/>
      <c r="S29" s="75">
        <f t="shared" si="1"/>
        <v>0</v>
      </c>
      <c r="T29" s="37" t="s">
        <v>254</v>
      </c>
      <c r="U29" s="77" t="s">
        <v>222</v>
      </c>
      <c r="V29" s="77">
        <v>100</v>
      </c>
      <c r="W29" s="84"/>
      <c r="X29" s="81"/>
      <c r="Y29" s="81">
        <v>0</v>
      </c>
      <c r="Z29" s="81">
        <v>100</v>
      </c>
      <c r="AA29" s="79">
        <v>90</v>
      </c>
      <c r="AB29" s="81">
        <v>150</v>
      </c>
      <c r="AC29" s="10">
        <v>330</v>
      </c>
      <c r="AD29" s="10"/>
      <c r="AE29" s="10">
        <v>0</v>
      </c>
      <c r="AF29" s="10">
        <v>0</v>
      </c>
      <c r="AG29" s="10" t="s">
        <v>102</v>
      </c>
      <c r="AH29" s="10" t="s">
        <v>102</v>
      </c>
      <c r="AI29" s="10" t="s">
        <v>102</v>
      </c>
      <c r="AJ29" s="10" t="s">
        <v>102</v>
      </c>
      <c r="AK29" s="10" t="s">
        <v>102</v>
      </c>
      <c r="AL29" s="10" t="s">
        <v>102</v>
      </c>
      <c r="AM29" s="10" t="s">
        <v>102</v>
      </c>
      <c r="AN29" s="10" t="s">
        <v>102</v>
      </c>
      <c r="AO29" s="10" t="s">
        <v>102</v>
      </c>
      <c r="AP29" s="10" t="s">
        <v>102</v>
      </c>
    </row>
    <row r="30" spans="1:42" ht="60" x14ac:dyDescent="0.25">
      <c r="A30" s="34" t="s">
        <v>156</v>
      </c>
      <c r="B30" s="34" t="s">
        <v>157</v>
      </c>
      <c r="C30" s="34" t="s">
        <v>199</v>
      </c>
      <c r="D30" s="34">
        <v>223410000</v>
      </c>
      <c r="E30" s="34" t="s">
        <v>202</v>
      </c>
      <c r="F30" s="74" t="s">
        <v>201</v>
      </c>
      <c r="G30" s="34" t="s">
        <v>203</v>
      </c>
      <c r="H30" s="75">
        <v>400000000</v>
      </c>
      <c r="I30" s="19">
        <v>0</v>
      </c>
      <c r="J30" s="91">
        <v>400000000</v>
      </c>
      <c r="K30" s="19"/>
      <c r="L30" s="19"/>
      <c r="M30" s="19"/>
      <c r="N30" s="75">
        <f t="shared" si="0"/>
        <v>400000000</v>
      </c>
      <c r="O30" s="75">
        <f t="shared" si="0"/>
        <v>0</v>
      </c>
      <c r="P30" s="75">
        <f t="shared" si="0"/>
        <v>400000000</v>
      </c>
      <c r="Q30" s="75">
        <v>20000000</v>
      </c>
      <c r="R30" s="75"/>
      <c r="S30" s="75">
        <f t="shared" si="1"/>
        <v>20000000</v>
      </c>
      <c r="T30" s="37" t="s">
        <v>255</v>
      </c>
      <c r="U30" s="77" t="s">
        <v>225</v>
      </c>
      <c r="V30" s="77">
        <v>1</v>
      </c>
      <c r="W30" s="81">
        <v>1</v>
      </c>
      <c r="X30" s="81"/>
      <c r="Y30" s="81">
        <v>0</v>
      </c>
      <c r="Z30" s="81">
        <v>0.3</v>
      </c>
      <c r="AA30" s="79">
        <v>360</v>
      </c>
      <c r="AB30" s="81"/>
      <c r="AC30" s="10">
        <v>120</v>
      </c>
      <c r="AD30" s="82" t="s">
        <v>256</v>
      </c>
      <c r="AE30" s="10"/>
      <c r="AF30" s="10"/>
      <c r="AG30" s="10"/>
      <c r="AH30" s="10"/>
      <c r="AI30" s="10"/>
      <c r="AJ30" s="10"/>
      <c r="AK30" s="10" t="s">
        <v>102</v>
      </c>
      <c r="AL30" s="10" t="s">
        <v>102</v>
      </c>
      <c r="AM30" s="10" t="s">
        <v>102</v>
      </c>
      <c r="AN30" s="10" t="s">
        <v>102</v>
      </c>
      <c r="AO30" s="10" t="s">
        <v>102</v>
      </c>
      <c r="AP30" s="10" t="s">
        <v>102</v>
      </c>
    </row>
    <row r="31" spans="1:42" ht="72" x14ac:dyDescent="0.25">
      <c r="A31" s="34" t="s">
        <v>156</v>
      </c>
      <c r="B31" s="34" t="s">
        <v>157</v>
      </c>
      <c r="C31" s="34" t="s">
        <v>199</v>
      </c>
      <c r="D31" s="34">
        <v>223410000</v>
      </c>
      <c r="E31" s="34" t="s">
        <v>207</v>
      </c>
      <c r="F31" s="74" t="s">
        <v>206</v>
      </c>
      <c r="G31" s="34" t="s">
        <v>208</v>
      </c>
      <c r="H31" s="75">
        <v>2883766861.1399999</v>
      </c>
      <c r="I31" s="88">
        <v>6579288831</v>
      </c>
      <c r="J31" s="91">
        <v>6580738208</v>
      </c>
      <c r="K31" s="19"/>
      <c r="L31" s="19">
        <v>182233000</v>
      </c>
      <c r="M31" s="19"/>
      <c r="N31" s="75">
        <f t="shared" si="0"/>
        <v>2883766861.1399999</v>
      </c>
      <c r="O31" s="75">
        <f t="shared" si="0"/>
        <v>6761521831</v>
      </c>
      <c r="P31" s="75">
        <f t="shared" si="0"/>
        <v>6580738208</v>
      </c>
      <c r="Q31" s="75">
        <v>3688696265</v>
      </c>
      <c r="R31" s="75"/>
      <c r="S31" s="75">
        <f t="shared" si="1"/>
        <v>3688696265</v>
      </c>
      <c r="T31" s="37" t="s">
        <v>257</v>
      </c>
      <c r="U31" s="77" t="s">
        <v>225</v>
      </c>
      <c r="V31" s="77">
        <v>2</v>
      </c>
      <c r="W31" s="81">
        <v>2</v>
      </c>
      <c r="X31" s="81"/>
      <c r="Y31" s="81">
        <v>1</v>
      </c>
      <c r="Z31" s="81">
        <v>2</v>
      </c>
      <c r="AA31" s="79">
        <v>30</v>
      </c>
      <c r="AB31" s="81">
        <v>90</v>
      </c>
      <c r="AC31" s="10">
        <v>150</v>
      </c>
      <c r="AD31" s="82" t="s">
        <v>258</v>
      </c>
      <c r="AE31" s="10">
        <v>0</v>
      </c>
      <c r="AF31" s="10">
        <v>0</v>
      </c>
      <c r="AG31" s="10">
        <v>0</v>
      </c>
      <c r="AH31" s="10">
        <v>0</v>
      </c>
      <c r="AI31" s="10" t="s">
        <v>102</v>
      </c>
      <c r="AJ31" s="10" t="s">
        <v>102</v>
      </c>
      <c r="AK31" s="10" t="s">
        <v>102</v>
      </c>
      <c r="AL31" s="10" t="s">
        <v>102</v>
      </c>
      <c r="AM31" s="10" t="s">
        <v>102</v>
      </c>
      <c r="AN31" s="10"/>
      <c r="AO31" s="10">
        <v>0</v>
      </c>
      <c r="AP31" s="10">
        <v>0</v>
      </c>
    </row>
    <row r="32" spans="1:42" ht="56.25" x14ac:dyDescent="0.25">
      <c r="A32" s="34">
        <v>0</v>
      </c>
      <c r="B32" s="34">
        <v>0</v>
      </c>
      <c r="C32" s="34">
        <v>0</v>
      </c>
      <c r="D32" s="34">
        <v>0</v>
      </c>
      <c r="E32" s="34">
        <v>0</v>
      </c>
      <c r="F32" s="34">
        <v>0</v>
      </c>
      <c r="G32" s="34">
        <v>0</v>
      </c>
      <c r="H32" s="75">
        <v>0</v>
      </c>
      <c r="I32" s="19"/>
      <c r="J32" s="91"/>
      <c r="K32" s="19"/>
      <c r="L32" s="19"/>
      <c r="M32" s="19"/>
      <c r="N32" s="75">
        <f t="shared" si="0"/>
        <v>0</v>
      </c>
      <c r="O32" s="75">
        <f t="shared" si="0"/>
        <v>0</v>
      </c>
      <c r="P32" s="75">
        <f t="shared" si="0"/>
        <v>0</v>
      </c>
      <c r="Q32" s="75"/>
      <c r="R32" s="75"/>
      <c r="S32" s="75">
        <f t="shared" si="1"/>
        <v>0</v>
      </c>
      <c r="T32" s="37" t="s">
        <v>259</v>
      </c>
      <c r="U32" s="77" t="s">
        <v>222</v>
      </c>
      <c r="V32" s="77">
        <v>100</v>
      </c>
      <c r="W32" s="84">
        <v>1</v>
      </c>
      <c r="X32" s="81"/>
      <c r="Y32" s="84">
        <v>0.15</v>
      </c>
      <c r="Z32" s="84">
        <v>1</v>
      </c>
      <c r="AA32" s="79">
        <v>270</v>
      </c>
      <c r="AB32" s="81">
        <v>150</v>
      </c>
      <c r="AC32" s="10">
        <v>150</v>
      </c>
      <c r="AD32" s="82" t="s">
        <v>260</v>
      </c>
      <c r="AE32" s="10">
        <v>0</v>
      </c>
      <c r="AF32" s="10">
        <v>0</v>
      </c>
      <c r="AG32" s="10">
        <v>0</v>
      </c>
      <c r="AH32" s="10" t="s">
        <v>102</v>
      </c>
      <c r="AI32" s="10" t="s">
        <v>102</v>
      </c>
      <c r="AJ32" s="10" t="s">
        <v>102</v>
      </c>
      <c r="AK32" s="10" t="s">
        <v>102</v>
      </c>
      <c r="AL32" s="10" t="s">
        <v>102</v>
      </c>
      <c r="AM32" s="10" t="s">
        <v>102</v>
      </c>
      <c r="AN32" s="10" t="s">
        <v>102</v>
      </c>
      <c r="AO32" s="10" t="s">
        <v>102</v>
      </c>
      <c r="AP32" s="10" t="s">
        <v>102</v>
      </c>
    </row>
    <row r="33" spans="1:42" ht="60" x14ac:dyDescent="0.25">
      <c r="A33" s="57" t="s">
        <v>209</v>
      </c>
      <c r="B33" s="57" t="s">
        <v>209</v>
      </c>
      <c r="C33" s="59" t="s">
        <v>174</v>
      </c>
      <c r="D33" s="60">
        <v>223210000</v>
      </c>
      <c r="E33" s="62" t="s">
        <v>261</v>
      </c>
      <c r="F33" s="92" t="s">
        <v>262</v>
      </c>
      <c r="G33" s="57" t="s">
        <v>212</v>
      </c>
      <c r="H33" s="93"/>
      <c r="I33" s="94">
        <v>527275405</v>
      </c>
      <c r="J33" s="91">
        <v>535551266</v>
      </c>
      <c r="K33" s="93"/>
      <c r="L33" s="93"/>
      <c r="M33" s="95"/>
      <c r="N33" s="94">
        <v>527275405</v>
      </c>
      <c r="O33" s="95"/>
      <c r="P33" s="93"/>
      <c r="Q33" s="96">
        <v>525703054</v>
      </c>
      <c r="R33" s="97"/>
      <c r="S33" s="95"/>
      <c r="T33" s="82" t="s">
        <v>263</v>
      </c>
      <c r="U33" s="83" t="s">
        <v>222</v>
      </c>
      <c r="V33" s="98">
        <v>100</v>
      </c>
      <c r="W33" s="98">
        <v>100</v>
      </c>
      <c r="X33" s="98"/>
      <c r="Y33" s="99">
        <v>0.4</v>
      </c>
      <c r="Z33" s="98">
        <v>100</v>
      </c>
      <c r="AA33" s="98">
        <v>270</v>
      </c>
      <c r="AB33" s="98">
        <v>90</v>
      </c>
      <c r="AC33" s="98">
        <v>270</v>
      </c>
      <c r="AD33" s="82" t="s">
        <v>264</v>
      </c>
      <c r="AE33" s="41"/>
      <c r="AF33" s="41"/>
      <c r="AG33" s="41"/>
      <c r="AH33" s="64" t="s">
        <v>102</v>
      </c>
      <c r="AI33" s="64" t="s">
        <v>102</v>
      </c>
      <c r="AJ33" s="100" t="s">
        <v>102</v>
      </c>
      <c r="AK33" s="64" t="s">
        <v>102</v>
      </c>
      <c r="AL33" s="64" t="s">
        <v>102</v>
      </c>
      <c r="AM33" s="64" t="s">
        <v>102</v>
      </c>
      <c r="AN33" s="64" t="s">
        <v>102</v>
      </c>
      <c r="AO33" s="64" t="s">
        <v>102</v>
      </c>
      <c r="AP33" s="64" t="s">
        <v>102</v>
      </c>
    </row>
    <row r="34" spans="1:42" ht="33.75" x14ac:dyDescent="0.25">
      <c r="A34" s="41"/>
      <c r="B34" s="41"/>
      <c r="C34" s="41"/>
      <c r="D34" s="41"/>
      <c r="E34" s="41"/>
      <c r="F34" s="41"/>
      <c r="G34" s="41"/>
      <c r="H34" s="41"/>
      <c r="I34" s="93"/>
      <c r="J34" s="41"/>
      <c r="K34" s="41"/>
      <c r="L34" s="41"/>
      <c r="M34" s="41"/>
      <c r="N34" s="41"/>
      <c r="O34" s="41"/>
      <c r="P34" s="41"/>
      <c r="Q34" s="41"/>
      <c r="R34" s="41"/>
      <c r="S34" s="93"/>
      <c r="T34" s="82" t="s">
        <v>265</v>
      </c>
      <c r="U34" s="83" t="s">
        <v>266</v>
      </c>
      <c r="V34" s="64">
        <v>4</v>
      </c>
      <c r="W34" s="64">
        <v>3</v>
      </c>
      <c r="X34" s="101"/>
      <c r="Y34" s="101">
        <v>3</v>
      </c>
      <c r="Z34" s="101">
        <v>3</v>
      </c>
      <c r="AA34" s="101">
        <v>330</v>
      </c>
      <c r="AB34" s="101">
        <v>150</v>
      </c>
      <c r="AC34" s="41">
        <v>330</v>
      </c>
      <c r="AD34" s="82" t="s">
        <v>267</v>
      </c>
      <c r="AE34" s="102"/>
      <c r="AF34" s="103" t="s">
        <v>102</v>
      </c>
      <c r="AG34" s="104" t="s">
        <v>102</v>
      </c>
      <c r="AH34" s="102" t="s">
        <v>102</v>
      </c>
      <c r="AI34" s="102" t="s">
        <v>102</v>
      </c>
      <c r="AJ34" s="102" t="s">
        <v>102</v>
      </c>
      <c r="AK34" s="102" t="s">
        <v>102</v>
      </c>
      <c r="AL34" s="102" t="s">
        <v>102</v>
      </c>
      <c r="AM34" s="102" t="s">
        <v>102</v>
      </c>
      <c r="AN34" s="102" t="s">
        <v>102</v>
      </c>
      <c r="AO34" s="102" t="s">
        <v>102</v>
      </c>
      <c r="AP34" s="102" t="s">
        <v>102</v>
      </c>
    </row>
    <row r="35" spans="1:42" ht="22.5" x14ac:dyDescent="0.25">
      <c r="A35" s="41"/>
      <c r="B35" s="41"/>
      <c r="C35" s="41"/>
      <c r="D35" s="41"/>
      <c r="E35" s="41"/>
      <c r="F35" s="41"/>
      <c r="G35" s="41"/>
      <c r="H35" s="41"/>
      <c r="I35" s="93"/>
      <c r="J35" s="41"/>
      <c r="K35" s="41"/>
      <c r="L35" s="41"/>
      <c r="M35" s="41"/>
      <c r="N35" s="41"/>
      <c r="O35" s="41"/>
      <c r="P35" s="41"/>
      <c r="Q35" s="41"/>
      <c r="R35" s="41"/>
      <c r="S35" s="93"/>
      <c r="T35" s="82" t="s">
        <v>268</v>
      </c>
      <c r="U35" s="83" t="s">
        <v>266</v>
      </c>
      <c r="V35" s="64">
        <v>1</v>
      </c>
      <c r="W35" s="64">
        <v>1</v>
      </c>
      <c r="X35" s="101"/>
      <c r="Y35" s="101">
        <v>0</v>
      </c>
      <c r="Z35" s="101">
        <v>2</v>
      </c>
      <c r="AA35" s="101">
        <v>90</v>
      </c>
      <c r="AB35" s="101">
        <v>0</v>
      </c>
      <c r="AC35" s="41">
        <v>90</v>
      </c>
      <c r="AD35" s="82" t="s">
        <v>269</v>
      </c>
      <c r="AE35" s="41"/>
      <c r="AF35" s="105"/>
      <c r="AG35" s="106"/>
      <c r="AH35" s="41"/>
      <c r="AI35" s="41"/>
      <c r="AJ35" s="41"/>
      <c r="AK35" s="64" t="s">
        <v>102</v>
      </c>
      <c r="AL35" s="64" t="s">
        <v>102</v>
      </c>
      <c r="AM35" s="64" t="s">
        <v>102</v>
      </c>
      <c r="AN35" s="41"/>
      <c r="AO35" s="41"/>
      <c r="AP35" s="41"/>
    </row>
    <row r="36" spans="1:42" ht="33.75" x14ac:dyDescent="0.25">
      <c r="A36" s="41"/>
      <c r="B36" s="41"/>
      <c r="C36" s="41"/>
      <c r="D36" s="41"/>
      <c r="E36" s="41"/>
      <c r="F36" s="41"/>
      <c r="G36" s="41"/>
      <c r="H36" s="41"/>
      <c r="I36" s="93"/>
      <c r="J36" s="41"/>
      <c r="K36" s="41"/>
      <c r="L36" s="41"/>
      <c r="M36" s="41"/>
      <c r="N36" s="41"/>
      <c r="O36" s="41"/>
      <c r="P36" s="41"/>
      <c r="Q36" s="41"/>
      <c r="R36" s="41"/>
      <c r="S36" s="93"/>
      <c r="T36" s="82" t="s">
        <v>270</v>
      </c>
      <c r="U36" s="83" t="s">
        <v>266</v>
      </c>
      <c r="V36" s="64">
        <v>1</v>
      </c>
      <c r="W36" s="64">
        <v>1</v>
      </c>
      <c r="X36" s="101"/>
      <c r="Y36" s="101">
        <v>0</v>
      </c>
      <c r="Z36" s="101">
        <v>2</v>
      </c>
      <c r="AA36" s="101">
        <v>90</v>
      </c>
      <c r="AB36" s="101">
        <v>0</v>
      </c>
      <c r="AC36" s="41">
        <v>90</v>
      </c>
      <c r="AD36" s="82" t="s">
        <v>271</v>
      </c>
      <c r="AE36" s="41"/>
      <c r="AF36" s="105"/>
      <c r="AG36" s="106"/>
      <c r="AH36" s="41"/>
      <c r="AI36" s="41"/>
      <c r="AJ36" s="41"/>
      <c r="AK36" s="64" t="s">
        <v>102</v>
      </c>
      <c r="AL36" s="64" t="s">
        <v>102</v>
      </c>
      <c r="AM36" s="64" t="s">
        <v>102</v>
      </c>
      <c r="AN36" s="64"/>
      <c r="AO36" s="64"/>
      <c r="AP36" s="64"/>
    </row>
    <row r="37" spans="1:42" ht="33.75" x14ac:dyDescent="0.25">
      <c r="A37" s="41"/>
      <c r="B37" s="41"/>
      <c r="C37" s="41"/>
      <c r="D37" s="41"/>
      <c r="E37" s="41"/>
      <c r="F37" s="41"/>
      <c r="G37" s="41"/>
      <c r="H37" s="41"/>
      <c r="I37" s="93"/>
      <c r="J37" s="41"/>
      <c r="K37" s="41"/>
      <c r="L37" s="41"/>
      <c r="M37" s="41"/>
      <c r="N37" s="41"/>
      <c r="O37" s="41"/>
      <c r="P37" s="41"/>
      <c r="Q37" s="41"/>
      <c r="R37" s="41"/>
      <c r="S37" s="93"/>
      <c r="T37" s="82" t="s">
        <v>272</v>
      </c>
      <c r="U37" s="83" t="s">
        <v>266</v>
      </c>
      <c r="V37" s="64">
        <v>1</v>
      </c>
      <c r="W37" s="64">
        <v>1</v>
      </c>
      <c r="X37" s="101"/>
      <c r="Y37" s="101">
        <v>0</v>
      </c>
      <c r="Z37" s="101">
        <v>2</v>
      </c>
      <c r="AA37" s="101">
        <v>150</v>
      </c>
      <c r="AB37" s="101"/>
      <c r="AC37" s="41">
        <v>150</v>
      </c>
      <c r="AD37" s="82" t="s">
        <v>273</v>
      </c>
      <c r="AE37" s="41"/>
      <c r="AF37" s="105"/>
      <c r="AG37" s="106"/>
      <c r="AH37" s="41"/>
      <c r="AI37" s="41"/>
      <c r="AJ37" s="41"/>
      <c r="AK37" s="64"/>
      <c r="AL37" s="64" t="s">
        <v>102</v>
      </c>
      <c r="AM37" s="64" t="s">
        <v>102</v>
      </c>
      <c r="AN37" s="64" t="s">
        <v>102</v>
      </c>
      <c r="AO37" s="64" t="s">
        <v>102</v>
      </c>
      <c r="AP37" s="64" t="s">
        <v>102</v>
      </c>
    </row>
    <row r="38" spans="1:42" x14ac:dyDescent="0.25">
      <c r="A38" s="27"/>
      <c r="B38" s="27"/>
      <c r="C38" s="27"/>
      <c r="D38" s="27"/>
      <c r="E38" s="27"/>
      <c r="F38" s="27"/>
      <c r="G38" s="27"/>
      <c r="H38" s="27"/>
      <c r="I38" s="72"/>
      <c r="J38" s="27"/>
      <c r="K38" s="27"/>
      <c r="L38" s="27"/>
      <c r="M38" s="27"/>
      <c r="N38" s="27"/>
      <c r="O38" s="27"/>
      <c r="P38" s="27"/>
      <c r="Q38" s="27"/>
      <c r="R38" s="27"/>
      <c r="S38" s="72"/>
      <c r="T38" s="27"/>
      <c r="U38" s="73"/>
      <c r="V38" s="73"/>
      <c r="W38" s="73"/>
      <c r="X38" s="73"/>
      <c r="Y38" s="73"/>
      <c r="Z38" s="73"/>
      <c r="AA38" s="73"/>
      <c r="AB38" s="73"/>
      <c r="AC38" s="27"/>
      <c r="AD38" s="27"/>
      <c r="AE38" s="27"/>
      <c r="AF38" s="27"/>
      <c r="AG38" s="27"/>
      <c r="AH38" s="27"/>
      <c r="AI38" s="27"/>
      <c r="AJ38" s="27"/>
      <c r="AK38" s="27"/>
      <c r="AL38" s="27"/>
      <c r="AM38" s="27"/>
      <c r="AN38" s="27"/>
      <c r="AO38" s="27"/>
      <c r="AP38" s="27"/>
    </row>
    <row r="39" spans="1:42" x14ac:dyDescent="0.25">
      <c r="A39" s="27"/>
      <c r="B39" s="27"/>
      <c r="C39" s="27"/>
      <c r="D39" s="27"/>
      <c r="E39" s="27"/>
      <c r="F39" s="27"/>
      <c r="G39" s="27"/>
      <c r="H39" s="27"/>
      <c r="I39" s="72"/>
      <c r="J39" s="27"/>
      <c r="K39" s="27"/>
      <c r="L39" s="27"/>
      <c r="M39" s="27"/>
      <c r="N39" s="27"/>
      <c r="O39" s="27"/>
      <c r="P39" s="27"/>
      <c r="Q39" s="27"/>
      <c r="R39" s="27"/>
      <c r="S39" s="72"/>
      <c r="T39" s="27"/>
      <c r="U39" s="73"/>
      <c r="V39" s="73"/>
      <c r="W39" s="73"/>
      <c r="X39" s="73"/>
      <c r="Y39" s="73"/>
      <c r="Z39" s="73"/>
      <c r="AA39" s="73"/>
      <c r="AB39" s="73"/>
      <c r="AC39" s="27"/>
      <c r="AD39" s="27"/>
      <c r="AE39" s="27"/>
      <c r="AF39" s="27"/>
      <c r="AG39" s="27"/>
      <c r="AH39" s="27"/>
      <c r="AI39" s="27"/>
      <c r="AJ39" s="27"/>
      <c r="AK39" s="27"/>
      <c r="AL39" s="27"/>
      <c r="AM39" s="27"/>
      <c r="AN39" s="27"/>
      <c r="AO39" s="27"/>
      <c r="AP39" s="27"/>
    </row>
    <row r="40" spans="1:42" x14ac:dyDescent="0.25">
      <c r="A40" s="27"/>
      <c r="B40" s="27"/>
      <c r="C40" s="27"/>
      <c r="D40" s="27"/>
      <c r="E40" s="27"/>
      <c r="F40" s="27"/>
      <c r="G40" s="27"/>
      <c r="H40" s="27"/>
      <c r="I40" s="72"/>
      <c r="J40" s="27"/>
      <c r="K40" s="27"/>
      <c r="L40" s="27"/>
      <c r="M40" s="27"/>
      <c r="N40" s="27"/>
      <c r="O40" s="27"/>
      <c r="P40" s="27"/>
      <c r="Q40" s="27"/>
      <c r="R40" s="27"/>
      <c r="S40" s="72"/>
      <c r="T40" s="27"/>
      <c r="U40" s="73"/>
      <c r="V40" s="73"/>
      <c r="W40" s="73"/>
      <c r="X40" s="73"/>
      <c r="Y40" s="73"/>
      <c r="Z40" s="73"/>
      <c r="AA40" s="73"/>
      <c r="AB40" s="73"/>
      <c r="AC40" s="27"/>
      <c r="AD40" s="27"/>
      <c r="AE40" s="27"/>
      <c r="AF40" s="27"/>
      <c r="AG40" s="27"/>
      <c r="AH40" s="27"/>
      <c r="AI40" s="27"/>
      <c r="AJ40" s="27"/>
      <c r="AK40" s="27"/>
      <c r="AL40" s="27"/>
      <c r="AM40" s="27"/>
      <c r="AN40" s="27"/>
      <c r="AO40" s="27"/>
      <c r="AP40" s="27"/>
    </row>
    <row r="41" spans="1:42" x14ac:dyDescent="0.25">
      <c r="A41" s="27"/>
      <c r="B41" s="27"/>
      <c r="C41" s="27"/>
      <c r="D41" s="27"/>
      <c r="E41" s="27"/>
      <c r="F41" s="27"/>
      <c r="G41" s="27"/>
      <c r="H41" s="27"/>
      <c r="I41" s="72"/>
      <c r="J41" s="27"/>
      <c r="K41" s="27"/>
      <c r="L41" s="27"/>
      <c r="M41" s="27"/>
      <c r="N41" s="27"/>
      <c r="O41" s="27"/>
      <c r="P41" s="27"/>
      <c r="Q41" s="27"/>
      <c r="R41" s="27"/>
      <c r="S41" s="72"/>
      <c r="T41" s="27"/>
      <c r="U41" s="73"/>
      <c r="V41" s="73"/>
      <c r="W41" s="73"/>
      <c r="X41" s="73"/>
      <c r="Y41" s="73"/>
      <c r="Z41" s="73"/>
      <c r="AA41" s="73"/>
      <c r="AB41" s="73"/>
      <c r="AC41" s="27"/>
      <c r="AD41" s="27"/>
      <c r="AE41" s="27"/>
      <c r="AF41" s="27"/>
      <c r="AG41" s="27"/>
      <c r="AH41" s="27"/>
      <c r="AI41" s="27"/>
      <c r="AJ41" s="27"/>
      <c r="AK41" s="27"/>
      <c r="AL41" s="27"/>
      <c r="AM41" s="27"/>
      <c r="AN41" s="27"/>
      <c r="AO41" s="27"/>
      <c r="AP41" s="27"/>
    </row>
    <row r="42" spans="1:42" x14ac:dyDescent="0.25">
      <c r="A42" s="27"/>
      <c r="B42" s="27"/>
      <c r="C42" s="27"/>
      <c r="D42" s="27"/>
      <c r="E42" s="27"/>
      <c r="F42" s="27"/>
      <c r="G42" s="27"/>
      <c r="H42" s="27"/>
      <c r="I42" s="72"/>
      <c r="J42" s="27"/>
      <c r="K42" s="27"/>
      <c r="L42" s="27"/>
      <c r="M42" s="27"/>
      <c r="N42" s="27"/>
      <c r="O42" s="27"/>
      <c r="P42" s="27"/>
      <c r="Q42" s="27"/>
      <c r="R42" s="27"/>
      <c r="S42" s="72"/>
      <c r="T42" s="27"/>
      <c r="U42" s="73"/>
      <c r="V42" s="73"/>
      <c r="W42" s="73"/>
      <c r="X42" s="73"/>
      <c r="Y42" s="73"/>
      <c r="Z42" s="73"/>
      <c r="AA42" s="73"/>
      <c r="AB42" s="73"/>
      <c r="AC42" s="27"/>
      <c r="AD42" s="27"/>
      <c r="AE42" s="27"/>
      <c r="AF42" s="27"/>
      <c r="AG42" s="27"/>
      <c r="AH42" s="27"/>
      <c r="AI42" s="27"/>
      <c r="AJ42" s="27"/>
      <c r="AK42" s="27"/>
      <c r="AL42" s="27"/>
      <c r="AM42" s="27"/>
      <c r="AN42" s="27"/>
      <c r="AO42" s="27"/>
      <c r="AP42" s="27"/>
    </row>
    <row r="43" spans="1:42" x14ac:dyDescent="0.25">
      <c r="A43" s="27"/>
      <c r="B43" s="27"/>
      <c r="C43" s="27"/>
      <c r="D43" s="27"/>
      <c r="E43" s="27"/>
      <c r="F43" s="27"/>
      <c r="G43" s="27"/>
      <c r="H43" s="27"/>
      <c r="I43" s="72"/>
      <c r="J43" s="27"/>
      <c r="K43" s="27"/>
      <c r="L43" s="27"/>
      <c r="M43" s="27"/>
      <c r="N43" s="27"/>
      <c r="O43" s="27"/>
      <c r="P43" s="27"/>
      <c r="Q43" s="27"/>
      <c r="R43" s="27"/>
      <c r="S43" s="72"/>
      <c r="T43" s="27"/>
      <c r="U43" s="73"/>
      <c r="V43" s="73"/>
      <c r="W43" s="73"/>
      <c r="X43" s="73"/>
      <c r="Y43" s="73"/>
      <c r="Z43" s="73"/>
      <c r="AA43" s="73"/>
      <c r="AB43" s="73"/>
      <c r="AC43" s="27"/>
      <c r="AD43" s="27"/>
      <c r="AE43" s="27"/>
      <c r="AF43" s="27"/>
      <c r="AG43" s="27"/>
      <c r="AH43" s="27"/>
      <c r="AI43" s="27"/>
      <c r="AJ43" s="27"/>
      <c r="AK43" s="27"/>
      <c r="AL43" s="27"/>
      <c r="AM43" s="27"/>
      <c r="AN43" s="27"/>
      <c r="AO43" s="27"/>
      <c r="AP43" s="27"/>
    </row>
    <row r="44" spans="1:42" x14ac:dyDescent="0.25">
      <c r="C44" s="66"/>
      <c r="D44" s="66"/>
      <c r="E44" s="107"/>
      <c r="F44" s="107"/>
      <c r="G44" s="107"/>
      <c r="H44" s="108"/>
      <c r="I44" s="109"/>
      <c r="J44" s="110"/>
      <c r="K44" s="111"/>
      <c r="L44" s="107"/>
      <c r="M44" s="112"/>
      <c r="N44" s="66"/>
      <c r="O44" s="107"/>
      <c r="P44" s="66"/>
      <c r="Q44" s="66"/>
      <c r="R44" s="66"/>
      <c r="S44" s="113"/>
      <c r="T44" s="66"/>
      <c r="U44" s="114"/>
    </row>
    <row r="45" spans="1:42" x14ac:dyDescent="0.25">
      <c r="C45" s="66"/>
      <c r="D45" s="66"/>
      <c r="E45" s="66"/>
      <c r="F45" s="66"/>
      <c r="G45" s="66"/>
      <c r="H45" s="66"/>
      <c r="I45" s="113"/>
      <c r="J45" s="66"/>
      <c r="K45" s="66"/>
      <c r="L45" s="66"/>
      <c r="M45" s="66"/>
      <c r="N45" s="66"/>
      <c r="O45" s="66"/>
      <c r="P45" s="66"/>
      <c r="Q45" s="66"/>
      <c r="R45" s="66"/>
      <c r="S45" s="113"/>
      <c r="T45" s="66"/>
      <c r="U45" s="114"/>
    </row>
  </sheetData>
  <sheetProtection algorithmName="SHA-512" hashValue="z/aZtRXh04pjWeUoZGv1GGcgCcwbpkhfX3xU1MdUhKALlVgxRKZ0FS0MQdAFYDY6pbIOlibpgOjTJNzz5044lA==" saltValue="VXFUaayU/I8STpYEVSZ0OA=="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paperSize="14" orientation="landscape"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topLeftCell="A4" zoomScaleNormal="100" zoomScaleSheetLayoutView="100" workbookViewId="0">
      <pane ySplit="5" topLeftCell="A9" activePane="bottomLeft" state="frozen"/>
      <selection activeCell="A4" sqref="A4"/>
      <selection pane="bottomLeft" activeCell="I10" sqref="I10"/>
    </sheetView>
  </sheetViews>
  <sheetFormatPr baseColWidth="10" defaultRowHeight="15" x14ac:dyDescent="0.25"/>
  <cols>
    <col min="1" max="1" width="15.7109375" style="1" customWidth="1"/>
    <col min="2" max="2" width="17.7109375" style="1" customWidth="1"/>
    <col min="3" max="3" width="18.7109375" style="1" customWidth="1"/>
    <col min="4" max="4" width="13.7109375" style="1" customWidth="1"/>
    <col min="5" max="5" width="16.28515625" style="1" customWidth="1"/>
    <col min="6" max="6" width="15.5703125" style="1" customWidth="1"/>
    <col min="7" max="7" width="12.42578125" style="1" customWidth="1"/>
    <col min="8" max="8" width="22.7109375" style="1" customWidth="1"/>
    <col min="9" max="9" width="18.28515625" style="1" customWidth="1"/>
    <col min="10" max="10" width="14.7109375" style="1" customWidth="1"/>
    <col min="11" max="11" width="28.7109375" style="1" customWidth="1"/>
    <col min="12" max="12" width="11.7109375" style="1" customWidth="1"/>
    <col min="13" max="14" width="14.28515625" style="1" customWidth="1"/>
    <col min="15" max="16" width="11.7109375" style="1" customWidth="1"/>
    <col min="17" max="17" width="24.7109375" style="1" customWidth="1"/>
    <col min="18" max="16384" width="11.42578125" style="1"/>
  </cols>
  <sheetData>
    <row r="1" spans="1:22" x14ac:dyDescent="0.25">
      <c r="A1" s="605" t="s">
        <v>0</v>
      </c>
      <c r="B1" s="605"/>
      <c r="C1" s="605"/>
      <c r="D1" s="605"/>
      <c r="E1" s="605"/>
      <c r="F1" s="605"/>
      <c r="G1" s="605"/>
      <c r="H1" s="605"/>
      <c r="I1" s="605"/>
      <c r="J1" s="605"/>
      <c r="K1" s="605"/>
      <c r="L1" s="605"/>
      <c r="M1" s="605"/>
      <c r="N1" s="605"/>
      <c r="O1" s="605"/>
    </row>
    <row r="2" spans="1:22" x14ac:dyDescent="0.25">
      <c r="A2" s="605" t="s">
        <v>1</v>
      </c>
      <c r="B2" s="605"/>
      <c r="C2" s="605"/>
      <c r="D2" s="605"/>
      <c r="E2" s="605"/>
      <c r="F2" s="605"/>
      <c r="G2" s="605"/>
      <c r="H2" s="605"/>
      <c r="I2" s="605"/>
      <c r="J2" s="605"/>
      <c r="K2" s="605"/>
      <c r="L2" s="605"/>
      <c r="M2" s="605"/>
      <c r="N2" s="605"/>
      <c r="O2" s="605"/>
    </row>
    <row r="3" spans="1:22" x14ac:dyDescent="0.25">
      <c r="A3" s="605" t="s">
        <v>2</v>
      </c>
      <c r="B3" s="605"/>
      <c r="C3" s="605"/>
      <c r="D3" s="605"/>
      <c r="E3" s="605"/>
      <c r="F3" s="605"/>
      <c r="G3" s="605"/>
      <c r="H3" s="605" t="s">
        <v>3</v>
      </c>
      <c r="I3" s="605"/>
      <c r="J3" s="605"/>
      <c r="K3" s="605"/>
      <c r="L3" s="605"/>
      <c r="M3" s="605"/>
      <c r="N3" s="605"/>
      <c r="O3" s="605"/>
    </row>
    <row r="4" spans="1:22" x14ac:dyDescent="0.25">
      <c r="A4" s="605">
        <v>2013</v>
      </c>
      <c r="B4" s="605"/>
      <c r="C4" s="605"/>
      <c r="D4" s="605"/>
      <c r="E4" s="605"/>
      <c r="F4" s="605"/>
      <c r="G4" s="605"/>
      <c r="H4" s="605"/>
      <c r="I4" s="605"/>
      <c r="J4" s="605"/>
      <c r="K4" s="605"/>
      <c r="L4" s="605"/>
      <c r="M4" s="605"/>
      <c r="N4" s="605"/>
      <c r="O4" s="605"/>
    </row>
    <row r="5" spans="1:22" x14ac:dyDescent="0.25">
      <c r="A5" s="2"/>
      <c r="B5" s="2"/>
      <c r="C5" s="2"/>
      <c r="D5" s="2"/>
      <c r="E5" s="2"/>
      <c r="F5" s="2"/>
      <c r="G5" s="2"/>
      <c r="H5" s="2"/>
      <c r="I5" s="2"/>
      <c r="J5" s="2"/>
      <c r="K5" s="2"/>
      <c r="L5" s="4"/>
      <c r="M5" s="5"/>
      <c r="N5" s="5">
        <v>3349165491</v>
      </c>
      <c r="O5" s="5"/>
    </row>
    <row r="6" spans="1:22" x14ac:dyDescent="0.25">
      <c r="A6" s="7" t="s">
        <v>4</v>
      </c>
      <c r="B6" s="606" t="s">
        <v>135</v>
      </c>
      <c r="C6" s="606"/>
      <c r="D6" s="606"/>
      <c r="E6" s="606"/>
      <c r="F6" s="606"/>
      <c r="G6" s="606"/>
      <c r="H6" s="606"/>
      <c r="I6" s="606"/>
      <c r="J6" s="606"/>
      <c r="K6" s="606"/>
      <c r="L6" s="606"/>
      <c r="M6" s="606"/>
      <c r="N6" s="606"/>
      <c r="O6" s="606"/>
    </row>
    <row r="7" spans="1:22" ht="15" customHeight="1"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9" t="s">
        <v>22</v>
      </c>
    </row>
    <row r="8" spans="1:22" ht="32.25" customHeight="1" x14ac:dyDescent="0.25">
      <c r="A8" s="618"/>
      <c r="B8" s="618"/>
      <c r="C8" s="618"/>
      <c r="D8" s="618"/>
      <c r="E8" s="618"/>
      <c r="F8" s="618"/>
      <c r="G8" s="618"/>
      <c r="H8" s="618"/>
      <c r="I8" s="622"/>
      <c r="J8" s="622"/>
      <c r="K8" s="618"/>
      <c r="L8" s="618"/>
      <c r="M8" s="618"/>
      <c r="N8" s="624"/>
      <c r="O8" s="624"/>
      <c r="P8" s="624"/>
      <c r="Q8" s="620"/>
      <c r="S8" s="8"/>
      <c r="T8" s="8"/>
      <c r="U8" s="8"/>
      <c r="V8" s="8"/>
    </row>
    <row r="9" spans="1:22" ht="90" x14ac:dyDescent="0.25">
      <c r="A9" s="10" t="s">
        <v>23</v>
      </c>
      <c r="B9" s="10" t="s">
        <v>136</v>
      </c>
      <c r="C9" s="10" t="s">
        <v>137</v>
      </c>
      <c r="D9" s="10">
        <v>211180000</v>
      </c>
      <c r="E9" s="10" t="s">
        <v>138</v>
      </c>
      <c r="F9" s="11">
        <v>2012050000217</v>
      </c>
      <c r="G9" s="10" t="s">
        <v>139</v>
      </c>
      <c r="H9" s="18" t="s">
        <v>140</v>
      </c>
      <c r="I9" s="42">
        <v>-25000000</v>
      </c>
      <c r="J9" s="43">
        <f>'[24]FORMATO FINANCIERO'!J9-'[24]FORMATO FINANCIERO'!H9</f>
        <v>-25000000</v>
      </c>
      <c r="K9" s="44" t="s">
        <v>141</v>
      </c>
      <c r="L9" s="45">
        <v>80</v>
      </c>
      <c r="M9" s="46">
        <v>0.8</v>
      </c>
      <c r="N9" s="41"/>
      <c r="O9" s="46">
        <v>0.7</v>
      </c>
      <c r="P9" s="47">
        <v>0.8</v>
      </c>
      <c r="Q9" s="10"/>
      <c r="R9" s="16"/>
      <c r="U9" s="17"/>
      <c r="V9" s="8"/>
    </row>
    <row r="10" spans="1:22" ht="120" x14ac:dyDescent="0.25">
      <c r="A10" s="10" t="s">
        <v>23</v>
      </c>
      <c r="B10" s="10" t="s">
        <v>142</v>
      </c>
      <c r="C10" s="10" t="s">
        <v>143</v>
      </c>
      <c r="D10" s="10">
        <v>212210000</v>
      </c>
      <c r="E10" s="10" t="s">
        <v>144</v>
      </c>
      <c r="F10" s="11" t="s">
        <v>145</v>
      </c>
      <c r="G10" s="10" t="s">
        <v>146</v>
      </c>
      <c r="H10" s="18" t="s">
        <v>147</v>
      </c>
      <c r="I10" s="48">
        <v>0</v>
      </c>
      <c r="J10" s="10"/>
      <c r="K10" s="44" t="s">
        <v>148</v>
      </c>
      <c r="L10" s="45">
        <v>50</v>
      </c>
      <c r="M10" s="46">
        <v>0.5</v>
      </c>
      <c r="N10" s="41"/>
      <c r="O10" s="46">
        <v>0.16</v>
      </c>
      <c r="P10" s="47">
        <v>0.3</v>
      </c>
      <c r="Q10" s="49" t="s">
        <v>149</v>
      </c>
      <c r="R10" s="16"/>
      <c r="U10" s="17"/>
    </row>
    <row r="11" spans="1:22" ht="120" x14ac:dyDescent="0.25">
      <c r="A11" s="10" t="s">
        <v>23</v>
      </c>
      <c r="B11" s="10" t="s">
        <v>142</v>
      </c>
      <c r="C11" s="10" t="s">
        <v>150</v>
      </c>
      <c r="D11" s="10">
        <v>212320000</v>
      </c>
      <c r="E11" s="10" t="s">
        <v>151</v>
      </c>
      <c r="F11" s="11" t="s">
        <v>152</v>
      </c>
      <c r="G11" s="10" t="s">
        <v>153</v>
      </c>
      <c r="H11" s="18" t="s">
        <v>154</v>
      </c>
      <c r="I11" s="48">
        <v>0</v>
      </c>
      <c r="J11" s="43">
        <f>'[24]FORMATO FINANCIERO'!J14-'[24]FORMATO FINANCIERO'!H14</f>
        <v>0</v>
      </c>
      <c r="K11" s="44" t="s">
        <v>155</v>
      </c>
      <c r="L11" s="45">
        <v>1</v>
      </c>
      <c r="M11" s="46">
        <v>1</v>
      </c>
      <c r="N11" s="41"/>
      <c r="O11" s="46">
        <v>0.5</v>
      </c>
      <c r="P11" s="47">
        <v>1</v>
      </c>
      <c r="Q11" s="10"/>
      <c r="R11" s="16"/>
      <c r="U11" s="17"/>
    </row>
    <row r="12" spans="1:22" ht="105" x14ac:dyDescent="0.25">
      <c r="A12" s="10" t="s">
        <v>156</v>
      </c>
      <c r="B12" s="10" t="s">
        <v>157</v>
      </c>
      <c r="C12" s="10" t="s">
        <v>158</v>
      </c>
      <c r="D12" s="10">
        <v>223110000</v>
      </c>
      <c r="E12" s="10" t="s">
        <v>159</v>
      </c>
      <c r="F12" s="11" t="s">
        <v>160</v>
      </c>
      <c r="G12" s="50" t="s">
        <v>161</v>
      </c>
      <c r="H12" s="18" t="s">
        <v>162</v>
      </c>
      <c r="I12" s="51">
        <v>2608563011</v>
      </c>
      <c r="J12" s="43">
        <f>'[24]FORMATO FINANCIERO'!J15-'[24]FORMATO FINANCIERO'!H15</f>
        <v>1150339056</v>
      </c>
      <c r="K12" s="10" t="s">
        <v>163</v>
      </c>
      <c r="L12" s="45">
        <v>1400</v>
      </c>
      <c r="M12" s="45">
        <v>1400</v>
      </c>
      <c r="N12" s="41"/>
      <c r="O12" s="45">
        <v>1121</v>
      </c>
      <c r="P12" s="52">
        <v>2312</v>
      </c>
      <c r="Q12" s="10"/>
      <c r="R12" s="16"/>
      <c r="U12" s="17"/>
    </row>
    <row r="13" spans="1:22" ht="60" x14ac:dyDescent="0.25">
      <c r="A13" s="10" t="s">
        <v>156</v>
      </c>
      <c r="B13" s="10" t="s">
        <v>157</v>
      </c>
      <c r="C13" s="10" t="s">
        <v>158</v>
      </c>
      <c r="D13" s="10">
        <v>223120000</v>
      </c>
      <c r="E13" s="10" t="s">
        <v>164</v>
      </c>
      <c r="F13" s="11" t="s">
        <v>165</v>
      </c>
      <c r="G13" s="50" t="s">
        <v>166</v>
      </c>
      <c r="H13" s="18" t="s">
        <v>167</v>
      </c>
      <c r="I13" s="51">
        <v>3349165491</v>
      </c>
      <c r="J13" s="43">
        <f>'[24]FORMATO FINANCIERO'!J18-'[24]FORMATO FINANCIERO'!H18</f>
        <v>1724882823</v>
      </c>
      <c r="K13" s="10" t="s">
        <v>168</v>
      </c>
      <c r="L13" s="45">
        <v>17</v>
      </c>
      <c r="M13" s="45">
        <v>21</v>
      </c>
      <c r="N13" s="41"/>
      <c r="O13" s="45">
        <v>5</v>
      </c>
      <c r="P13" s="52">
        <v>22</v>
      </c>
      <c r="Q13" s="10"/>
      <c r="R13" s="16"/>
      <c r="U13" s="17"/>
    </row>
    <row r="14" spans="1:22" ht="90" x14ac:dyDescent="0.25">
      <c r="A14" s="10" t="s">
        <v>156</v>
      </c>
      <c r="B14" s="10" t="s">
        <v>157</v>
      </c>
      <c r="C14" s="10" t="s">
        <v>158</v>
      </c>
      <c r="D14" s="10">
        <v>223130000</v>
      </c>
      <c r="E14" s="10" t="s">
        <v>169</v>
      </c>
      <c r="F14" s="11" t="s">
        <v>170</v>
      </c>
      <c r="G14" s="10" t="s">
        <v>171</v>
      </c>
      <c r="H14" s="18" t="s">
        <v>172</v>
      </c>
      <c r="I14" s="51">
        <v>715002928</v>
      </c>
      <c r="J14" s="43">
        <f>'[24]FORMATO FINANCIERO'!J21-'[24]FORMATO FINANCIERO'!H21</f>
        <v>716681302</v>
      </c>
      <c r="K14" s="10" t="s">
        <v>173</v>
      </c>
      <c r="L14" s="45">
        <v>2</v>
      </c>
      <c r="M14" s="45">
        <v>2</v>
      </c>
      <c r="N14" s="41"/>
      <c r="O14" s="45">
        <v>2</v>
      </c>
      <c r="P14" s="52">
        <v>2</v>
      </c>
      <c r="Q14" s="10"/>
      <c r="R14" s="16"/>
      <c r="U14" s="17"/>
    </row>
    <row r="15" spans="1:22" ht="120" x14ac:dyDescent="0.25">
      <c r="A15" s="10" t="s">
        <v>156</v>
      </c>
      <c r="B15" s="10" t="s">
        <v>157</v>
      </c>
      <c r="C15" s="10" t="s">
        <v>174</v>
      </c>
      <c r="D15" s="10">
        <v>223210000</v>
      </c>
      <c r="E15" s="10" t="s">
        <v>175</v>
      </c>
      <c r="F15" s="11" t="s">
        <v>176</v>
      </c>
      <c r="G15" s="10" t="s">
        <v>177</v>
      </c>
      <c r="H15" s="18" t="s">
        <v>178</v>
      </c>
      <c r="I15" s="51">
        <v>260350930</v>
      </c>
      <c r="J15" s="43">
        <f>'[24]FORMATO FINANCIERO'!J22-'[24]FORMATO FINANCIERO'!H22</f>
        <v>260350930</v>
      </c>
      <c r="K15" s="10" t="s">
        <v>179</v>
      </c>
      <c r="L15" s="45">
        <v>1</v>
      </c>
      <c r="M15" s="45">
        <v>1</v>
      </c>
      <c r="N15" s="41"/>
      <c r="O15" s="45">
        <v>1</v>
      </c>
      <c r="P15" s="52">
        <v>1</v>
      </c>
      <c r="Q15" s="10"/>
      <c r="R15" s="16"/>
      <c r="U15" s="17"/>
    </row>
    <row r="16" spans="1:22" ht="75" x14ac:dyDescent="0.25">
      <c r="A16" s="10" t="s">
        <v>156</v>
      </c>
      <c r="B16" s="10" t="s">
        <v>157</v>
      </c>
      <c r="C16" s="10" t="s">
        <v>174</v>
      </c>
      <c r="D16" s="10">
        <v>223220000</v>
      </c>
      <c r="E16" s="10" t="s">
        <v>180</v>
      </c>
      <c r="F16" s="11" t="s">
        <v>181</v>
      </c>
      <c r="G16" s="10" t="s">
        <v>182</v>
      </c>
      <c r="H16" s="18" t="s">
        <v>183</v>
      </c>
      <c r="I16" s="51">
        <v>354148655</v>
      </c>
      <c r="J16" s="43">
        <f>'[24]FORMATO FINANCIERO'!J24-'[24]FORMATO FINANCIERO'!H24</f>
        <v>474148655</v>
      </c>
      <c r="K16" s="18" t="s">
        <v>184</v>
      </c>
      <c r="L16" s="45">
        <v>2</v>
      </c>
      <c r="M16" s="45">
        <v>13</v>
      </c>
      <c r="N16" s="41"/>
      <c r="O16" s="45">
        <v>0</v>
      </c>
      <c r="P16" s="52">
        <v>16</v>
      </c>
      <c r="Q16" s="10"/>
      <c r="R16" s="16"/>
      <c r="U16" s="17"/>
    </row>
    <row r="17" spans="1:21" ht="90" x14ac:dyDescent="0.25">
      <c r="A17" s="10" t="s">
        <v>156</v>
      </c>
      <c r="B17" s="10" t="s">
        <v>157</v>
      </c>
      <c r="C17" s="10" t="s">
        <v>174</v>
      </c>
      <c r="D17" s="10">
        <v>223220000</v>
      </c>
      <c r="E17" s="10" t="s">
        <v>180</v>
      </c>
      <c r="F17" s="11" t="s">
        <v>185</v>
      </c>
      <c r="G17" s="10" t="s">
        <v>186</v>
      </c>
      <c r="H17" s="18" t="s">
        <v>187</v>
      </c>
      <c r="I17" s="53" t="s">
        <v>188</v>
      </c>
      <c r="J17" s="43">
        <f>'[24]FORMATO FINANCIERO'!J25-'[24]FORMATO FINANCIERO'!H25</f>
        <v>30000000</v>
      </c>
      <c r="K17" s="18"/>
      <c r="L17" s="45">
        <v>0</v>
      </c>
      <c r="M17" s="45">
        <v>1</v>
      </c>
      <c r="N17" s="41"/>
      <c r="O17" s="45">
        <v>0</v>
      </c>
      <c r="P17" s="52">
        <v>1</v>
      </c>
      <c r="Q17" s="10" t="s">
        <v>189</v>
      </c>
      <c r="R17" s="16"/>
      <c r="U17" s="17"/>
    </row>
    <row r="18" spans="1:21" ht="90" x14ac:dyDescent="0.25">
      <c r="A18" s="10" t="s">
        <v>156</v>
      </c>
      <c r="B18" s="10" t="s">
        <v>157</v>
      </c>
      <c r="C18" s="10" t="s">
        <v>174</v>
      </c>
      <c r="D18" s="10">
        <v>223220000</v>
      </c>
      <c r="E18" s="10" t="s">
        <v>180</v>
      </c>
      <c r="F18" s="11" t="s">
        <v>190</v>
      </c>
      <c r="G18" s="10" t="s">
        <v>191</v>
      </c>
      <c r="H18" s="18" t="s">
        <v>192</v>
      </c>
      <c r="I18" s="51">
        <v>170000000</v>
      </c>
      <c r="J18" s="43">
        <f>'[24]FORMATO FINANCIERO'!J26-'[24]FORMATO FINANCIERO'!H26</f>
        <v>150706391</v>
      </c>
      <c r="K18" s="18" t="s">
        <v>184</v>
      </c>
      <c r="L18" s="45">
        <v>0</v>
      </c>
      <c r="M18" s="45">
        <v>2</v>
      </c>
      <c r="N18" s="41"/>
      <c r="O18" s="45">
        <v>0</v>
      </c>
      <c r="P18" s="52"/>
      <c r="Q18" s="10" t="s">
        <v>189</v>
      </c>
      <c r="R18" s="16"/>
      <c r="U18" s="17"/>
    </row>
    <row r="19" spans="1:21" ht="75" x14ac:dyDescent="0.25">
      <c r="A19" s="10" t="s">
        <v>156</v>
      </c>
      <c r="B19" s="10" t="s">
        <v>157</v>
      </c>
      <c r="C19" s="10" t="s">
        <v>193</v>
      </c>
      <c r="D19" s="10">
        <v>223310000</v>
      </c>
      <c r="E19" s="10" t="s">
        <v>194</v>
      </c>
      <c r="F19" s="11" t="s">
        <v>195</v>
      </c>
      <c r="G19" s="10" t="s">
        <v>196</v>
      </c>
      <c r="H19" s="10" t="s">
        <v>197</v>
      </c>
      <c r="I19" s="51">
        <v>-77075750</v>
      </c>
      <c r="J19" s="43">
        <f>'[24]FORMATO FINANCIERO'!J27-'[24]FORMATO FINANCIERO'!H27</f>
        <v>-77075750</v>
      </c>
      <c r="K19" s="10" t="s">
        <v>198</v>
      </c>
      <c r="L19" s="45">
        <v>150</v>
      </c>
      <c r="M19" s="45">
        <v>150</v>
      </c>
      <c r="N19" s="41"/>
      <c r="O19" s="45">
        <v>68</v>
      </c>
      <c r="P19" s="45">
        <v>264</v>
      </c>
      <c r="Q19" s="10"/>
      <c r="R19" s="16"/>
      <c r="U19" s="17"/>
    </row>
    <row r="20" spans="1:21" ht="90" x14ac:dyDescent="0.25">
      <c r="A20" s="10" t="s">
        <v>156</v>
      </c>
      <c r="B20" s="10" t="s">
        <v>157</v>
      </c>
      <c r="C20" s="10" t="s">
        <v>199</v>
      </c>
      <c r="D20" s="10">
        <v>223410000</v>
      </c>
      <c r="E20" s="10" t="s">
        <v>200</v>
      </c>
      <c r="F20" s="11" t="s">
        <v>201</v>
      </c>
      <c r="G20" s="10" t="s">
        <v>202</v>
      </c>
      <c r="H20" s="18" t="s">
        <v>203</v>
      </c>
      <c r="I20" s="54" t="s">
        <v>188</v>
      </c>
      <c r="J20" s="43">
        <f>'[24]FORMATO FINANCIERO'!J30-'[24]FORMATO FINANCIERO'!H30</f>
        <v>0</v>
      </c>
      <c r="K20" s="18" t="s">
        <v>204</v>
      </c>
      <c r="L20" s="45">
        <v>1</v>
      </c>
      <c r="M20" s="45">
        <v>1</v>
      </c>
      <c r="N20" s="41"/>
      <c r="O20" s="45">
        <v>3</v>
      </c>
      <c r="P20" s="45">
        <v>1</v>
      </c>
      <c r="Q20" s="10" t="s">
        <v>205</v>
      </c>
      <c r="R20" s="16"/>
      <c r="U20" s="17"/>
    </row>
    <row r="21" spans="1:21" ht="90" x14ac:dyDescent="0.25">
      <c r="A21" s="10" t="s">
        <v>156</v>
      </c>
      <c r="B21" s="10" t="s">
        <v>157</v>
      </c>
      <c r="C21" s="10" t="s">
        <v>199</v>
      </c>
      <c r="D21" s="10">
        <v>223410000</v>
      </c>
      <c r="E21" s="10" t="s">
        <v>200</v>
      </c>
      <c r="F21" s="11" t="s">
        <v>206</v>
      </c>
      <c r="G21" s="10" t="s">
        <v>207</v>
      </c>
      <c r="H21" s="55" t="s">
        <v>208</v>
      </c>
      <c r="I21" s="56">
        <v>3695521970</v>
      </c>
      <c r="J21" s="43">
        <f>'[24]FORMATO FINANCIERO'!J31-'[24]FORMATO FINANCIERO'!H31</f>
        <v>3696971346.8600001</v>
      </c>
      <c r="K21" s="18" t="s">
        <v>204</v>
      </c>
      <c r="L21" s="45">
        <v>7</v>
      </c>
      <c r="M21" s="45">
        <v>20</v>
      </c>
      <c r="N21" s="45"/>
      <c r="O21" s="45">
        <v>3</v>
      </c>
      <c r="P21" s="45">
        <v>12</v>
      </c>
      <c r="Q21" s="10"/>
      <c r="R21" s="16"/>
      <c r="U21" s="17"/>
    </row>
    <row r="22" spans="1:21" ht="60" x14ac:dyDescent="0.25">
      <c r="A22" s="57" t="s">
        <v>209</v>
      </c>
      <c r="B22" s="58" t="s">
        <v>210</v>
      </c>
      <c r="C22" s="59" t="s">
        <v>174</v>
      </c>
      <c r="D22" s="60">
        <v>223210000</v>
      </c>
      <c r="E22" s="57" t="s">
        <v>175</v>
      </c>
      <c r="F22" s="61">
        <v>2013050000001</v>
      </c>
      <c r="G22" s="62" t="s">
        <v>211</v>
      </c>
      <c r="H22" s="57" t="s">
        <v>212</v>
      </c>
      <c r="I22" s="51">
        <v>527275405</v>
      </c>
      <c r="J22" s="43">
        <f>'[24]FORMATO FINANCIERO'!J33-'[24]FORMATO FINANCIERO'!H33</f>
        <v>535551266</v>
      </c>
      <c r="K22" s="63" t="s">
        <v>179</v>
      </c>
      <c r="L22" s="45">
        <v>1</v>
      </c>
      <c r="M22" s="45">
        <v>1</v>
      </c>
      <c r="N22" s="45"/>
      <c r="O22" s="64">
        <v>1</v>
      </c>
      <c r="P22" s="45">
        <v>1</v>
      </c>
      <c r="Q22" s="65"/>
      <c r="R22" s="16"/>
      <c r="U22" s="17"/>
    </row>
    <row r="23" spans="1:21" x14ac:dyDescent="0.25">
      <c r="H23" s="66"/>
      <c r="I23" s="67"/>
      <c r="J23" s="66"/>
    </row>
    <row r="24" spans="1:21" x14ac:dyDescent="0.25">
      <c r="H24" s="66"/>
      <c r="I24" s="66"/>
      <c r="J24" s="66"/>
    </row>
  </sheetData>
  <sheetProtection algorithmName="SHA-512" hashValue="wAVE5lORyEfHyBPcdGf6/AtoZMHIEJSYAuwmYqw7+FxQ+gTIqBLjfZhf2XDDNBM8riC64msCC0PmxrS0Rbw9Pg==" saltValue="+JVtlcyEbHlvCxxZvn/JKw=="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paperSize="14" scale="90" orientation="landscape"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1"/>
  <sheetViews>
    <sheetView topLeftCell="R4" zoomScale="110" zoomScaleNormal="110" workbookViewId="0">
      <pane ySplit="5" topLeftCell="A9" activePane="bottomLeft" state="frozen"/>
      <selection activeCell="A4" sqref="A4"/>
      <selection pane="bottomLeft" activeCell="Z9" sqref="Z9"/>
    </sheetView>
  </sheetViews>
  <sheetFormatPr baseColWidth="10" defaultRowHeight="15" x14ac:dyDescent="0.25"/>
  <cols>
    <col min="1" max="1" width="13.7109375" style="1" customWidth="1"/>
    <col min="2" max="2" width="15.140625" style="1" customWidth="1"/>
    <col min="3" max="3" width="14.140625" style="1" customWidth="1"/>
    <col min="4" max="4" width="10.85546875" style="1" customWidth="1"/>
    <col min="5" max="5" width="16.5703125" style="1" customWidth="1"/>
    <col min="6" max="6" width="9.5703125" style="1" customWidth="1"/>
    <col min="7" max="7" width="25.85546875" style="1" customWidth="1"/>
    <col min="8" max="8" width="14.140625" style="1" customWidth="1"/>
    <col min="9" max="9" width="14" style="1" customWidth="1"/>
    <col min="10" max="10" width="13.7109375" style="1" customWidth="1"/>
    <col min="11" max="11" width="12.85546875" style="1" customWidth="1"/>
    <col min="12" max="12" width="12.7109375" style="1" customWidth="1"/>
    <col min="13" max="13" width="12.140625" style="1" customWidth="1"/>
    <col min="14" max="14" width="13" style="1" customWidth="1"/>
    <col min="15" max="16" width="13.140625" style="1" customWidth="1"/>
    <col min="17" max="17" width="13.7109375" style="1" customWidth="1"/>
    <col min="18" max="18" width="10.5703125" style="1" customWidth="1"/>
    <col min="19" max="19" width="11.85546875" style="1" customWidth="1"/>
    <col min="20" max="20" width="22.140625" style="1" customWidth="1"/>
    <col min="21" max="21" width="10.28515625" style="1" customWidth="1"/>
    <col min="22" max="22" width="11.42578125" style="1"/>
    <col min="23" max="23" width="12.7109375" style="1" customWidth="1"/>
    <col min="24" max="24" width="13.140625" style="1" customWidth="1"/>
    <col min="25" max="25" width="11.7109375" style="23" customWidth="1"/>
    <col min="26" max="29" width="11.42578125" style="1"/>
    <col min="30" max="30" width="51.5703125" style="23"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05"/>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5</v>
      </c>
      <c r="D5" s="24"/>
      <c r="E5" s="24"/>
      <c r="F5" s="24"/>
      <c r="G5" s="24"/>
      <c r="H5" s="24"/>
      <c r="I5" s="25"/>
      <c r="J5" s="25"/>
      <c r="K5" s="26"/>
      <c r="L5" s="25"/>
      <c r="M5" s="25"/>
      <c r="N5" s="25"/>
      <c r="O5" s="25"/>
      <c r="P5" s="25"/>
      <c r="Q5" s="27"/>
      <c r="R5" s="27"/>
      <c r="S5" s="27"/>
      <c r="T5" s="27"/>
      <c r="U5" s="27"/>
      <c r="V5" s="27"/>
      <c r="W5" s="27"/>
      <c r="X5" s="27"/>
      <c r="Y5" s="28"/>
      <c r="Z5" s="27"/>
      <c r="AA5" s="27"/>
      <c r="AB5" s="27"/>
      <c r="AC5" s="27"/>
      <c r="AD5" s="28"/>
    </row>
    <row r="7" spans="1:42" s="29" customFormat="1" ht="24" customHeight="1" x14ac:dyDescent="0.2">
      <c r="A7" s="603" t="s">
        <v>6</v>
      </c>
      <c r="B7" s="603" t="s">
        <v>7</v>
      </c>
      <c r="C7" s="603" t="s">
        <v>8</v>
      </c>
      <c r="D7" s="603" t="s">
        <v>9</v>
      </c>
      <c r="E7" s="603" t="s">
        <v>11</v>
      </c>
      <c r="F7" s="603" t="s">
        <v>12</v>
      </c>
      <c r="G7" s="603" t="s">
        <v>13</v>
      </c>
      <c r="H7" s="603" t="s">
        <v>62</v>
      </c>
      <c r="I7" s="607" t="s">
        <v>63</v>
      </c>
      <c r="J7" s="607" t="s">
        <v>64</v>
      </c>
      <c r="K7" s="603" t="s">
        <v>65</v>
      </c>
      <c r="L7" s="607"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625" t="s">
        <v>22</v>
      </c>
      <c r="AE7" s="614" t="s">
        <v>75</v>
      </c>
      <c r="AF7" s="615"/>
      <c r="AG7" s="615"/>
      <c r="AH7" s="615"/>
      <c r="AI7" s="615"/>
      <c r="AJ7" s="615"/>
      <c r="AK7" s="615"/>
      <c r="AL7" s="615"/>
      <c r="AM7" s="615"/>
      <c r="AN7" s="615"/>
      <c r="AO7" s="615"/>
      <c r="AP7" s="616"/>
    </row>
    <row r="8" spans="1:42" ht="36" customHeight="1" x14ac:dyDescent="0.25">
      <c r="A8" s="604"/>
      <c r="B8" s="604"/>
      <c r="C8" s="604"/>
      <c r="D8" s="604"/>
      <c r="E8" s="604"/>
      <c r="F8" s="604"/>
      <c r="G8" s="604"/>
      <c r="H8" s="604"/>
      <c r="I8" s="608"/>
      <c r="J8" s="608"/>
      <c r="K8" s="604"/>
      <c r="L8" s="608"/>
      <c r="M8" s="608"/>
      <c r="N8" s="604"/>
      <c r="O8" s="608"/>
      <c r="P8" s="608"/>
      <c r="Q8" s="604"/>
      <c r="R8" s="604"/>
      <c r="S8" s="609"/>
      <c r="T8" s="30" t="s">
        <v>76</v>
      </c>
      <c r="U8" s="30" t="s">
        <v>77</v>
      </c>
      <c r="V8" s="30" t="s">
        <v>78</v>
      </c>
      <c r="W8" s="31" t="s">
        <v>79</v>
      </c>
      <c r="X8" s="31" t="s">
        <v>80</v>
      </c>
      <c r="Y8" s="31" t="s">
        <v>81</v>
      </c>
      <c r="Z8" s="31" t="s">
        <v>82</v>
      </c>
      <c r="AA8" s="32" t="s">
        <v>83</v>
      </c>
      <c r="AB8" s="31" t="s">
        <v>84</v>
      </c>
      <c r="AC8" s="31" t="s">
        <v>85</v>
      </c>
      <c r="AD8" s="626"/>
      <c r="AE8" s="33" t="s">
        <v>86</v>
      </c>
      <c r="AF8" s="33" t="s">
        <v>87</v>
      </c>
      <c r="AG8" s="33" t="s">
        <v>88</v>
      </c>
      <c r="AH8" s="33" t="s">
        <v>89</v>
      </c>
      <c r="AI8" s="33" t="s">
        <v>90</v>
      </c>
      <c r="AJ8" s="33" t="s">
        <v>91</v>
      </c>
      <c r="AK8" s="33" t="s">
        <v>92</v>
      </c>
      <c r="AL8" s="33" t="s">
        <v>93</v>
      </c>
      <c r="AM8" s="33" t="s">
        <v>94</v>
      </c>
      <c r="AN8" s="33" t="s">
        <v>95</v>
      </c>
      <c r="AO8" s="33" t="s">
        <v>96</v>
      </c>
      <c r="AP8" s="33" t="s">
        <v>97</v>
      </c>
    </row>
    <row r="9" spans="1:42" ht="180.75" customHeight="1" x14ac:dyDescent="0.25">
      <c r="A9" s="34" t="s">
        <v>23</v>
      </c>
      <c r="B9" s="34" t="s">
        <v>24</v>
      </c>
      <c r="C9" s="34" t="s">
        <v>25</v>
      </c>
      <c r="D9" s="34">
        <v>215110000</v>
      </c>
      <c r="E9" s="35">
        <v>2012050000321</v>
      </c>
      <c r="F9" s="34" t="s">
        <v>27</v>
      </c>
      <c r="G9" s="34" t="s">
        <v>28</v>
      </c>
      <c r="H9" s="36">
        <v>250000000</v>
      </c>
      <c r="I9" s="36">
        <v>250000000</v>
      </c>
      <c r="J9" s="36">
        <v>250000000</v>
      </c>
      <c r="K9" s="36">
        <v>0</v>
      </c>
      <c r="L9" s="36">
        <v>0</v>
      </c>
      <c r="M9" s="36">
        <v>0</v>
      </c>
      <c r="N9" s="36">
        <f>H9+K9</f>
        <v>250000000</v>
      </c>
      <c r="O9" s="36">
        <f>I9+L9</f>
        <v>250000000</v>
      </c>
      <c r="P9" s="36">
        <f>J9+M9</f>
        <v>250000000</v>
      </c>
      <c r="Q9" s="36">
        <v>250000000</v>
      </c>
      <c r="R9" s="36">
        <v>0</v>
      </c>
      <c r="S9" s="36">
        <f>Q9+R9</f>
        <v>250000000</v>
      </c>
      <c r="T9" s="37" t="s">
        <v>98</v>
      </c>
      <c r="U9" s="37" t="s">
        <v>99</v>
      </c>
      <c r="V9" s="37">
        <v>3</v>
      </c>
      <c r="W9" s="34">
        <v>3</v>
      </c>
      <c r="X9" s="34"/>
      <c r="Y9" s="38">
        <v>1</v>
      </c>
      <c r="Z9" s="34">
        <v>2</v>
      </c>
      <c r="AA9" s="34" t="s">
        <v>100</v>
      </c>
      <c r="AB9" s="34">
        <v>90</v>
      </c>
      <c r="AC9" s="34">
        <v>260</v>
      </c>
      <c r="AD9" s="34" t="s">
        <v>101</v>
      </c>
      <c r="AE9" s="10">
        <v>0</v>
      </c>
      <c r="AF9" s="10" t="s">
        <v>102</v>
      </c>
      <c r="AG9" s="10" t="s">
        <v>102</v>
      </c>
      <c r="AH9" s="10" t="s">
        <v>102</v>
      </c>
      <c r="AI9" s="10" t="s">
        <v>102</v>
      </c>
      <c r="AJ9" s="10" t="s">
        <v>102</v>
      </c>
      <c r="AK9" s="10" t="s">
        <v>102</v>
      </c>
      <c r="AL9" s="10" t="s">
        <v>102</v>
      </c>
      <c r="AM9" s="10" t="s">
        <v>102</v>
      </c>
      <c r="AN9" s="10" t="s">
        <v>102</v>
      </c>
      <c r="AO9" s="10" t="s">
        <v>102</v>
      </c>
      <c r="AP9" s="10" t="s">
        <v>102</v>
      </c>
    </row>
    <row r="10" spans="1:42" ht="75.75" customHeight="1" x14ac:dyDescent="0.25">
      <c r="A10" s="34"/>
      <c r="B10" s="34"/>
      <c r="C10" s="34"/>
      <c r="D10" s="34"/>
      <c r="E10" s="34"/>
      <c r="F10" s="34"/>
      <c r="G10" s="34"/>
      <c r="H10" s="36"/>
      <c r="I10" s="39"/>
      <c r="J10" s="39"/>
      <c r="K10" s="36"/>
      <c r="L10" s="36"/>
      <c r="M10" s="39"/>
      <c r="N10" s="36">
        <f t="shared" ref="N10:P20" si="0">H10+K10</f>
        <v>0</v>
      </c>
      <c r="O10" s="36">
        <f t="shared" si="0"/>
        <v>0</v>
      </c>
      <c r="P10" s="36">
        <f t="shared" si="0"/>
        <v>0</v>
      </c>
      <c r="Q10" s="39"/>
      <c r="R10" s="39"/>
      <c r="S10" s="36">
        <f t="shared" ref="S10:S20" si="1">Q10+R10</f>
        <v>0</v>
      </c>
      <c r="T10" s="37" t="s">
        <v>103</v>
      </c>
      <c r="U10" s="37" t="s">
        <v>104</v>
      </c>
      <c r="V10" s="37">
        <v>1</v>
      </c>
      <c r="W10" s="10">
        <v>0</v>
      </c>
      <c r="X10" s="10"/>
      <c r="Y10" s="34">
        <v>0</v>
      </c>
      <c r="Z10" s="10">
        <v>0</v>
      </c>
      <c r="AA10" s="34" t="s">
        <v>100</v>
      </c>
      <c r="AB10" s="10">
        <v>90</v>
      </c>
      <c r="AC10" s="10">
        <v>260</v>
      </c>
      <c r="AD10" s="34" t="s">
        <v>105</v>
      </c>
      <c r="AE10" s="10">
        <v>0</v>
      </c>
      <c r="AF10" s="10" t="s">
        <v>102</v>
      </c>
      <c r="AG10" s="10" t="s">
        <v>102</v>
      </c>
      <c r="AH10" s="10" t="s">
        <v>102</v>
      </c>
      <c r="AI10" s="10" t="s">
        <v>102</v>
      </c>
      <c r="AJ10" s="10" t="s">
        <v>102</v>
      </c>
      <c r="AK10" s="10" t="s">
        <v>102</v>
      </c>
      <c r="AL10" s="10" t="s">
        <v>102</v>
      </c>
      <c r="AM10" s="10" t="s">
        <v>102</v>
      </c>
      <c r="AN10" s="10" t="s">
        <v>102</v>
      </c>
      <c r="AO10" s="10" t="s">
        <v>102</v>
      </c>
      <c r="AP10" s="10" t="s">
        <v>102</v>
      </c>
    </row>
    <row r="11" spans="1:42" ht="95.25" customHeight="1" x14ac:dyDescent="0.25">
      <c r="A11" s="34" t="s">
        <v>23</v>
      </c>
      <c r="B11" s="34" t="s">
        <v>24</v>
      </c>
      <c r="C11" s="34" t="s">
        <v>25</v>
      </c>
      <c r="D11" s="34">
        <v>215120000</v>
      </c>
      <c r="E11" s="35">
        <v>2012050000324</v>
      </c>
      <c r="F11" s="34" t="s">
        <v>34</v>
      </c>
      <c r="G11" s="34" t="s">
        <v>35</v>
      </c>
      <c r="H11" s="36">
        <v>250000000</v>
      </c>
      <c r="I11" s="36">
        <v>917115258</v>
      </c>
      <c r="J11" s="39">
        <v>686947458</v>
      </c>
      <c r="K11" s="36">
        <v>1197468400</v>
      </c>
      <c r="L11" s="36">
        <v>0</v>
      </c>
      <c r="M11" s="39">
        <v>0</v>
      </c>
      <c r="N11" s="36">
        <f t="shared" si="0"/>
        <v>1447468400</v>
      </c>
      <c r="O11" s="36">
        <f t="shared" si="0"/>
        <v>917115258</v>
      </c>
      <c r="P11" s="36">
        <f t="shared" si="0"/>
        <v>686947458</v>
      </c>
      <c r="Q11" s="36">
        <v>686947458</v>
      </c>
      <c r="R11" s="39">
        <v>0</v>
      </c>
      <c r="S11" s="36">
        <f t="shared" si="1"/>
        <v>686947458</v>
      </c>
      <c r="T11" s="37" t="s">
        <v>106</v>
      </c>
      <c r="U11" s="37" t="s">
        <v>107</v>
      </c>
      <c r="V11" s="37">
        <v>8</v>
      </c>
      <c r="W11" s="10">
        <v>11</v>
      </c>
      <c r="X11" s="10"/>
      <c r="Y11" s="34">
        <v>11</v>
      </c>
      <c r="Z11" s="10">
        <v>11</v>
      </c>
      <c r="AA11" s="34">
        <v>360</v>
      </c>
      <c r="AB11" s="10">
        <v>180</v>
      </c>
      <c r="AC11" s="10">
        <v>360</v>
      </c>
      <c r="AD11" s="34" t="s">
        <v>108</v>
      </c>
      <c r="AE11" s="10" t="s">
        <v>102</v>
      </c>
      <c r="AF11" s="10" t="s">
        <v>102</v>
      </c>
      <c r="AG11" s="10" t="s">
        <v>102</v>
      </c>
      <c r="AH11" s="10" t="s">
        <v>102</v>
      </c>
      <c r="AI11" s="10" t="s">
        <v>102</v>
      </c>
      <c r="AJ11" s="10" t="s">
        <v>102</v>
      </c>
      <c r="AK11" s="10" t="s">
        <v>102</v>
      </c>
      <c r="AL11" s="10" t="s">
        <v>102</v>
      </c>
      <c r="AM11" s="10" t="s">
        <v>102</v>
      </c>
      <c r="AN11" s="10" t="s">
        <v>102</v>
      </c>
      <c r="AO11" s="10" t="s">
        <v>102</v>
      </c>
      <c r="AP11" s="10" t="s">
        <v>102</v>
      </c>
    </row>
    <row r="12" spans="1:42" ht="80.25" customHeight="1" x14ac:dyDescent="0.25">
      <c r="A12" s="34"/>
      <c r="B12" s="34"/>
      <c r="C12" s="34"/>
      <c r="D12" s="34"/>
      <c r="E12" s="34"/>
      <c r="F12" s="34"/>
      <c r="G12" s="34"/>
      <c r="H12" s="36"/>
      <c r="I12" s="39"/>
      <c r="J12" s="39"/>
      <c r="K12" s="36"/>
      <c r="L12" s="36"/>
      <c r="M12" s="39"/>
      <c r="N12" s="36">
        <f t="shared" si="0"/>
        <v>0</v>
      </c>
      <c r="O12" s="36">
        <f t="shared" si="0"/>
        <v>0</v>
      </c>
      <c r="P12" s="36">
        <f t="shared" si="0"/>
        <v>0</v>
      </c>
      <c r="Q12" s="39"/>
      <c r="R12" s="39"/>
      <c r="S12" s="36">
        <f t="shared" si="1"/>
        <v>0</v>
      </c>
      <c r="T12" s="37" t="s">
        <v>109</v>
      </c>
      <c r="U12" s="37">
        <v>0</v>
      </c>
      <c r="V12" s="37">
        <v>0</v>
      </c>
      <c r="W12" s="10">
        <v>6000</v>
      </c>
      <c r="X12" s="10"/>
      <c r="Y12" s="34" t="s">
        <v>110</v>
      </c>
      <c r="Z12" s="34" t="s">
        <v>111</v>
      </c>
      <c r="AA12" s="34" t="s">
        <v>100</v>
      </c>
      <c r="AB12" s="10">
        <v>180</v>
      </c>
      <c r="AC12" s="10">
        <v>360</v>
      </c>
      <c r="AD12" s="34" t="s">
        <v>112</v>
      </c>
      <c r="AE12" s="10">
        <v>0</v>
      </c>
      <c r="AF12" s="10">
        <v>0</v>
      </c>
      <c r="AG12" s="10">
        <v>0</v>
      </c>
      <c r="AH12" s="10">
        <v>0</v>
      </c>
      <c r="AI12" s="10">
        <v>0</v>
      </c>
      <c r="AJ12" s="10">
        <v>0</v>
      </c>
      <c r="AK12" s="10">
        <v>0</v>
      </c>
      <c r="AL12" s="10">
        <v>0</v>
      </c>
      <c r="AM12" s="10">
        <v>0</v>
      </c>
      <c r="AN12" s="10">
        <v>0</v>
      </c>
      <c r="AO12" s="10">
        <v>0</v>
      </c>
      <c r="AP12" s="10">
        <v>0</v>
      </c>
    </row>
    <row r="13" spans="1:42" ht="54" customHeight="1" x14ac:dyDescent="0.25">
      <c r="A13" s="34" t="s">
        <v>23</v>
      </c>
      <c r="B13" s="34" t="s">
        <v>24</v>
      </c>
      <c r="C13" s="34" t="s">
        <v>38</v>
      </c>
      <c r="D13" s="34">
        <v>215220000</v>
      </c>
      <c r="E13" s="35">
        <v>2012050000293</v>
      </c>
      <c r="F13" s="34" t="s">
        <v>43</v>
      </c>
      <c r="G13" s="34" t="s">
        <v>44</v>
      </c>
      <c r="H13" s="36">
        <v>5644409300</v>
      </c>
      <c r="I13" s="36">
        <v>7264633933</v>
      </c>
      <c r="J13" s="39">
        <v>12113435968</v>
      </c>
      <c r="K13" s="36">
        <v>1197468400</v>
      </c>
      <c r="L13" s="36">
        <v>0</v>
      </c>
      <c r="M13" s="39">
        <v>0</v>
      </c>
      <c r="N13" s="36">
        <f t="shared" si="0"/>
        <v>6841877700</v>
      </c>
      <c r="O13" s="36">
        <f t="shared" si="0"/>
        <v>7264633933</v>
      </c>
      <c r="P13" s="36">
        <f t="shared" si="0"/>
        <v>12113435968</v>
      </c>
      <c r="Q13" s="36">
        <v>12113435968</v>
      </c>
      <c r="R13" s="39">
        <v>0</v>
      </c>
      <c r="S13" s="36">
        <f t="shared" si="1"/>
        <v>12113435968</v>
      </c>
      <c r="T13" s="37" t="s">
        <v>113</v>
      </c>
      <c r="U13" s="37" t="s">
        <v>114</v>
      </c>
      <c r="V13" s="37">
        <v>2</v>
      </c>
      <c r="W13" s="10">
        <v>3</v>
      </c>
      <c r="X13" s="10"/>
      <c r="Y13" s="34">
        <v>3</v>
      </c>
      <c r="Z13" s="10">
        <v>5</v>
      </c>
      <c r="AA13" s="34" t="s">
        <v>100</v>
      </c>
      <c r="AB13" s="10">
        <v>180</v>
      </c>
      <c r="AC13" s="10">
        <v>360</v>
      </c>
      <c r="AD13" s="34" t="s">
        <v>115</v>
      </c>
      <c r="AE13" s="10">
        <v>0</v>
      </c>
      <c r="AF13" s="10" t="s">
        <v>102</v>
      </c>
      <c r="AG13" s="10" t="s">
        <v>102</v>
      </c>
      <c r="AH13" s="10" t="s">
        <v>102</v>
      </c>
      <c r="AI13" s="10" t="s">
        <v>102</v>
      </c>
      <c r="AJ13" s="10" t="s">
        <v>102</v>
      </c>
      <c r="AK13" s="10" t="s">
        <v>102</v>
      </c>
      <c r="AL13" s="10" t="s">
        <v>102</v>
      </c>
      <c r="AM13" s="10" t="s">
        <v>102</v>
      </c>
      <c r="AN13" s="10" t="s">
        <v>102</v>
      </c>
      <c r="AO13" s="10" t="s">
        <v>102</v>
      </c>
      <c r="AP13" s="10" t="s">
        <v>102</v>
      </c>
    </row>
    <row r="14" spans="1:42" ht="70.5" customHeight="1" x14ac:dyDescent="0.25">
      <c r="A14" s="34"/>
      <c r="B14" s="34"/>
      <c r="C14" s="34"/>
      <c r="D14" s="34"/>
      <c r="E14" s="34"/>
      <c r="F14" s="34"/>
      <c r="G14" s="34"/>
      <c r="H14" s="36">
        <v>0</v>
      </c>
      <c r="I14" s="39"/>
      <c r="J14" s="39">
        <v>0</v>
      </c>
      <c r="K14" s="36"/>
      <c r="L14" s="36"/>
      <c r="M14" s="39">
        <v>0</v>
      </c>
      <c r="N14" s="36">
        <f t="shared" si="0"/>
        <v>0</v>
      </c>
      <c r="O14" s="36">
        <f t="shared" si="0"/>
        <v>0</v>
      </c>
      <c r="P14" s="36">
        <f t="shared" si="0"/>
        <v>0</v>
      </c>
      <c r="Q14" s="39">
        <v>0</v>
      </c>
      <c r="R14" s="39">
        <v>0</v>
      </c>
      <c r="S14" s="36">
        <f t="shared" si="1"/>
        <v>0</v>
      </c>
      <c r="T14" s="37" t="s">
        <v>116</v>
      </c>
      <c r="U14" s="37" t="s">
        <v>114</v>
      </c>
      <c r="V14" s="37">
        <v>3</v>
      </c>
      <c r="W14" s="10">
        <v>7</v>
      </c>
      <c r="X14" s="10"/>
      <c r="Y14" s="34">
        <v>7</v>
      </c>
      <c r="Z14" s="10">
        <v>15</v>
      </c>
      <c r="AA14" s="34" t="s">
        <v>100</v>
      </c>
      <c r="AB14" s="10">
        <v>180</v>
      </c>
      <c r="AC14" s="10">
        <v>360</v>
      </c>
      <c r="AD14" s="34" t="s">
        <v>117</v>
      </c>
      <c r="AE14" s="10">
        <v>0</v>
      </c>
      <c r="AF14" s="10" t="s">
        <v>102</v>
      </c>
      <c r="AG14" s="10" t="s">
        <v>102</v>
      </c>
      <c r="AH14" s="10" t="s">
        <v>102</v>
      </c>
      <c r="AI14" s="10" t="s">
        <v>102</v>
      </c>
      <c r="AJ14" s="10" t="s">
        <v>102</v>
      </c>
      <c r="AK14" s="10" t="s">
        <v>102</v>
      </c>
      <c r="AL14" s="10" t="s">
        <v>102</v>
      </c>
      <c r="AM14" s="10" t="s">
        <v>102</v>
      </c>
      <c r="AN14" s="10" t="s">
        <v>102</v>
      </c>
      <c r="AO14" s="10" t="s">
        <v>102</v>
      </c>
      <c r="AP14" s="10" t="s">
        <v>102</v>
      </c>
    </row>
    <row r="15" spans="1:42" ht="99" customHeight="1" x14ac:dyDescent="0.25">
      <c r="A15" s="34" t="s">
        <v>47</v>
      </c>
      <c r="B15" s="34" t="s">
        <v>48</v>
      </c>
      <c r="C15" s="34" t="s">
        <v>49</v>
      </c>
      <c r="D15" s="34">
        <v>242320000</v>
      </c>
      <c r="E15" s="35">
        <v>2012050000328</v>
      </c>
      <c r="F15" s="34" t="s">
        <v>51</v>
      </c>
      <c r="G15" s="34" t="s">
        <v>52</v>
      </c>
      <c r="H15" s="36">
        <v>136000000</v>
      </c>
      <c r="I15" s="36">
        <v>4915311108</v>
      </c>
      <c r="J15" s="39">
        <v>5957311108</v>
      </c>
      <c r="K15" s="36">
        <v>2555134105</v>
      </c>
      <c r="L15" s="36">
        <v>0</v>
      </c>
      <c r="M15" s="39">
        <v>0</v>
      </c>
      <c r="N15" s="36">
        <f t="shared" si="0"/>
        <v>2691134105</v>
      </c>
      <c r="O15" s="36">
        <f t="shared" si="0"/>
        <v>4915311108</v>
      </c>
      <c r="P15" s="36">
        <f t="shared" si="0"/>
        <v>5957311108</v>
      </c>
      <c r="Q15" s="36">
        <v>5516939552</v>
      </c>
      <c r="R15" s="39">
        <v>0</v>
      </c>
      <c r="S15" s="36">
        <f t="shared" si="1"/>
        <v>5516939552</v>
      </c>
      <c r="T15" s="37" t="s">
        <v>118</v>
      </c>
      <c r="U15" s="37" t="s">
        <v>119</v>
      </c>
      <c r="V15" s="37">
        <v>1</v>
      </c>
      <c r="W15" s="10">
        <v>2</v>
      </c>
      <c r="X15" s="10"/>
      <c r="Y15" s="34">
        <v>2</v>
      </c>
      <c r="Z15" s="10">
        <v>2</v>
      </c>
      <c r="AA15" s="34" t="s">
        <v>120</v>
      </c>
      <c r="AB15" s="10">
        <v>180</v>
      </c>
      <c r="AC15" s="10">
        <v>360</v>
      </c>
      <c r="AD15" s="34" t="s">
        <v>121</v>
      </c>
      <c r="AE15" s="10">
        <v>0</v>
      </c>
      <c r="AF15" s="10" t="s">
        <v>102</v>
      </c>
      <c r="AG15" s="10" t="s">
        <v>102</v>
      </c>
      <c r="AH15" s="10">
        <v>0</v>
      </c>
      <c r="AI15" s="10">
        <v>0</v>
      </c>
      <c r="AJ15" s="10">
        <v>0</v>
      </c>
      <c r="AK15" s="10">
        <v>0</v>
      </c>
      <c r="AL15" s="10">
        <v>0</v>
      </c>
      <c r="AM15" s="10">
        <v>0</v>
      </c>
      <c r="AN15" s="10">
        <v>0</v>
      </c>
      <c r="AO15" s="10">
        <v>0</v>
      </c>
      <c r="AP15" s="10">
        <v>0</v>
      </c>
    </row>
    <row r="16" spans="1:42" ht="105" customHeight="1" x14ac:dyDescent="0.25">
      <c r="A16" s="34"/>
      <c r="B16" s="34"/>
      <c r="C16" s="34"/>
      <c r="D16" s="34"/>
      <c r="E16" s="34"/>
      <c r="F16" s="34"/>
      <c r="G16" s="34"/>
      <c r="H16" s="36">
        <v>0</v>
      </c>
      <c r="I16" s="39"/>
      <c r="J16" s="39">
        <v>0</v>
      </c>
      <c r="K16" s="36"/>
      <c r="L16" s="36"/>
      <c r="M16" s="39">
        <v>0</v>
      </c>
      <c r="N16" s="36">
        <f t="shared" si="0"/>
        <v>0</v>
      </c>
      <c r="O16" s="36">
        <f t="shared" si="0"/>
        <v>0</v>
      </c>
      <c r="P16" s="36">
        <f t="shared" si="0"/>
        <v>0</v>
      </c>
      <c r="Q16" s="39">
        <v>0</v>
      </c>
      <c r="R16" s="39">
        <v>0</v>
      </c>
      <c r="S16" s="36">
        <f t="shared" si="1"/>
        <v>0</v>
      </c>
      <c r="T16" s="37" t="s">
        <v>122</v>
      </c>
      <c r="U16" s="37" t="s">
        <v>123</v>
      </c>
      <c r="V16" s="37">
        <v>100</v>
      </c>
      <c r="W16" s="10">
        <v>250</v>
      </c>
      <c r="X16" s="10"/>
      <c r="Y16" s="34">
        <v>250</v>
      </c>
      <c r="Z16" s="10">
        <v>250</v>
      </c>
      <c r="AA16" s="34" t="s">
        <v>124</v>
      </c>
      <c r="AB16" s="10">
        <v>180</v>
      </c>
      <c r="AC16" s="10">
        <v>360</v>
      </c>
      <c r="AD16" s="34" t="s">
        <v>125</v>
      </c>
      <c r="AE16" s="10" t="s">
        <v>102</v>
      </c>
      <c r="AF16" s="10" t="s">
        <v>102</v>
      </c>
      <c r="AG16" s="10" t="s">
        <v>102</v>
      </c>
      <c r="AH16" s="10" t="s">
        <v>102</v>
      </c>
      <c r="AI16" s="10" t="s">
        <v>102</v>
      </c>
      <c r="AJ16" s="10" t="s">
        <v>102</v>
      </c>
      <c r="AK16" s="10" t="s">
        <v>102</v>
      </c>
      <c r="AL16" s="10" t="s">
        <v>102</v>
      </c>
      <c r="AM16" s="10" t="s">
        <v>102</v>
      </c>
      <c r="AN16" s="10" t="s">
        <v>102</v>
      </c>
      <c r="AO16" s="10" t="s">
        <v>102</v>
      </c>
      <c r="AP16" s="10" t="s">
        <v>102</v>
      </c>
    </row>
    <row r="17" spans="1:42" ht="110.25" customHeight="1" x14ac:dyDescent="0.25">
      <c r="A17" s="34" t="s">
        <v>55</v>
      </c>
      <c r="B17" s="34" t="s">
        <v>48</v>
      </c>
      <c r="C17" s="34" t="s">
        <v>49</v>
      </c>
      <c r="D17" s="34">
        <v>242330000</v>
      </c>
      <c r="E17" s="35">
        <v>2012050000307</v>
      </c>
      <c r="F17" s="34" t="s">
        <v>57</v>
      </c>
      <c r="G17" s="34" t="s">
        <v>58</v>
      </c>
      <c r="H17" s="36">
        <v>519590700</v>
      </c>
      <c r="I17" s="36">
        <v>519590700</v>
      </c>
      <c r="J17" s="39">
        <v>519590700</v>
      </c>
      <c r="K17" s="36">
        <v>0</v>
      </c>
      <c r="L17" s="36">
        <v>0</v>
      </c>
      <c r="M17" s="39">
        <v>0</v>
      </c>
      <c r="N17" s="36">
        <f t="shared" si="0"/>
        <v>519590700</v>
      </c>
      <c r="O17" s="36">
        <f t="shared" si="0"/>
        <v>519590700</v>
      </c>
      <c r="P17" s="36">
        <f t="shared" si="0"/>
        <v>519590700</v>
      </c>
      <c r="Q17" s="36">
        <v>519590700</v>
      </c>
      <c r="R17" s="39">
        <v>0</v>
      </c>
      <c r="S17" s="36">
        <f t="shared" si="1"/>
        <v>519590700</v>
      </c>
      <c r="T17" s="37" t="s">
        <v>126</v>
      </c>
      <c r="U17" s="37" t="s">
        <v>99</v>
      </c>
      <c r="V17" s="37">
        <v>125</v>
      </c>
      <c r="W17" s="10">
        <v>30</v>
      </c>
      <c r="X17" s="10"/>
      <c r="Y17" s="34">
        <v>30</v>
      </c>
      <c r="Z17" s="10">
        <v>30</v>
      </c>
      <c r="AA17" s="34" t="s">
        <v>127</v>
      </c>
      <c r="AB17" s="10">
        <v>0</v>
      </c>
      <c r="AC17" s="10">
        <v>180</v>
      </c>
      <c r="AD17" s="34" t="s">
        <v>128</v>
      </c>
      <c r="AE17" s="10">
        <v>0</v>
      </c>
      <c r="AF17" s="10" t="s">
        <v>102</v>
      </c>
      <c r="AG17" s="10" t="s">
        <v>102</v>
      </c>
      <c r="AH17" s="10" t="s">
        <v>102</v>
      </c>
      <c r="AI17" s="10" t="s">
        <v>102</v>
      </c>
      <c r="AJ17" s="10">
        <v>0</v>
      </c>
      <c r="AK17" s="10">
        <v>0</v>
      </c>
      <c r="AL17" s="10">
        <v>0</v>
      </c>
      <c r="AM17" s="10">
        <v>0</v>
      </c>
      <c r="AN17" s="10">
        <v>0</v>
      </c>
      <c r="AO17" s="10">
        <v>0</v>
      </c>
      <c r="AP17" s="10">
        <v>0</v>
      </c>
    </row>
    <row r="18" spans="1:42" ht="73.5" customHeight="1" x14ac:dyDescent="0.25">
      <c r="A18" s="34"/>
      <c r="B18" s="34"/>
      <c r="C18" s="34"/>
      <c r="D18" s="34"/>
      <c r="E18" s="34"/>
      <c r="F18" s="34"/>
      <c r="G18" s="34"/>
      <c r="H18" s="36"/>
      <c r="I18" s="39"/>
      <c r="J18" s="39"/>
      <c r="K18" s="36"/>
      <c r="L18" s="39"/>
      <c r="M18" s="39"/>
      <c r="N18" s="36">
        <f t="shared" si="0"/>
        <v>0</v>
      </c>
      <c r="O18" s="36">
        <f t="shared" si="0"/>
        <v>0</v>
      </c>
      <c r="P18" s="36">
        <f t="shared" si="0"/>
        <v>0</v>
      </c>
      <c r="Q18" s="39">
        <v>0</v>
      </c>
      <c r="R18" s="39"/>
      <c r="S18" s="36">
        <f t="shared" si="1"/>
        <v>0</v>
      </c>
      <c r="T18" s="37" t="s">
        <v>129</v>
      </c>
      <c r="U18" s="37" t="s">
        <v>130</v>
      </c>
      <c r="V18" s="37">
        <v>125</v>
      </c>
      <c r="W18" s="10">
        <v>0</v>
      </c>
      <c r="X18" s="10"/>
      <c r="Y18" s="34">
        <v>0</v>
      </c>
      <c r="Z18" s="10">
        <v>0</v>
      </c>
      <c r="AA18" s="34" t="s">
        <v>127</v>
      </c>
      <c r="AB18" s="10">
        <v>0</v>
      </c>
      <c r="AC18" s="10">
        <v>0</v>
      </c>
      <c r="AD18" s="34" t="s">
        <v>131</v>
      </c>
      <c r="AE18" s="10">
        <v>0</v>
      </c>
      <c r="AF18" s="10">
        <v>0</v>
      </c>
      <c r="AG18" s="10">
        <v>0</v>
      </c>
      <c r="AH18" s="10" t="s">
        <v>102</v>
      </c>
      <c r="AI18" s="10" t="s">
        <v>102</v>
      </c>
      <c r="AJ18" s="10" t="s">
        <v>102</v>
      </c>
      <c r="AK18" s="10" t="s">
        <v>102</v>
      </c>
      <c r="AL18" s="10">
        <v>0</v>
      </c>
      <c r="AM18" s="10">
        <v>0</v>
      </c>
      <c r="AN18" s="10">
        <v>0</v>
      </c>
      <c r="AO18" s="10">
        <v>0</v>
      </c>
      <c r="AP18" s="10">
        <v>0</v>
      </c>
    </row>
    <row r="19" spans="1:42" ht="79.5" customHeight="1" x14ac:dyDescent="0.25">
      <c r="A19" s="34"/>
      <c r="B19" s="34"/>
      <c r="C19" s="34"/>
      <c r="D19" s="34"/>
      <c r="E19" s="34"/>
      <c r="F19" s="34"/>
      <c r="G19" s="34"/>
      <c r="H19" s="36"/>
      <c r="I19" s="39"/>
      <c r="J19" s="39"/>
      <c r="K19" s="36"/>
      <c r="L19" s="39"/>
      <c r="M19" s="39"/>
      <c r="N19" s="36">
        <f t="shared" si="0"/>
        <v>0</v>
      </c>
      <c r="O19" s="36">
        <f t="shared" si="0"/>
        <v>0</v>
      </c>
      <c r="P19" s="36">
        <f t="shared" si="0"/>
        <v>0</v>
      </c>
      <c r="Q19" s="39">
        <v>0</v>
      </c>
      <c r="R19" s="39"/>
      <c r="S19" s="36">
        <f t="shared" si="1"/>
        <v>0</v>
      </c>
      <c r="T19" s="37" t="s">
        <v>132</v>
      </c>
      <c r="U19" s="37" t="s">
        <v>133</v>
      </c>
      <c r="V19" s="37">
        <v>125</v>
      </c>
      <c r="W19" s="10">
        <v>0</v>
      </c>
      <c r="X19" s="10"/>
      <c r="Y19" s="34">
        <v>0</v>
      </c>
      <c r="Z19" s="10">
        <v>0</v>
      </c>
      <c r="AA19" s="34" t="s">
        <v>127</v>
      </c>
      <c r="AB19" s="10">
        <v>0</v>
      </c>
      <c r="AC19" s="40">
        <v>0</v>
      </c>
      <c r="AD19" s="34" t="s">
        <v>131</v>
      </c>
      <c r="AE19" s="10">
        <v>0</v>
      </c>
      <c r="AF19" s="10">
        <v>0</v>
      </c>
      <c r="AG19" s="10">
        <v>0</v>
      </c>
      <c r="AH19" s="10">
        <v>0</v>
      </c>
      <c r="AI19" s="10">
        <v>0</v>
      </c>
      <c r="AJ19" s="10" t="s">
        <v>102</v>
      </c>
      <c r="AK19" s="10" t="s">
        <v>102</v>
      </c>
      <c r="AL19" s="10" t="s">
        <v>102</v>
      </c>
      <c r="AM19" s="10" t="s">
        <v>102</v>
      </c>
      <c r="AN19" s="10">
        <v>0</v>
      </c>
      <c r="AO19" s="10">
        <v>0</v>
      </c>
      <c r="AP19" s="10">
        <v>0</v>
      </c>
    </row>
    <row r="20" spans="1:42" ht="102.75" customHeight="1" x14ac:dyDescent="0.25">
      <c r="A20" s="34"/>
      <c r="B20" s="34"/>
      <c r="C20" s="34"/>
      <c r="D20" s="34"/>
      <c r="E20" s="34"/>
      <c r="F20" s="34"/>
      <c r="G20" s="34"/>
      <c r="H20" s="36"/>
      <c r="I20" s="39"/>
      <c r="J20" s="39"/>
      <c r="K20" s="36"/>
      <c r="L20" s="39"/>
      <c r="M20" s="39"/>
      <c r="N20" s="36">
        <f t="shared" si="0"/>
        <v>0</v>
      </c>
      <c r="O20" s="36">
        <f t="shared" si="0"/>
        <v>0</v>
      </c>
      <c r="P20" s="36">
        <f t="shared" si="0"/>
        <v>0</v>
      </c>
      <c r="Q20" s="39">
        <v>0</v>
      </c>
      <c r="R20" s="39"/>
      <c r="S20" s="36">
        <f t="shared" si="1"/>
        <v>0</v>
      </c>
      <c r="T20" s="37" t="s">
        <v>134</v>
      </c>
      <c r="U20" s="37" t="s">
        <v>133</v>
      </c>
      <c r="V20" s="37">
        <v>125</v>
      </c>
      <c r="W20" s="10">
        <v>0</v>
      </c>
      <c r="X20" s="10"/>
      <c r="Y20" s="34">
        <v>0</v>
      </c>
      <c r="Z20" s="10">
        <v>0</v>
      </c>
      <c r="AA20" s="34" t="s">
        <v>127</v>
      </c>
      <c r="AB20" s="10">
        <v>0</v>
      </c>
      <c r="AC20" s="10">
        <v>0</v>
      </c>
      <c r="AD20" s="34" t="s">
        <v>131</v>
      </c>
      <c r="AE20" s="10">
        <v>0</v>
      </c>
      <c r="AF20" s="10">
        <v>0</v>
      </c>
      <c r="AG20" s="10">
        <v>0</v>
      </c>
      <c r="AH20" s="10">
        <v>0</v>
      </c>
      <c r="AI20" s="10">
        <v>0</v>
      </c>
      <c r="AJ20" s="10">
        <v>0</v>
      </c>
      <c r="AK20" s="10">
        <v>0</v>
      </c>
      <c r="AL20" s="10" t="s">
        <v>102</v>
      </c>
      <c r="AM20" s="10" t="s">
        <v>102</v>
      </c>
      <c r="AN20" s="10" t="s">
        <v>102</v>
      </c>
      <c r="AO20" s="10" t="s">
        <v>102</v>
      </c>
      <c r="AP20" s="10">
        <v>0</v>
      </c>
    </row>
    <row r="21" spans="1:42" x14ac:dyDescent="0.25">
      <c r="A21" s="34"/>
      <c r="B21" s="34"/>
      <c r="C21" s="34"/>
      <c r="D21" s="34"/>
      <c r="E21" s="34"/>
      <c r="F21" s="34"/>
      <c r="G21" s="34"/>
      <c r="H21" s="34"/>
      <c r="I21" s="10"/>
      <c r="J21" s="10"/>
      <c r="K21" s="34"/>
      <c r="L21" s="10"/>
      <c r="M21" s="10"/>
      <c r="N21" s="34"/>
      <c r="O21" s="10"/>
      <c r="P21" s="10"/>
      <c r="Q21" s="10"/>
      <c r="R21" s="10"/>
      <c r="S21" s="10"/>
      <c r="T21" s="37"/>
      <c r="U21" s="41"/>
      <c r="V21" s="37"/>
      <c r="W21" s="10"/>
      <c r="X21" s="10"/>
      <c r="Y21" s="34"/>
      <c r="Z21" s="10"/>
      <c r="AA21" s="34"/>
      <c r="AB21" s="10"/>
      <c r="AC21" s="10"/>
      <c r="AD21" s="34"/>
      <c r="AE21" s="10"/>
      <c r="AF21" s="10"/>
      <c r="AG21" s="10"/>
      <c r="AH21" s="10"/>
      <c r="AI21" s="10"/>
      <c r="AJ21" s="10"/>
      <c r="AK21" s="10"/>
      <c r="AL21" s="10"/>
      <c r="AM21" s="10"/>
      <c r="AN21" s="10"/>
      <c r="AO21" s="10"/>
      <c r="AP21" s="10"/>
    </row>
  </sheetData>
  <sheetProtection algorithmName="SHA-512" hashValue="0awv8CYsF5Bq0HCBllMjxQVsAqwckIjKHawWUyDh+4eZ2BnJfDVR2CtUbLJw1S+AhBg6v1eAw0goM6aK5qn+5w==" saltValue="Ea3Odd0dg8eK8m6p9JTFhw=="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8"/>
  <sheetViews>
    <sheetView topLeftCell="H4" zoomScaleNormal="100" workbookViewId="0">
      <pane ySplit="5" topLeftCell="A9" activePane="bottomLeft" state="frozen"/>
      <selection activeCell="A4" sqref="A4"/>
      <selection pane="bottomLeft" activeCell="N10" sqref="N10"/>
    </sheetView>
  </sheetViews>
  <sheetFormatPr baseColWidth="10" defaultColWidth="22.85546875" defaultRowHeight="15" x14ac:dyDescent="0.25"/>
  <cols>
    <col min="1" max="1" width="17.7109375" style="1" customWidth="1"/>
    <col min="2" max="2" width="21.5703125" style="1" customWidth="1"/>
    <col min="3" max="3" width="22.85546875" style="1"/>
    <col min="4" max="4" width="13.42578125" style="1" bestFit="1" customWidth="1"/>
    <col min="5" max="5" width="22.85546875" style="1"/>
    <col min="6" max="6" width="14" style="1" bestFit="1" customWidth="1"/>
    <col min="7" max="7" width="10.7109375" style="1" bestFit="1" customWidth="1"/>
    <col min="8" max="14" width="22.85546875" style="1"/>
    <col min="15" max="15" width="19.85546875" style="1" customWidth="1"/>
    <col min="16" max="16" width="19.5703125" style="1" customWidth="1"/>
    <col min="17" max="17" width="30" style="1" customWidth="1"/>
    <col min="18" max="16384" width="22.85546875" style="1"/>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row>
    <row r="5" spans="1:97" x14ac:dyDescent="0.25">
      <c r="A5" s="2"/>
      <c r="B5" s="2"/>
      <c r="C5" s="2"/>
      <c r="D5" s="2"/>
      <c r="E5" s="2"/>
      <c r="F5" s="2"/>
      <c r="G5" s="2"/>
      <c r="H5" s="2"/>
      <c r="I5" s="2"/>
      <c r="J5" s="2"/>
      <c r="K5" s="3"/>
      <c r="L5" s="4"/>
      <c r="M5" s="5"/>
      <c r="N5" s="6"/>
      <c r="O5" s="5"/>
    </row>
    <row r="6" spans="1:97" x14ac:dyDescent="0.25">
      <c r="A6" s="7" t="s">
        <v>4</v>
      </c>
      <c r="B6" s="606" t="s">
        <v>5</v>
      </c>
      <c r="C6" s="606"/>
      <c r="D6" s="606"/>
      <c r="E6" s="606"/>
      <c r="F6" s="606"/>
      <c r="G6" s="606"/>
      <c r="H6" s="606"/>
      <c r="I6" s="606"/>
      <c r="J6" s="606"/>
      <c r="K6" s="606"/>
      <c r="L6" s="606"/>
      <c r="M6" s="606"/>
      <c r="N6" s="606"/>
      <c r="O6" s="606"/>
    </row>
    <row r="7" spans="1:97"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9" t="s">
        <v>22</v>
      </c>
    </row>
    <row r="8" spans="1:97" x14ac:dyDescent="0.25">
      <c r="A8" s="618"/>
      <c r="B8" s="618"/>
      <c r="C8" s="618"/>
      <c r="D8" s="618"/>
      <c r="E8" s="618"/>
      <c r="F8" s="618"/>
      <c r="G8" s="618"/>
      <c r="H8" s="618"/>
      <c r="I8" s="622"/>
      <c r="J8" s="622"/>
      <c r="K8" s="618"/>
      <c r="L8" s="618"/>
      <c r="M8" s="618"/>
      <c r="N8" s="624"/>
      <c r="O8" s="624"/>
      <c r="P8" s="624"/>
      <c r="Q8" s="620"/>
      <c r="S8" s="8"/>
      <c r="T8" s="8"/>
      <c r="U8" s="8"/>
      <c r="V8" s="8"/>
      <c r="W8" s="8"/>
      <c r="X8" s="8"/>
      <c r="Y8" s="8"/>
      <c r="Z8" s="8"/>
      <c r="AA8" s="8"/>
      <c r="AB8" s="8"/>
      <c r="AC8" s="8"/>
      <c r="AD8" s="8"/>
      <c r="AE8" s="8"/>
      <c r="AF8" s="8"/>
      <c r="AG8" s="8"/>
      <c r="AH8" s="8"/>
      <c r="AK8" s="9"/>
      <c r="AO8" s="9"/>
      <c r="AS8" s="9"/>
      <c r="AW8" s="9"/>
      <c r="BA8" s="9"/>
      <c r="BE8" s="9"/>
      <c r="BI8" s="9"/>
      <c r="BM8" s="9"/>
      <c r="BQ8" s="9"/>
      <c r="BU8" s="9"/>
      <c r="BY8" s="9"/>
      <c r="CC8" s="9"/>
      <c r="CG8" s="9"/>
      <c r="CK8" s="9"/>
      <c r="CO8" s="9"/>
      <c r="CS8" s="9"/>
    </row>
    <row r="9" spans="1:97" ht="60" x14ac:dyDescent="0.25">
      <c r="A9" s="10" t="s">
        <v>23</v>
      </c>
      <c r="B9" s="10" t="s">
        <v>24</v>
      </c>
      <c r="C9" s="10" t="s">
        <v>25</v>
      </c>
      <c r="D9" s="10">
        <v>215110000</v>
      </c>
      <c r="E9" s="10" t="s">
        <v>26</v>
      </c>
      <c r="F9" s="11">
        <v>2012050000321</v>
      </c>
      <c r="G9" s="10" t="s">
        <v>27</v>
      </c>
      <c r="H9" s="10" t="s">
        <v>28</v>
      </c>
      <c r="I9" s="12">
        <v>0</v>
      </c>
      <c r="J9" s="13">
        <v>0</v>
      </c>
      <c r="K9" s="10" t="s">
        <v>29</v>
      </c>
      <c r="L9" s="10">
        <v>50</v>
      </c>
      <c r="M9" s="10">
        <v>50</v>
      </c>
      <c r="N9" s="10"/>
      <c r="O9" s="14">
        <v>30</v>
      </c>
      <c r="P9" s="15">
        <v>212</v>
      </c>
      <c r="Q9" s="10" t="s">
        <v>30</v>
      </c>
      <c r="R9" s="16"/>
      <c r="U9" s="17"/>
      <c r="V9" s="8"/>
      <c r="W9" s="8"/>
      <c r="X9" s="8"/>
      <c r="Y9" s="8"/>
      <c r="Z9" s="8"/>
      <c r="AA9" s="8"/>
      <c r="AB9" s="8"/>
      <c r="AC9" s="8"/>
      <c r="AD9" s="8"/>
      <c r="AE9" s="8"/>
      <c r="AF9" s="8"/>
      <c r="AG9" s="8"/>
      <c r="AH9" s="8"/>
      <c r="AK9" s="9"/>
      <c r="AO9" s="9"/>
      <c r="AS9" s="9"/>
      <c r="AW9" s="9"/>
      <c r="BA9" s="9"/>
      <c r="BE9" s="9"/>
      <c r="BI9" s="9"/>
      <c r="BM9" s="9"/>
      <c r="BQ9" s="9"/>
      <c r="BU9" s="9"/>
      <c r="BY9" s="9"/>
      <c r="CC9" s="9"/>
      <c r="CG9" s="9"/>
      <c r="CK9" s="9"/>
      <c r="CO9" s="9"/>
      <c r="CS9" s="9"/>
    </row>
    <row r="10" spans="1:97" ht="255" x14ac:dyDescent="0.25">
      <c r="A10" s="10"/>
      <c r="B10" s="10"/>
      <c r="C10" s="10"/>
      <c r="D10" s="10"/>
      <c r="E10" s="18"/>
      <c r="F10" s="11"/>
      <c r="G10" s="10"/>
      <c r="H10" s="10"/>
      <c r="I10" s="10"/>
      <c r="J10" s="10"/>
      <c r="K10" s="10" t="s">
        <v>31</v>
      </c>
      <c r="L10" s="10">
        <v>2000</v>
      </c>
      <c r="M10" s="10">
        <v>2000</v>
      </c>
      <c r="N10" s="10"/>
      <c r="O10" s="14">
        <v>53292</v>
      </c>
      <c r="P10" s="10">
        <v>80076</v>
      </c>
      <c r="Q10" s="10" t="s">
        <v>32</v>
      </c>
      <c r="R10" s="16"/>
      <c r="U10" s="17"/>
      <c r="V10" s="8"/>
      <c r="W10" s="8"/>
      <c r="X10" s="8"/>
      <c r="Y10" s="8"/>
      <c r="Z10" s="8"/>
      <c r="AA10" s="8"/>
      <c r="AB10" s="8"/>
      <c r="AC10" s="8"/>
      <c r="AD10" s="8"/>
      <c r="AE10" s="8"/>
      <c r="AF10" s="8"/>
      <c r="AG10" s="8"/>
      <c r="AH10" s="8"/>
      <c r="AK10" s="9"/>
      <c r="AO10" s="9"/>
      <c r="AS10" s="9"/>
      <c r="AW10" s="9"/>
      <c r="BA10" s="9"/>
      <c r="BE10" s="9"/>
      <c r="BI10" s="9"/>
      <c r="BM10" s="9"/>
      <c r="BQ10" s="9"/>
      <c r="BU10" s="9"/>
      <c r="BY10" s="9"/>
      <c r="CC10" s="9"/>
      <c r="CG10" s="9"/>
      <c r="CK10" s="9"/>
      <c r="CO10" s="9"/>
      <c r="CS10" s="9"/>
    </row>
    <row r="11" spans="1:97" ht="240" x14ac:dyDescent="0.25">
      <c r="A11" s="10" t="s">
        <v>23</v>
      </c>
      <c r="B11" s="10" t="s">
        <v>24</v>
      </c>
      <c r="C11" s="10" t="s">
        <v>25</v>
      </c>
      <c r="D11" s="10">
        <v>215120000</v>
      </c>
      <c r="E11" s="10" t="s">
        <v>33</v>
      </c>
      <c r="F11" s="11">
        <v>2012050000324</v>
      </c>
      <c r="G11" s="10" t="s">
        <v>34</v>
      </c>
      <c r="H11" s="10" t="s">
        <v>35</v>
      </c>
      <c r="I11" s="12">
        <v>667115258</v>
      </c>
      <c r="J11" s="12">
        <f>'[25]FORMATO FINANCIERO'!J11-'[25]FORMATO FINANCIERO'!H11</f>
        <v>436947458</v>
      </c>
      <c r="K11" s="10" t="s">
        <v>36</v>
      </c>
      <c r="L11" s="10">
        <v>30000</v>
      </c>
      <c r="M11" s="10">
        <v>30000</v>
      </c>
      <c r="N11" s="10"/>
      <c r="O11" s="14">
        <v>14842478</v>
      </c>
      <c r="P11" s="19">
        <v>22798252</v>
      </c>
      <c r="Q11" s="10" t="s">
        <v>37</v>
      </c>
      <c r="R11" s="16"/>
      <c r="U11" s="17"/>
      <c r="V11" s="8"/>
      <c r="W11" s="8"/>
      <c r="X11" s="8"/>
      <c r="Y11" s="8"/>
      <c r="Z11" s="8"/>
      <c r="AA11" s="8"/>
      <c r="AB11" s="8"/>
      <c r="AC11" s="8"/>
      <c r="AD11" s="8"/>
      <c r="AE11" s="8"/>
      <c r="AF11" s="8"/>
      <c r="AG11" s="8"/>
      <c r="AH11" s="8"/>
      <c r="AK11" s="9"/>
      <c r="AO11" s="9"/>
      <c r="AS11" s="9"/>
      <c r="AW11" s="9"/>
      <c r="BA11" s="9"/>
      <c r="BE11" s="9"/>
      <c r="BI11" s="9"/>
      <c r="BM11" s="9"/>
      <c r="BQ11" s="9"/>
      <c r="BU11" s="9"/>
      <c r="BY11" s="9"/>
      <c r="CC11" s="9"/>
      <c r="CG11" s="9"/>
      <c r="CK11" s="9"/>
      <c r="CO11" s="9"/>
      <c r="CS11" s="9"/>
    </row>
    <row r="12" spans="1:97" ht="30" x14ac:dyDescent="0.25">
      <c r="A12" s="10" t="s">
        <v>23</v>
      </c>
      <c r="B12" s="10" t="s">
        <v>24</v>
      </c>
      <c r="C12" s="10" t="s">
        <v>38</v>
      </c>
      <c r="D12" s="10">
        <v>215210000</v>
      </c>
      <c r="E12" s="10" t="s">
        <v>39</v>
      </c>
      <c r="F12" s="11"/>
      <c r="G12" s="10"/>
      <c r="H12" s="10"/>
      <c r="I12" s="20">
        <v>10000000</v>
      </c>
      <c r="J12" s="21">
        <v>97548000</v>
      </c>
      <c r="K12" s="10" t="s">
        <v>40</v>
      </c>
      <c r="L12" s="10">
        <v>220</v>
      </c>
      <c r="M12" s="10">
        <v>250</v>
      </c>
      <c r="N12" s="10"/>
      <c r="O12" s="14">
        <v>0</v>
      </c>
      <c r="P12" s="10">
        <v>8410</v>
      </c>
      <c r="Q12" s="10" t="s">
        <v>41</v>
      </c>
      <c r="R12" s="16"/>
      <c r="U12" s="17"/>
      <c r="V12" s="8"/>
      <c r="W12" s="8"/>
      <c r="X12" s="8"/>
      <c r="Y12" s="8"/>
      <c r="Z12" s="8"/>
      <c r="AA12" s="8"/>
      <c r="AB12" s="8"/>
      <c r="AC12" s="8"/>
      <c r="AD12" s="8"/>
      <c r="AE12" s="8"/>
      <c r="AF12" s="8"/>
      <c r="AG12" s="8"/>
      <c r="AH12" s="8"/>
      <c r="AK12" s="9"/>
      <c r="AO12" s="9"/>
      <c r="AS12" s="9"/>
      <c r="AW12" s="9"/>
      <c r="BA12" s="9"/>
      <c r="BE12" s="9"/>
      <c r="BI12" s="9"/>
      <c r="BM12" s="9"/>
      <c r="BQ12" s="9"/>
      <c r="BU12" s="9"/>
      <c r="BY12" s="9"/>
      <c r="CC12" s="9"/>
      <c r="CG12" s="9"/>
      <c r="CK12" s="9"/>
      <c r="CO12" s="9"/>
      <c r="CS12" s="9"/>
    </row>
    <row r="13" spans="1:97" ht="60" x14ac:dyDescent="0.25">
      <c r="A13" s="10" t="s">
        <v>23</v>
      </c>
      <c r="B13" s="10" t="s">
        <v>24</v>
      </c>
      <c r="C13" s="10" t="s">
        <v>38</v>
      </c>
      <c r="D13" s="10">
        <v>215220000</v>
      </c>
      <c r="E13" s="10" t="s">
        <v>42</v>
      </c>
      <c r="F13" s="11">
        <v>2012050000293</v>
      </c>
      <c r="G13" s="10" t="s">
        <v>43</v>
      </c>
      <c r="H13" s="10" t="s">
        <v>44</v>
      </c>
      <c r="I13" s="12">
        <v>1620224633</v>
      </c>
      <c r="J13" s="12">
        <f>'[25]FORMATO FINANCIERO'!J13-'[25]FORMATO FINANCIERO'!H13</f>
        <v>6469026668</v>
      </c>
      <c r="K13" s="10" t="s">
        <v>45</v>
      </c>
      <c r="L13" s="10">
        <v>10</v>
      </c>
      <c r="M13" s="10">
        <v>10</v>
      </c>
      <c r="N13" s="10"/>
      <c r="O13" s="14">
        <v>0</v>
      </c>
      <c r="P13" s="10">
        <v>20</v>
      </c>
      <c r="Q13" s="10" t="s">
        <v>46</v>
      </c>
      <c r="R13" s="16"/>
      <c r="U13" s="17"/>
      <c r="V13" s="8"/>
      <c r="W13" s="8"/>
      <c r="X13" s="8"/>
      <c r="Y13" s="8"/>
      <c r="Z13" s="8"/>
      <c r="AA13" s="8"/>
      <c r="AB13" s="8"/>
      <c r="AC13" s="8"/>
      <c r="AD13" s="8"/>
      <c r="AE13" s="8"/>
      <c r="AF13" s="8"/>
      <c r="AG13" s="8"/>
      <c r="AH13" s="8"/>
      <c r="AK13" s="9"/>
      <c r="AO13" s="9"/>
      <c r="AS13" s="9"/>
      <c r="AW13" s="9"/>
      <c r="BA13" s="9"/>
      <c r="BE13" s="9"/>
      <c r="BI13" s="9"/>
      <c r="BM13" s="9"/>
      <c r="BQ13" s="9"/>
      <c r="BU13" s="9"/>
      <c r="BY13" s="9"/>
      <c r="CC13" s="9"/>
      <c r="CG13" s="9"/>
      <c r="CK13" s="9"/>
      <c r="CO13" s="9"/>
      <c r="CS13" s="9"/>
    </row>
    <row r="14" spans="1:97" ht="225" x14ac:dyDescent="0.25">
      <c r="A14" s="10" t="s">
        <v>47</v>
      </c>
      <c r="B14" s="10" t="s">
        <v>48</v>
      </c>
      <c r="C14" s="10" t="s">
        <v>49</v>
      </c>
      <c r="D14" s="10">
        <v>242320000</v>
      </c>
      <c r="E14" s="10" t="s">
        <v>50</v>
      </c>
      <c r="F14" s="11">
        <v>2012050000328</v>
      </c>
      <c r="G14" s="10" t="s">
        <v>51</v>
      </c>
      <c r="H14" s="10" t="s">
        <v>52</v>
      </c>
      <c r="I14" s="12">
        <v>4779311108</v>
      </c>
      <c r="J14" s="12">
        <f>'[25]FORMATO FINANCIERO'!J15-'[25]FORMATO FINANCIERO'!H15</f>
        <v>5821311108</v>
      </c>
      <c r="K14" s="10" t="s">
        <v>53</v>
      </c>
      <c r="L14" s="10">
        <v>28</v>
      </c>
      <c r="M14" s="10">
        <v>28</v>
      </c>
      <c r="N14" s="10"/>
      <c r="O14" s="14">
        <v>20</v>
      </c>
      <c r="P14" s="10">
        <v>38</v>
      </c>
      <c r="Q14" s="10" t="s">
        <v>54</v>
      </c>
      <c r="R14" s="16"/>
      <c r="U14" s="17"/>
      <c r="V14" s="8"/>
      <c r="W14" s="8"/>
      <c r="X14" s="8"/>
      <c r="Y14" s="8"/>
      <c r="Z14" s="8"/>
      <c r="AA14" s="8"/>
      <c r="AB14" s="8"/>
      <c r="AC14" s="8"/>
      <c r="AD14" s="8"/>
      <c r="AE14" s="8"/>
      <c r="AF14" s="8"/>
      <c r="AG14" s="8"/>
      <c r="AH14" s="8"/>
      <c r="AK14" s="9"/>
      <c r="AO14" s="9"/>
      <c r="AS14" s="9"/>
      <c r="AW14" s="9"/>
      <c r="BA14" s="9"/>
      <c r="BE14" s="9"/>
      <c r="BI14" s="9"/>
      <c r="BM14" s="9"/>
      <c r="BQ14" s="9"/>
      <c r="BU14" s="9"/>
      <c r="BY14" s="9"/>
      <c r="CC14" s="9"/>
      <c r="CG14" s="9"/>
      <c r="CK14" s="9"/>
      <c r="CO14" s="9"/>
      <c r="CS14" s="9"/>
    </row>
    <row r="15" spans="1:97" ht="105" x14ac:dyDescent="0.25">
      <c r="A15" s="10" t="s">
        <v>55</v>
      </c>
      <c r="B15" s="10" t="s">
        <v>48</v>
      </c>
      <c r="C15" s="10" t="s">
        <v>49</v>
      </c>
      <c r="D15" s="10">
        <v>242330000</v>
      </c>
      <c r="E15" s="10" t="s">
        <v>56</v>
      </c>
      <c r="F15" s="11">
        <v>2012050000307</v>
      </c>
      <c r="G15" s="10" t="s">
        <v>57</v>
      </c>
      <c r="H15" s="10" t="s">
        <v>58</v>
      </c>
      <c r="I15" s="12">
        <v>0</v>
      </c>
      <c r="J15" s="10">
        <v>0</v>
      </c>
      <c r="K15" s="10" t="s">
        <v>59</v>
      </c>
      <c r="L15" s="10">
        <v>25</v>
      </c>
      <c r="M15" s="10">
        <v>25</v>
      </c>
      <c r="N15" s="10"/>
      <c r="O15" s="14">
        <v>18</v>
      </c>
      <c r="P15" s="10">
        <v>28</v>
      </c>
      <c r="Q15" s="10" t="s">
        <v>60</v>
      </c>
      <c r="R15" s="16"/>
      <c r="U15" s="17"/>
      <c r="V15" s="8"/>
      <c r="W15" s="8"/>
      <c r="X15" s="8"/>
      <c r="Y15" s="8"/>
      <c r="Z15" s="8"/>
      <c r="AA15" s="8"/>
      <c r="AB15" s="8"/>
      <c r="AC15" s="8"/>
      <c r="AD15" s="8"/>
      <c r="AE15" s="8"/>
      <c r="AF15" s="8"/>
      <c r="AG15" s="8"/>
      <c r="AH15" s="8"/>
      <c r="AK15" s="9"/>
      <c r="AO15" s="9"/>
      <c r="AS15" s="9"/>
      <c r="AW15" s="9"/>
      <c r="BA15" s="9"/>
      <c r="BE15" s="9"/>
      <c r="BI15" s="9"/>
      <c r="BM15" s="9"/>
      <c r="BQ15" s="9"/>
      <c r="BU15" s="9"/>
      <c r="BY15" s="9"/>
      <c r="CC15" s="9"/>
      <c r="CG15" s="9"/>
      <c r="CK15" s="9"/>
      <c r="CO15" s="9"/>
      <c r="CS15" s="9"/>
    </row>
    <row r="16" spans="1:97" x14ac:dyDescent="0.25">
      <c r="A16" s="10"/>
      <c r="B16" s="10"/>
      <c r="C16" s="10"/>
      <c r="D16" s="10"/>
      <c r="E16" s="10"/>
      <c r="F16" s="11"/>
      <c r="G16" s="10"/>
      <c r="H16" s="10"/>
      <c r="I16" s="10"/>
      <c r="J16" s="10"/>
      <c r="K16" s="10"/>
      <c r="L16" s="10"/>
      <c r="M16" s="10"/>
      <c r="N16" s="10"/>
      <c r="O16" s="14"/>
      <c r="P16" s="10"/>
      <c r="Q16" s="10"/>
      <c r="U16" s="9"/>
      <c r="V16" s="8"/>
      <c r="W16" s="8"/>
      <c r="X16" s="8"/>
      <c r="Y16" s="8"/>
      <c r="Z16" s="8"/>
      <c r="AA16" s="8"/>
      <c r="AB16" s="8"/>
      <c r="AC16" s="8"/>
      <c r="AD16" s="8"/>
      <c r="AE16" s="8"/>
      <c r="AF16" s="8"/>
      <c r="AG16" s="8"/>
      <c r="AH16" s="8"/>
      <c r="AK16" s="9"/>
      <c r="AO16" s="9"/>
      <c r="AS16" s="9"/>
      <c r="AW16" s="9"/>
      <c r="BA16" s="9"/>
      <c r="BE16" s="9"/>
      <c r="BI16" s="9"/>
      <c r="BM16" s="9"/>
      <c r="BQ16" s="9"/>
      <c r="BU16" s="9"/>
      <c r="BY16" s="9"/>
      <c r="CC16" s="9"/>
      <c r="CG16" s="9"/>
      <c r="CK16" s="9"/>
      <c r="CO16" s="9"/>
      <c r="CS16" s="9"/>
    </row>
    <row r="17" spans="15:15" x14ac:dyDescent="0.25">
      <c r="O17" s="22"/>
    </row>
    <row r="18" spans="15:15" x14ac:dyDescent="0.25">
      <c r="O18" s="22"/>
    </row>
  </sheetData>
  <sheetProtection algorithmName="SHA-512" hashValue="NTit+hBTiGHm+VhuQIWy/TnOJ6x6vCC37Gt8wsvPP0A0Yoi0L71+fnN/A4E9LqupnBASDBjfJAGg1nxnYbzT5A==" saltValue="4zLR9xK7Epxjg+PgkATDcA=="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56"/>
  <sheetViews>
    <sheetView topLeftCell="G5" zoomScaleNormal="100" workbookViewId="0">
      <pane ySplit="4" topLeftCell="A9" activePane="bottomLeft" state="frozen"/>
      <selection activeCell="A5" sqref="A5"/>
      <selection pane="bottomLeft" activeCell="J10" sqref="J10"/>
    </sheetView>
  </sheetViews>
  <sheetFormatPr baseColWidth="10" defaultRowHeight="15" x14ac:dyDescent="0.25"/>
  <cols>
    <col min="1" max="1" width="13.42578125" style="1" customWidth="1"/>
    <col min="2" max="2" width="16" style="1" customWidth="1"/>
    <col min="3" max="3" width="17" style="1" customWidth="1"/>
    <col min="4" max="4" width="16.140625" style="1" customWidth="1"/>
    <col min="5" max="5" width="22.85546875" style="1" customWidth="1"/>
    <col min="6" max="6" width="17.85546875" style="1" customWidth="1"/>
    <col min="7" max="7" width="14.5703125" style="1" customWidth="1"/>
    <col min="8" max="8" width="40.85546875" style="1" customWidth="1"/>
    <col min="9" max="9" width="17.5703125" style="1" customWidth="1"/>
    <col min="10" max="10" width="22.42578125" style="1" customWidth="1"/>
    <col min="11" max="11" width="28.85546875" style="1" customWidth="1"/>
    <col min="12" max="12" width="11.42578125" style="69"/>
    <col min="13" max="13" width="13.140625" style="69" customWidth="1"/>
    <col min="14" max="14" width="13.5703125" style="69" customWidth="1"/>
    <col min="15" max="15" width="11.42578125" style="69"/>
    <col min="16" max="16" width="11.42578125" style="536"/>
    <col min="17" max="17" width="93.42578125" style="1" customWidth="1"/>
    <col min="18" max="20" width="11.42578125" style="238"/>
    <col min="21" max="21" width="16.85546875" style="238" customWidth="1"/>
    <col min="22" max="16384" width="11.42578125" style="238"/>
  </cols>
  <sheetData>
    <row r="1" spans="1:97" x14ac:dyDescent="0.25">
      <c r="A1" s="605" t="s">
        <v>0</v>
      </c>
      <c r="B1" s="605"/>
      <c r="C1" s="605"/>
      <c r="D1" s="605"/>
      <c r="E1" s="605"/>
      <c r="F1" s="605"/>
      <c r="G1" s="605"/>
      <c r="H1" s="605"/>
      <c r="I1" s="605"/>
      <c r="J1" s="605"/>
      <c r="K1" s="605"/>
      <c r="L1" s="605"/>
      <c r="M1" s="605"/>
      <c r="N1" s="605"/>
      <c r="O1" s="605"/>
    </row>
    <row r="2" spans="1:97" x14ac:dyDescent="0.25">
      <c r="A2" s="605" t="s">
        <v>1</v>
      </c>
      <c r="B2" s="605"/>
      <c r="C2" s="605"/>
      <c r="D2" s="605"/>
      <c r="E2" s="605"/>
      <c r="F2" s="605"/>
      <c r="G2" s="605"/>
      <c r="H2" s="605"/>
      <c r="I2" s="605"/>
      <c r="J2" s="605"/>
      <c r="K2" s="605"/>
      <c r="L2" s="605"/>
      <c r="M2" s="605"/>
      <c r="N2" s="605"/>
      <c r="O2" s="605"/>
    </row>
    <row r="3" spans="1:97" x14ac:dyDescent="0.25">
      <c r="A3" s="605" t="s">
        <v>2</v>
      </c>
      <c r="B3" s="605"/>
      <c r="C3" s="605"/>
      <c r="D3" s="605"/>
      <c r="E3" s="605"/>
      <c r="F3" s="605"/>
      <c r="G3" s="605"/>
      <c r="H3" s="605" t="s">
        <v>3</v>
      </c>
      <c r="I3" s="605"/>
      <c r="J3" s="605"/>
      <c r="K3" s="605"/>
      <c r="L3" s="605"/>
      <c r="M3" s="605"/>
      <c r="N3" s="605"/>
      <c r="O3" s="605"/>
    </row>
    <row r="4" spans="1:97" x14ac:dyDescent="0.25">
      <c r="A4" s="605">
        <v>2013</v>
      </c>
      <c r="B4" s="605"/>
      <c r="C4" s="605"/>
      <c r="D4" s="605"/>
      <c r="E4" s="605"/>
      <c r="F4" s="605"/>
      <c r="G4" s="605"/>
      <c r="H4" s="605"/>
      <c r="I4" s="605"/>
      <c r="J4" s="605"/>
      <c r="K4" s="605"/>
      <c r="L4" s="605"/>
      <c r="M4" s="605"/>
      <c r="N4" s="605"/>
      <c r="O4" s="605"/>
    </row>
    <row r="5" spans="1:97" x14ac:dyDescent="0.25">
      <c r="A5" s="2"/>
      <c r="B5" s="2"/>
      <c r="C5" s="2"/>
      <c r="D5" s="2"/>
      <c r="E5" s="2"/>
      <c r="F5" s="2"/>
      <c r="G5" s="2"/>
      <c r="H5" s="2"/>
      <c r="I5" s="2"/>
      <c r="J5" s="2"/>
      <c r="K5" s="2"/>
      <c r="L5" s="388"/>
      <c r="M5" s="233"/>
      <c r="N5" s="233"/>
      <c r="O5" s="233"/>
    </row>
    <row r="6" spans="1:97" x14ac:dyDescent="0.25">
      <c r="A6" s="7" t="s">
        <v>4</v>
      </c>
      <c r="B6" s="606" t="s">
        <v>3984</v>
      </c>
      <c r="C6" s="606"/>
      <c r="D6" s="606"/>
      <c r="E6" s="606"/>
      <c r="F6" s="606"/>
      <c r="G6" s="606"/>
      <c r="H6" s="606"/>
      <c r="I6" s="606"/>
      <c r="J6" s="606"/>
      <c r="K6" s="606"/>
      <c r="L6" s="606"/>
      <c r="M6" s="606"/>
      <c r="N6" s="606"/>
      <c r="O6" s="606"/>
    </row>
    <row r="7" spans="1:97" x14ac:dyDescent="0.25">
      <c r="A7" s="617" t="s">
        <v>6</v>
      </c>
      <c r="B7" s="617" t="s">
        <v>7</v>
      </c>
      <c r="C7" s="617" t="s">
        <v>8</v>
      </c>
      <c r="D7" s="617" t="s">
        <v>9</v>
      </c>
      <c r="E7" s="617" t="s">
        <v>10</v>
      </c>
      <c r="F7" s="617" t="s">
        <v>11</v>
      </c>
      <c r="G7" s="617" t="s">
        <v>12</v>
      </c>
      <c r="H7" s="617" t="s">
        <v>13</v>
      </c>
      <c r="I7" s="621" t="s">
        <v>14</v>
      </c>
      <c r="J7" s="621" t="s">
        <v>15</v>
      </c>
      <c r="K7" s="617" t="s">
        <v>16</v>
      </c>
      <c r="L7" s="617" t="s">
        <v>17</v>
      </c>
      <c r="M7" s="617" t="s">
        <v>18</v>
      </c>
      <c r="N7" s="623" t="s">
        <v>19</v>
      </c>
      <c r="O7" s="623" t="s">
        <v>20</v>
      </c>
      <c r="P7" s="623" t="s">
        <v>21</v>
      </c>
      <c r="Q7" s="619" t="s">
        <v>22</v>
      </c>
    </row>
    <row r="8" spans="1:97" ht="43.5" customHeight="1" x14ac:dyDescent="0.25">
      <c r="A8" s="618"/>
      <c r="B8" s="618"/>
      <c r="C8" s="618"/>
      <c r="D8" s="618"/>
      <c r="E8" s="618"/>
      <c r="F8" s="618"/>
      <c r="G8" s="618"/>
      <c r="H8" s="618"/>
      <c r="I8" s="622"/>
      <c r="J8" s="622"/>
      <c r="K8" s="618"/>
      <c r="L8" s="630"/>
      <c r="M8" s="630"/>
      <c r="N8" s="631"/>
      <c r="O8" s="631"/>
      <c r="P8" s="632"/>
      <c r="Q8" s="620"/>
      <c r="S8" s="566"/>
      <c r="T8" s="566"/>
      <c r="U8" s="566"/>
      <c r="V8" s="566"/>
      <c r="W8" s="566"/>
      <c r="X8" s="566"/>
      <c r="Y8" s="566"/>
      <c r="Z8" s="566"/>
      <c r="AA8" s="566"/>
      <c r="AB8" s="566"/>
      <c r="AC8" s="566"/>
      <c r="AD8" s="566"/>
      <c r="AE8" s="566"/>
      <c r="AF8" s="566"/>
      <c r="AG8" s="566"/>
      <c r="AH8" s="566"/>
      <c r="AK8" s="567"/>
      <c r="AO8" s="567"/>
      <c r="AS8" s="567"/>
      <c r="AW8" s="567"/>
      <c r="BA8" s="567"/>
      <c r="BE8" s="567"/>
      <c r="BI8" s="567"/>
      <c r="BM8" s="567"/>
      <c r="BQ8" s="567"/>
      <c r="BU8" s="567"/>
      <c r="BY8" s="567"/>
      <c r="CC8" s="567"/>
      <c r="CG8" s="567"/>
      <c r="CK8" s="567"/>
      <c r="CO8" s="567"/>
      <c r="CS8" s="567"/>
    </row>
    <row r="9" spans="1:97" ht="135" x14ac:dyDescent="0.25">
      <c r="A9" s="10" t="s">
        <v>23</v>
      </c>
      <c r="B9" s="18" t="s">
        <v>136</v>
      </c>
      <c r="C9" s="18" t="s">
        <v>137</v>
      </c>
      <c r="D9" s="18">
        <v>211180000</v>
      </c>
      <c r="E9" s="18" t="s">
        <v>138</v>
      </c>
      <c r="F9" s="134" t="s">
        <v>3985</v>
      </c>
      <c r="G9" s="18">
        <v>222234001</v>
      </c>
      <c r="H9" s="18" t="s">
        <v>3986</v>
      </c>
      <c r="I9" s="517">
        <v>315732298</v>
      </c>
      <c r="J9" s="568">
        <f>253302620+I9</f>
        <v>569034918</v>
      </c>
      <c r="K9" s="18" t="s">
        <v>3987</v>
      </c>
      <c r="L9" s="311">
        <v>70</v>
      </c>
      <c r="M9" s="311">
        <v>20</v>
      </c>
      <c r="N9" s="81"/>
      <c r="O9" s="81">
        <v>20</v>
      </c>
      <c r="P9" s="537">
        <v>0.5</v>
      </c>
      <c r="Q9" s="10" t="s">
        <v>3988</v>
      </c>
      <c r="R9" s="566"/>
      <c r="U9" s="567"/>
      <c r="V9" s="566"/>
      <c r="W9" s="566"/>
      <c r="X9" s="566"/>
      <c r="Y9" s="566"/>
      <c r="Z9" s="566"/>
      <c r="AA9" s="566"/>
      <c r="AB9" s="566"/>
      <c r="AC9" s="566"/>
      <c r="AD9" s="566"/>
      <c r="AE9" s="566"/>
      <c r="AF9" s="566"/>
      <c r="AG9" s="566"/>
      <c r="AH9" s="566"/>
      <c r="AK9" s="567"/>
      <c r="AO9" s="567"/>
      <c r="AS9" s="567"/>
      <c r="AW9" s="567"/>
      <c r="BA9" s="567"/>
      <c r="BE9" s="567"/>
      <c r="BI9" s="567"/>
      <c r="BM9" s="567"/>
      <c r="BQ9" s="567"/>
      <c r="BU9" s="567"/>
      <c r="BY9" s="567"/>
      <c r="CC9" s="567"/>
      <c r="CG9" s="567"/>
      <c r="CK9" s="567"/>
      <c r="CO9" s="567"/>
      <c r="CS9" s="567"/>
    </row>
    <row r="10" spans="1:97" ht="60" x14ac:dyDescent="0.25">
      <c r="A10" s="10" t="s">
        <v>275</v>
      </c>
      <c r="B10" s="18" t="s">
        <v>3989</v>
      </c>
      <c r="C10" s="18" t="s">
        <v>3990</v>
      </c>
      <c r="D10" s="18">
        <v>253110000</v>
      </c>
      <c r="E10" s="18" t="s">
        <v>3991</v>
      </c>
      <c r="F10" s="134" t="s">
        <v>3992</v>
      </c>
      <c r="G10" s="18">
        <v>182110001</v>
      </c>
      <c r="H10" s="18" t="s">
        <v>3993</v>
      </c>
      <c r="I10" s="517">
        <v>0</v>
      </c>
      <c r="J10" s="568">
        <v>-33785799</v>
      </c>
      <c r="K10" s="18" t="s">
        <v>3994</v>
      </c>
      <c r="L10" s="311">
        <v>7</v>
      </c>
      <c r="M10" s="518">
        <v>0</v>
      </c>
      <c r="N10" s="81">
        <v>7</v>
      </c>
      <c r="O10" s="81"/>
      <c r="P10" s="539">
        <v>0</v>
      </c>
      <c r="Q10" s="10" t="s">
        <v>3995</v>
      </c>
      <c r="R10" s="566"/>
      <c r="U10" s="567"/>
      <c r="V10" s="566"/>
      <c r="W10" s="566"/>
      <c r="X10" s="566"/>
      <c r="Y10" s="566"/>
      <c r="Z10" s="566"/>
      <c r="AA10" s="566"/>
      <c r="AB10" s="566"/>
      <c r="AC10" s="566"/>
      <c r="AD10" s="566"/>
      <c r="AE10" s="566"/>
      <c r="AF10" s="566"/>
      <c r="AG10" s="566"/>
      <c r="AH10" s="566"/>
      <c r="AK10" s="567"/>
      <c r="AO10" s="567"/>
      <c r="AS10" s="567"/>
      <c r="AW10" s="567"/>
      <c r="BA10" s="567"/>
      <c r="BE10" s="567"/>
      <c r="BI10" s="567"/>
      <c r="BM10" s="567"/>
      <c r="BQ10" s="567"/>
      <c r="BU10" s="567"/>
      <c r="BY10" s="567"/>
      <c r="CC10" s="567"/>
      <c r="CG10" s="567"/>
      <c r="CK10" s="567"/>
      <c r="CO10" s="567"/>
      <c r="CS10" s="567"/>
    </row>
    <row r="11" spans="1:97" ht="210" x14ac:dyDescent="0.25">
      <c r="A11" s="10" t="s">
        <v>275</v>
      </c>
      <c r="B11" s="18" t="s">
        <v>3989</v>
      </c>
      <c r="C11" s="18" t="s">
        <v>3990</v>
      </c>
      <c r="D11" s="18">
        <v>253110000</v>
      </c>
      <c r="E11" s="18" t="s">
        <v>3991</v>
      </c>
      <c r="F11" s="134" t="s">
        <v>3996</v>
      </c>
      <c r="G11" s="18">
        <v>182124001</v>
      </c>
      <c r="H11" s="18" t="s">
        <v>3997</v>
      </c>
      <c r="I11" s="517">
        <v>0</v>
      </c>
      <c r="J11" s="568">
        <v>251955147</v>
      </c>
      <c r="K11" s="18" t="s">
        <v>3998</v>
      </c>
      <c r="L11" s="311">
        <v>80</v>
      </c>
      <c r="M11" s="311">
        <v>0</v>
      </c>
      <c r="N11" s="81">
        <v>40</v>
      </c>
      <c r="O11" s="81">
        <v>0</v>
      </c>
      <c r="P11" s="537">
        <v>0.4</v>
      </c>
      <c r="Q11" s="569" t="s">
        <v>3999</v>
      </c>
      <c r="R11" s="566"/>
      <c r="U11" s="567"/>
      <c r="V11" s="566"/>
      <c r="W11" s="566"/>
      <c r="X11" s="566"/>
      <c r="Y11" s="566"/>
      <c r="Z11" s="566"/>
      <c r="AA11" s="566"/>
      <c r="AB11" s="566"/>
      <c r="AC11" s="566"/>
      <c r="AD11" s="566"/>
      <c r="AE11" s="566"/>
      <c r="AF11" s="566"/>
      <c r="AG11" s="566"/>
      <c r="AH11" s="566"/>
      <c r="AK11" s="567"/>
      <c r="AO11" s="567"/>
      <c r="AS11" s="567"/>
      <c r="AW11" s="567"/>
      <c r="BA11" s="567"/>
      <c r="BE11" s="567"/>
      <c r="BI11" s="567"/>
      <c r="BM11" s="567"/>
      <c r="BQ11" s="567"/>
      <c r="BU11" s="567"/>
      <c r="BY11" s="567"/>
      <c r="CC11" s="567"/>
      <c r="CG11" s="567"/>
      <c r="CK11" s="567"/>
      <c r="CO11" s="567"/>
      <c r="CS11" s="567"/>
    </row>
    <row r="12" spans="1:97" ht="195" x14ac:dyDescent="0.25">
      <c r="A12" s="10" t="s">
        <v>275</v>
      </c>
      <c r="B12" s="18" t="s">
        <v>3989</v>
      </c>
      <c r="C12" s="18" t="s">
        <v>3990</v>
      </c>
      <c r="D12" s="18">
        <v>253120000</v>
      </c>
      <c r="E12" s="18" t="s">
        <v>4000</v>
      </c>
      <c r="F12" s="134" t="s">
        <v>4001</v>
      </c>
      <c r="G12" s="18">
        <v>182189001</v>
      </c>
      <c r="H12" s="18" t="s">
        <v>4002</v>
      </c>
      <c r="I12" s="517">
        <v>0</v>
      </c>
      <c r="J12" s="568">
        <v>0</v>
      </c>
      <c r="K12" s="18" t="s">
        <v>4003</v>
      </c>
      <c r="L12" s="311">
        <v>1</v>
      </c>
      <c r="M12" s="311">
        <v>0</v>
      </c>
      <c r="N12" s="81">
        <v>1</v>
      </c>
      <c r="O12" s="81">
        <v>0</v>
      </c>
      <c r="P12" s="539">
        <v>0</v>
      </c>
      <c r="Q12" s="10" t="s">
        <v>4004</v>
      </c>
      <c r="R12" s="566"/>
      <c r="U12" s="567"/>
      <c r="V12" s="566"/>
      <c r="W12" s="566"/>
      <c r="X12" s="566"/>
      <c r="Y12" s="566"/>
      <c r="Z12" s="566"/>
      <c r="AA12" s="566"/>
      <c r="AB12" s="566"/>
      <c r="AC12" s="566"/>
      <c r="AD12" s="566"/>
      <c r="AE12" s="566"/>
      <c r="AF12" s="566"/>
      <c r="AG12" s="566"/>
      <c r="AH12" s="566"/>
      <c r="AK12" s="567"/>
      <c r="AO12" s="567"/>
      <c r="AS12" s="567"/>
      <c r="AW12" s="567"/>
      <c r="BA12" s="567"/>
      <c r="BE12" s="567"/>
      <c r="BI12" s="567"/>
      <c r="BM12" s="567"/>
      <c r="BQ12" s="567"/>
      <c r="BU12" s="567"/>
      <c r="BY12" s="567"/>
      <c r="CC12" s="567"/>
      <c r="CG12" s="567"/>
      <c r="CK12" s="567"/>
      <c r="CO12" s="567"/>
      <c r="CS12" s="567"/>
    </row>
    <row r="13" spans="1:97" ht="150" x14ac:dyDescent="0.25">
      <c r="A13" s="10"/>
      <c r="B13" s="18"/>
      <c r="C13" s="18"/>
      <c r="D13" s="18"/>
      <c r="E13" s="18"/>
      <c r="F13" s="134" t="s">
        <v>4005</v>
      </c>
      <c r="G13" s="18" t="s">
        <v>4006</v>
      </c>
      <c r="H13" s="18" t="s">
        <v>4007</v>
      </c>
      <c r="I13" s="517">
        <v>160000000</v>
      </c>
      <c r="J13" s="568">
        <f>I13</f>
        <v>160000000</v>
      </c>
      <c r="K13" s="18" t="s">
        <v>4003</v>
      </c>
      <c r="L13" s="311"/>
      <c r="M13" s="311"/>
      <c r="N13" s="81"/>
      <c r="O13" s="81"/>
      <c r="P13" s="539">
        <v>0</v>
      </c>
      <c r="Q13" s="10" t="s">
        <v>4008</v>
      </c>
      <c r="R13" s="566"/>
      <c r="U13" s="567"/>
      <c r="V13" s="566"/>
      <c r="W13" s="566"/>
      <c r="X13" s="566"/>
      <c r="Y13" s="566"/>
      <c r="Z13" s="566"/>
      <c r="AA13" s="566"/>
      <c r="AB13" s="566"/>
      <c r="AC13" s="566"/>
      <c r="AD13" s="566"/>
      <c r="AE13" s="566"/>
      <c r="AF13" s="566"/>
      <c r="AG13" s="566"/>
      <c r="AH13" s="566"/>
      <c r="AK13" s="567"/>
      <c r="AO13" s="567"/>
      <c r="AS13" s="567"/>
      <c r="AW13" s="567"/>
      <c r="BA13" s="567"/>
      <c r="BE13" s="567"/>
      <c r="BI13" s="567"/>
      <c r="BM13" s="567"/>
      <c r="BQ13" s="567"/>
      <c r="BU13" s="567"/>
      <c r="BY13" s="567"/>
      <c r="CC13" s="567"/>
      <c r="CG13" s="567"/>
      <c r="CK13" s="567"/>
      <c r="CO13" s="567"/>
      <c r="CS13" s="567"/>
    </row>
    <row r="14" spans="1:97" ht="75" x14ac:dyDescent="0.25">
      <c r="A14" s="10"/>
      <c r="B14" s="18"/>
      <c r="C14" s="18"/>
      <c r="D14" s="18"/>
      <c r="E14" s="18"/>
      <c r="F14" s="134" t="s">
        <v>4009</v>
      </c>
      <c r="G14" s="18" t="s">
        <v>4010</v>
      </c>
      <c r="H14" s="18" t="s">
        <v>4011</v>
      </c>
      <c r="I14" s="517"/>
      <c r="J14" s="568"/>
      <c r="K14" s="18" t="s">
        <v>4003</v>
      </c>
      <c r="L14" s="311"/>
      <c r="M14" s="311"/>
      <c r="N14" s="81"/>
      <c r="O14" s="81"/>
      <c r="P14" s="539">
        <v>0</v>
      </c>
      <c r="Q14" s="10" t="s">
        <v>4012</v>
      </c>
      <c r="R14" s="566"/>
      <c r="U14" s="567"/>
      <c r="V14" s="566"/>
      <c r="W14" s="566"/>
      <c r="X14" s="566"/>
      <c r="Y14" s="566"/>
      <c r="Z14" s="566"/>
      <c r="AA14" s="566"/>
      <c r="AB14" s="566"/>
      <c r="AC14" s="566"/>
      <c r="AD14" s="566"/>
      <c r="AE14" s="566"/>
      <c r="AF14" s="566"/>
      <c r="AG14" s="566"/>
      <c r="AH14" s="566"/>
      <c r="AK14" s="567"/>
      <c r="AO14" s="567"/>
      <c r="AS14" s="567"/>
      <c r="AW14" s="567"/>
      <c r="BA14" s="567"/>
      <c r="BE14" s="567"/>
      <c r="BI14" s="567"/>
      <c r="BM14" s="567"/>
      <c r="BQ14" s="567"/>
      <c r="BU14" s="567"/>
      <c r="BY14" s="567"/>
      <c r="CC14" s="567"/>
      <c r="CG14" s="567"/>
      <c r="CK14" s="567"/>
      <c r="CO14" s="567"/>
      <c r="CS14" s="567"/>
    </row>
    <row r="15" spans="1:97" ht="75" x14ac:dyDescent="0.25">
      <c r="A15" s="10" t="s">
        <v>275</v>
      </c>
      <c r="B15" s="18" t="s">
        <v>3989</v>
      </c>
      <c r="C15" s="18" t="s">
        <v>3990</v>
      </c>
      <c r="D15" s="18">
        <v>253130000</v>
      </c>
      <c r="E15" s="18" t="s">
        <v>4013</v>
      </c>
      <c r="F15" s="134" t="s">
        <v>4014</v>
      </c>
      <c r="G15" s="18">
        <v>182009001</v>
      </c>
      <c r="H15" s="18" t="s">
        <v>4015</v>
      </c>
      <c r="I15" s="517">
        <v>384503452</v>
      </c>
      <c r="J15" s="517">
        <f>-178767708+I15</f>
        <v>205735744</v>
      </c>
      <c r="K15" s="18" t="s">
        <v>4016</v>
      </c>
      <c r="L15" s="311">
        <v>0</v>
      </c>
      <c r="M15" s="311">
        <v>8</v>
      </c>
      <c r="N15" s="81"/>
      <c r="O15" s="81">
        <v>8</v>
      </c>
      <c r="P15" s="539">
        <v>10</v>
      </c>
      <c r="Q15" s="10" t="s">
        <v>4017</v>
      </c>
      <c r="R15" s="566"/>
      <c r="U15" s="567"/>
      <c r="V15" s="566"/>
      <c r="W15" s="566"/>
      <c r="X15" s="566"/>
      <c r="Y15" s="566"/>
      <c r="Z15" s="566"/>
      <c r="AA15" s="566"/>
      <c r="AB15" s="566"/>
      <c r="AC15" s="566"/>
      <c r="AD15" s="566"/>
      <c r="AE15" s="566"/>
      <c r="AF15" s="566"/>
      <c r="AG15" s="566"/>
      <c r="AH15" s="566"/>
      <c r="AK15" s="567"/>
      <c r="AO15" s="567"/>
      <c r="AS15" s="567"/>
      <c r="AW15" s="567"/>
      <c r="BA15" s="567"/>
      <c r="BE15" s="567"/>
      <c r="BI15" s="567"/>
      <c r="BM15" s="567"/>
      <c r="BQ15" s="567"/>
      <c r="BU15" s="567"/>
      <c r="BY15" s="567"/>
      <c r="CC15" s="567"/>
      <c r="CG15" s="567"/>
      <c r="CK15" s="567"/>
      <c r="CO15" s="567"/>
      <c r="CS15" s="567"/>
    </row>
    <row r="16" spans="1:97" ht="150" x14ac:dyDescent="0.25">
      <c r="A16" s="10" t="s">
        <v>275</v>
      </c>
      <c r="B16" s="18" t="s">
        <v>3989</v>
      </c>
      <c r="C16" s="18" t="s">
        <v>3990</v>
      </c>
      <c r="D16" s="18">
        <v>253130000</v>
      </c>
      <c r="E16" s="18" t="s">
        <v>4013</v>
      </c>
      <c r="F16" s="134" t="s">
        <v>4018</v>
      </c>
      <c r="G16" s="18">
        <v>182167001</v>
      </c>
      <c r="H16" s="18" t="s">
        <v>4019</v>
      </c>
      <c r="I16" s="517">
        <v>-610650200</v>
      </c>
      <c r="J16" s="517">
        <f>-113958400+I16</f>
        <v>-724608600</v>
      </c>
      <c r="K16" s="18" t="s">
        <v>4020</v>
      </c>
      <c r="L16" s="311">
        <v>2</v>
      </c>
      <c r="M16" s="311">
        <v>0</v>
      </c>
      <c r="N16" s="81">
        <v>2</v>
      </c>
      <c r="O16" s="81">
        <v>0</v>
      </c>
      <c r="P16" s="539">
        <v>3</v>
      </c>
      <c r="Q16" s="10" t="s">
        <v>4021</v>
      </c>
      <c r="R16" s="566"/>
      <c r="U16" s="567"/>
      <c r="V16" s="566"/>
      <c r="W16" s="566"/>
      <c r="X16" s="566"/>
      <c r="Y16" s="566"/>
      <c r="Z16" s="566"/>
      <c r="AA16" s="566"/>
      <c r="AB16" s="566"/>
      <c r="AC16" s="566"/>
      <c r="AD16" s="566"/>
      <c r="AE16" s="566"/>
      <c r="AF16" s="566"/>
      <c r="AG16" s="566"/>
      <c r="AH16" s="566"/>
      <c r="AK16" s="567"/>
      <c r="AO16" s="567"/>
      <c r="AS16" s="567"/>
      <c r="AW16" s="567"/>
      <c r="BA16" s="567"/>
      <c r="BE16" s="567"/>
      <c r="BI16" s="567"/>
      <c r="BM16" s="567"/>
      <c r="BQ16" s="567"/>
      <c r="BU16" s="567"/>
      <c r="BY16" s="567"/>
      <c r="CC16" s="567"/>
      <c r="CG16" s="567"/>
      <c r="CK16" s="567"/>
      <c r="CO16" s="567"/>
      <c r="CS16" s="567"/>
    </row>
    <row r="17" spans="1:97" ht="75" x14ac:dyDescent="0.25">
      <c r="A17" s="10" t="s">
        <v>275</v>
      </c>
      <c r="B17" s="18" t="s">
        <v>3989</v>
      </c>
      <c r="C17" s="18" t="s">
        <v>3990</v>
      </c>
      <c r="D17" s="18">
        <v>253130000</v>
      </c>
      <c r="E17" s="18" t="s">
        <v>4013</v>
      </c>
      <c r="F17" s="134" t="s">
        <v>4022</v>
      </c>
      <c r="G17" s="18">
        <v>182188001</v>
      </c>
      <c r="H17" s="18" t="s">
        <v>4023</v>
      </c>
      <c r="I17" s="517">
        <v>15292707</v>
      </c>
      <c r="J17" s="517">
        <f>-21228463+I17</f>
        <v>-5935756</v>
      </c>
      <c r="K17" s="18" t="s">
        <v>4024</v>
      </c>
      <c r="L17" s="311">
        <v>40</v>
      </c>
      <c r="M17" s="311">
        <v>1</v>
      </c>
      <c r="N17" s="81"/>
      <c r="O17" s="81">
        <v>1</v>
      </c>
      <c r="P17" s="539">
        <v>1</v>
      </c>
      <c r="Q17" s="10" t="s">
        <v>4025</v>
      </c>
      <c r="R17" s="566"/>
      <c r="U17" s="567"/>
      <c r="V17" s="566"/>
      <c r="W17" s="566"/>
      <c r="X17" s="566"/>
      <c r="Y17" s="566"/>
      <c r="Z17" s="566"/>
      <c r="AA17" s="566"/>
      <c r="AB17" s="566"/>
      <c r="AC17" s="566"/>
      <c r="AD17" s="566"/>
      <c r="AE17" s="566"/>
      <c r="AF17" s="566"/>
      <c r="AG17" s="566"/>
      <c r="AH17" s="566"/>
      <c r="AK17" s="567"/>
      <c r="AO17" s="567"/>
      <c r="AS17" s="567"/>
      <c r="AW17" s="567"/>
      <c r="BA17" s="567"/>
      <c r="BE17" s="567"/>
      <c r="BI17" s="567"/>
      <c r="BM17" s="567"/>
      <c r="BQ17" s="567"/>
      <c r="BU17" s="567"/>
      <c r="BY17" s="567"/>
      <c r="CC17" s="567"/>
      <c r="CG17" s="567"/>
      <c r="CK17" s="567"/>
      <c r="CO17" s="567"/>
      <c r="CS17" s="567"/>
    </row>
    <row r="18" spans="1:97" ht="135" x14ac:dyDescent="0.25">
      <c r="A18" s="10" t="s">
        <v>275</v>
      </c>
      <c r="B18" s="18" t="s">
        <v>3989</v>
      </c>
      <c r="C18" s="18" t="s">
        <v>3990</v>
      </c>
      <c r="D18" s="18">
        <v>253130000</v>
      </c>
      <c r="E18" s="18" t="s">
        <v>4013</v>
      </c>
      <c r="F18" s="134" t="s">
        <v>4026</v>
      </c>
      <c r="G18" s="18">
        <v>182011001</v>
      </c>
      <c r="H18" s="18" t="s">
        <v>4027</v>
      </c>
      <c r="I18" s="517">
        <v>2438984938</v>
      </c>
      <c r="J18" s="517">
        <f>-825723451+I18</f>
        <v>1613261487</v>
      </c>
      <c r="K18" s="18" t="s">
        <v>4016</v>
      </c>
      <c r="L18" s="311">
        <v>0</v>
      </c>
      <c r="M18" s="311">
        <v>0</v>
      </c>
      <c r="N18" s="81"/>
      <c r="O18" s="81">
        <v>0</v>
      </c>
      <c r="P18" s="539">
        <v>0</v>
      </c>
      <c r="Q18" s="10" t="s">
        <v>4028</v>
      </c>
      <c r="R18" s="566"/>
      <c r="U18" s="567"/>
      <c r="V18" s="566"/>
      <c r="W18" s="566"/>
      <c r="X18" s="566"/>
      <c r="Y18" s="566"/>
      <c r="Z18" s="566"/>
      <c r="AA18" s="566"/>
      <c r="AB18" s="566"/>
      <c r="AC18" s="566"/>
      <c r="AD18" s="566"/>
      <c r="AE18" s="566"/>
      <c r="AF18" s="566"/>
      <c r="AG18" s="566"/>
      <c r="AH18" s="566"/>
      <c r="AK18" s="567"/>
      <c r="AO18" s="567"/>
      <c r="AS18" s="567"/>
      <c r="AW18" s="567"/>
      <c r="BA18" s="567"/>
      <c r="BE18" s="567"/>
      <c r="BI18" s="567"/>
      <c r="BM18" s="567"/>
      <c r="BQ18" s="567"/>
      <c r="BU18" s="567"/>
      <c r="BY18" s="567"/>
      <c r="CC18" s="567"/>
      <c r="CG18" s="567"/>
      <c r="CK18" s="567"/>
      <c r="CO18" s="567"/>
      <c r="CS18" s="567"/>
    </row>
    <row r="19" spans="1:97" ht="120" x14ac:dyDescent="0.25">
      <c r="A19" s="10" t="s">
        <v>275</v>
      </c>
      <c r="B19" s="18" t="s">
        <v>3989</v>
      </c>
      <c r="C19" s="18" t="s">
        <v>3990</v>
      </c>
      <c r="D19" s="18">
        <v>253130000</v>
      </c>
      <c r="E19" s="18" t="s">
        <v>4013</v>
      </c>
      <c r="F19" s="134" t="s">
        <v>4029</v>
      </c>
      <c r="G19" s="18">
        <v>182233001</v>
      </c>
      <c r="H19" s="18" t="s">
        <v>4030</v>
      </c>
      <c r="I19" s="517">
        <v>0</v>
      </c>
      <c r="J19" s="570">
        <v>0</v>
      </c>
      <c r="K19" s="18" t="s">
        <v>4031</v>
      </c>
      <c r="L19" s="311">
        <v>65</v>
      </c>
      <c r="M19" s="311">
        <v>0</v>
      </c>
      <c r="N19" s="81"/>
      <c r="O19" s="81">
        <v>0</v>
      </c>
      <c r="P19" s="539">
        <v>0</v>
      </c>
      <c r="Q19" s="10" t="s">
        <v>4032</v>
      </c>
      <c r="R19" s="566"/>
      <c r="U19" s="567"/>
      <c r="V19" s="566"/>
      <c r="W19" s="566"/>
      <c r="X19" s="566"/>
      <c r="Y19" s="566"/>
      <c r="Z19" s="566"/>
      <c r="AA19" s="566"/>
      <c r="AB19" s="566"/>
      <c r="AC19" s="566"/>
      <c r="AD19" s="566"/>
      <c r="AE19" s="566"/>
      <c r="AF19" s="566"/>
      <c r="AG19" s="566"/>
      <c r="AH19" s="566"/>
      <c r="AK19" s="567"/>
      <c r="AO19" s="567"/>
      <c r="AS19" s="567"/>
      <c r="AW19" s="567"/>
      <c r="BA19" s="567"/>
      <c r="BE19" s="567"/>
      <c r="BI19" s="567"/>
      <c r="BM19" s="567"/>
      <c r="BQ19" s="567"/>
      <c r="BU19" s="567"/>
      <c r="BY19" s="567"/>
      <c r="CC19" s="567"/>
      <c r="CG19" s="567"/>
      <c r="CK19" s="567"/>
      <c r="CO19" s="567"/>
      <c r="CS19" s="567"/>
    </row>
    <row r="20" spans="1:97" ht="75" x14ac:dyDescent="0.25">
      <c r="A20" s="10" t="s">
        <v>275</v>
      </c>
      <c r="B20" s="18" t="s">
        <v>3989</v>
      </c>
      <c r="C20" s="18" t="s">
        <v>3990</v>
      </c>
      <c r="D20" s="18">
        <v>253130000</v>
      </c>
      <c r="E20" s="18" t="s">
        <v>4013</v>
      </c>
      <c r="F20" s="134" t="s">
        <v>4033</v>
      </c>
      <c r="G20" s="18">
        <v>182007001</v>
      </c>
      <c r="H20" s="18" t="s">
        <v>4034</v>
      </c>
      <c r="I20" s="517">
        <v>212732081</v>
      </c>
      <c r="J20" s="517">
        <f>93045268+I20</f>
        <v>305777349</v>
      </c>
      <c r="K20" s="18" t="s">
        <v>4016</v>
      </c>
      <c r="L20" s="311">
        <v>0</v>
      </c>
      <c r="M20" s="311">
        <v>0</v>
      </c>
      <c r="N20" s="81"/>
      <c r="O20" s="81">
        <v>0</v>
      </c>
      <c r="P20" s="539">
        <v>0</v>
      </c>
      <c r="Q20" s="10" t="s">
        <v>4035</v>
      </c>
      <c r="R20" s="566"/>
      <c r="U20" s="567"/>
      <c r="V20" s="566"/>
      <c r="W20" s="566"/>
      <c r="X20" s="566"/>
      <c r="Y20" s="566"/>
      <c r="Z20" s="566"/>
      <c r="AA20" s="566"/>
      <c r="AB20" s="566"/>
      <c r="AC20" s="566"/>
      <c r="AD20" s="566"/>
      <c r="AE20" s="566"/>
      <c r="AF20" s="566"/>
      <c r="AG20" s="566"/>
      <c r="AH20" s="566"/>
      <c r="AK20" s="567"/>
      <c r="AO20" s="567"/>
      <c r="AS20" s="567"/>
      <c r="AW20" s="567"/>
      <c r="BA20" s="567"/>
      <c r="BE20" s="567"/>
      <c r="BI20" s="567"/>
      <c r="BM20" s="567"/>
      <c r="BQ20" s="567"/>
      <c r="BU20" s="567"/>
      <c r="BY20" s="567"/>
      <c r="CC20" s="567"/>
      <c r="CG20" s="567"/>
      <c r="CK20" s="567"/>
      <c r="CO20" s="567"/>
      <c r="CS20" s="567"/>
    </row>
    <row r="21" spans="1:97" ht="75" x14ac:dyDescent="0.25">
      <c r="A21" s="10" t="s">
        <v>275</v>
      </c>
      <c r="B21" s="18" t="s">
        <v>3989</v>
      </c>
      <c r="C21" s="18" t="s">
        <v>3990</v>
      </c>
      <c r="D21" s="18">
        <v>253130000</v>
      </c>
      <c r="E21" s="18" t="s">
        <v>4013</v>
      </c>
      <c r="F21" s="134" t="s">
        <v>4033</v>
      </c>
      <c r="G21" s="18">
        <v>182007002</v>
      </c>
      <c r="H21" s="18" t="s">
        <v>4036</v>
      </c>
      <c r="I21" s="517">
        <v>0</v>
      </c>
      <c r="J21" s="568">
        <f>-52604480</f>
        <v>-52604480</v>
      </c>
      <c r="K21" s="18" t="s">
        <v>4016</v>
      </c>
      <c r="L21" s="311">
        <v>0</v>
      </c>
      <c r="M21" s="311">
        <v>0</v>
      </c>
      <c r="N21" s="81"/>
      <c r="O21" s="81">
        <v>0</v>
      </c>
      <c r="P21" s="539">
        <v>1</v>
      </c>
      <c r="Q21" s="10" t="s">
        <v>4037</v>
      </c>
      <c r="R21" s="566"/>
      <c r="U21" s="567"/>
      <c r="V21" s="566"/>
      <c r="W21" s="566"/>
      <c r="X21" s="566"/>
      <c r="Y21" s="566"/>
      <c r="Z21" s="566"/>
      <c r="AA21" s="566"/>
      <c r="AB21" s="566"/>
      <c r="AC21" s="566"/>
      <c r="AD21" s="566"/>
      <c r="AE21" s="566"/>
      <c r="AF21" s="566"/>
      <c r="AG21" s="566"/>
      <c r="AH21" s="566"/>
      <c r="AK21" s="567"/>
      <c r="AO21" s="567"/>
      <c r="AS21" s="567"/>
      <c r="AW21" s="567"/>
      <c r="BA21" s="567"/>
      <c r="BE21" s="567"/>
      <c r="BI21" s="567"/>
      <c r="BM21" s="567"/>
      <c r="BQ21" s="567"/>
      <c r="BU21" s="567"/>
      <c r="BY21" s="567"/>
      <c r="CC21" s="567"/>
      <c r="CG21" s="567"/>
      <c r="CK21" s="567"/>
      <c r="CO21" s="567"/>
      <c r="CS21" s="567"/>
    </row>
    <row r="22" spans="1:97" ht="195" x14ac:dyDescent="0.25">
      <c r="A22" s="10" t="s">
        <v>275</v>
      </c>
      <c r="B22" s="18" t="s">
        <v>3989</v>
      </c>
      <c r="C22" s="18" t="s">
        <v>4038</v>
      </c>
      <c r="D22" s="18">
        <v>253210000</v>
      </c>
      <c r="E22" s="18" t="s">
        <v>4039</v>
      </c>
      <c r="F22" s="134" t="s">
        <v>4040</v>
      </c>
      <c r="G22" s="18">
        <v>182294001</v>
      </c>
      <c r="H22" s="18" t="s">
        <v>4041</v>
      </c>
      <c r="I22" s="517"/>
      <c r="J22" s="568"/>
      <c r="K22" s="18" t="s">
        <v>4042</v>
      </c>
      <c r="L22" s="311">
        <v>5</v>
      </c>
      <c r="M22" s="311">
        <v>25</v>
      </c>
      <c r="N22" s="81"/>
      <c r="O22" s="81">
        <v>25</v>
      </c>
      <c r="P22" s="537">
        <v>0.27</v>
      </c>
      <c r="Q22" s="10" t="s">
        <v>4043</v>
      </c>
      <c r="R22" s="566"/>
      <c r="U22" s="567"/>
      <c r="V22" s="566"/>
      <c r="W22" s="566"/>
      <c r="X22" s="566"/>
      <c r="Y22" s="566"/>
      <c r="Z22" s="566"/>
      <c r="AA22" s="566"/>
      <c r="AB22" s="566"/>
      <c r="AC22" s="566"/>
      <c r="AD22" s="566"/>
      <c r="AE22" s="566"/>
      <c r="AF22" s="566"/>
      <c r="AG22" s="566"/>
      <c r="AH22" s="566"/>
      <c r="AK22" s="567"/>
      <c r="AO22" s="567"/>
      <c r="AS22" s="567"/>
      <c r="AW22" s="567"/>
      <c r="BA22" s="567"/>
      <c r="BE22" s="567"/>
      <c r="BI22" s="567"/>
      <c r="BM22" s="567"/>
      <c r="BQ22" s="567"/>
      <c r="BU22" s="567"/>
      <c r="BY22" s="567"/>
      <c r="CC22" s="567"/>
      <c r="CG22" s="567"/>
      <c r="CK22" s="567"/>
      <c r="CO22" s="567"/>
      <c r="CS22" s="567"/>
    </row>
    <row r="23" spans="1:97" ht="150" x14ac:dyDescent="0.25">
      <c r="A23" s="10" t="s">
        <v>275</v>
      </c>
      <c r="B23" s="18" t="s">
        <v>3989</v>
      </c>
      <c r="C23" s="18" t="s">
        <v>4038</v>
      </c>
      <c r="D23" s="18">
        <v>253210000</v>
      </c>
      <c r="E23" s="18" t="s">
        <v>4039</v>
      </c>
      <c r="F23" s="134" t="s">
        <v>4040</v>
      </c>
      <c r="G23" s="18">
        <v>182294001</v>
      </c>
      <c r="H23" s="18" t="s">
        <v>4041</v>
      </c>
      <c r="I23" s="517">
        <v>27025699</v>
      </c>
      <c r="J23" s="517">
        <f>-30000000+I23</f>
        <v>-2974301</v>
      </c>
      <c r="K23" s="18" t="s">
        <v>4041</v>
      </c>
      <c r="L23" s="311">
        <v>38</v>
      </c>
      <c r="M23" s="311"/>
      <c r="N23" s="81"/>
      <c r="O23" s="81">
        <v>159.12</v>
      </c>
      <c r="P23" s="539">
        <v>182.05</v>
      </c>
      <c r="Q23" s="10" t="s">
        <v>4044</v>
      </c>
      <c r="R23" s="566"/>
      <c r="U23" s="567"/>
      <c r="V23" s="566"/>
      <c r="W23" s="566"/>
      <c r="X23" s="566"/>
      <c r="Y23" s="566"/>
      <c r="Z23" s="566"/>
      <c r="AA23" s="566"/>
      <c r="AB23" s="566"/>
      <c r="AC23" s="566"/>
      <c r="AD23" s="566"/>
      <c r="AE23" s="566"/>
      <c r="AF23" s="566"/>
      <c r="AG23" s="566"/>
      <c r="AH23" s="566"/>
      <c r="AK23" s="567"/>
      <c r="AO23" s="567"/>
      <c r="AS23" s="567"/>
      <c r="AW23" s="567"/>
      <c r="BA23" s="567"/>
      <c r="BE23" s="567"/>
      <c r="BI23" s="567"/>
      <c r="BM23" s="567"/>
      <c r="BQ23" s="567"/>
      <c r="BU23" s="567"/>
      <c r="BY23" s="567"/>
      <c r="CC23" s="567"/>
      <c r="CG23" s="567"/>
      <c r="CK23" s="567"/>
      <c r="CO23" s="567"/>
      <c r="CS23" s="567"/>
    </row>
    <row r="24" spans="1:97" ht="135" x14ac:dyDescent="0.25">
      <c r="A24" s="10" t="s">
        <v>275</v>
      </c>
      <c r="B24" s="18" t="s">
        <v>3989</v>
      </c>
      <c r="C24" s="18" t="s">
        <v>4038</v>
      </c>
      <c r="D24" s="34">
        <v>253210000</v>
      </c>
      <c r="E24" s="18" t="s">
        <v>4039</v>
      </c>
      <c r="F24" s="538" t="s">
        <v>4045</v>
      </c>
      <c r="G24" s="15">
        <v>172296</v>
      </c>
      <c r="H24" s="15" t="s">
        <v>4046</v>
      </c>
      <c r="I24" s="517"/>
      <c r="J24" s="517">
        <v>8820000000</v>
      </c>
      <c r="K24" s="487" t="s">
        <v>4047</v>
      </c>
      <c r="L24" s="311"/>
      <c r="M24" s="311"/>
      <c r="N24" s="81"/>
      <c r="O24" s="81"/>
      <c r="P24" s="537">
        <v>0.1</v>
      </c>
      <c r="Q24" s="10" t="s">
        <v>4048</v>
      </c>
      <c r="R24" s="566"/>
      <c r="U24" s="567"/>
      <c r="V24" s="566"/>
      <c r="W24" s="566"/>
      <c r="X24" s="566"/>
      <c r="Y24" s="566"/>
      <c r="Z24" s="566"/>
      <c r="AA24" s="566"/>
      <c r="AB24" s="566"/>
      <c r="AC24" s="566"/>
      <c r="AD24" s="566"/>
      <c r="AE24" s="566"/>
      <c r="AF24" s="566"/>
      <c r="AG24" s="566"/>
      <c r="AH24" s="566"/>
      <c r="AK24" s="567"/>
      <c r="AO24" s="567"/>
      <c r="AS24" s="567"/>
      <c r="AW24" s="567"/>
      <c r="BA24" s="567"/>
      <c r="BE24" s="567"/>
      <c r="BI24" s="567"/>
      <c r="BM24" s="567"/>
      <c r="BQ24" s="567"/>
      <c r="BU24" s="567"/>
      <c r="BY24" s="567"/>
      <c r="CC24" s="567"/>
      <c r="CG24" s="567"/>
      <c r="CK24" s="567"/>
      <c r="CO24" s="567"/>
      <c r="CS24" s="567"/>
    </row>
    <row r="25" spans="1:97" ht="105" x14ac:dyDescent="0.25">
      <c r="A25" s="10" t="s">
        <v>275</v>
      </c>
      <c r="B25" s="18" t="s">
        <v>3989</v>
      </c>
      <c r="C25" s="18" t="s">
        <v>4038</v>
      </c>
      <c r="D25" s="18">
        <v>253210000</v>
      </c>
      <c r="E25" s="18" t="s">
        <v>4039</v>
      </c>
      <c r="F25" s="134" t="s">
        <v>4049</v>
      </c>
      <c r="G25" s="18">
        <v>211018001</v>
      </c>
      <c r="H25" s="15" t="s">
        <v>4050</v>
      </c>
      <c r="I25" s="517">
        <v>4061928777</v>
      </c>
      <c r="J25" s="568">
        <f>I25</f>
        <v>4061928777</v>
      </c>
      <c r="K25" s="18"/>
      <c r="L25" s="311"/>
      <c r="M25" s="311"/>
      <c r="N25" s="81"/>
      <c r="O25" s="81"/>
      <c r="P25" s="539" t="s">
        <v>188</v>
      </c>
      <c r="Q25" s="10" t="s">
        <v>4051</v>
      </c>
      <c r="R25" s="566"/>
      <c r="U25" s="567"/>
      <c r="V25" s="566"/>
      <c r="W25" s="566"/>
      <c r="X25" s="566"/>
      <c r="Y25" s="566"/>
      <c r="Z25" s="566"/>
      <c r="AA25" s="566"/>
      <c r="AB25" s="566"/>
      <c r="AC25" s="566"/>
      <c r="AD25" s="566"/>
      <c r="AE25" s="566"/>
      <c r="AF25" s="566"/>
      <c r="AG25" s="566"/>
      <c r="AH25" s="566"/>
      <c r="AK25" s="567"/>
      <c r="AO25" s="567"/>
      <c r="AS25" s="567"/>
      <c r="AW25" s="567"/>
      <c r="BA25" s="567"/>
      <c r="BE25" s="567"/>
      <c r="BI25" s="567"/>
      <c r="BM25" s="567"/>
      <c r="BQ25" s="567"/>
      <c r="BU25" s="567"/>
      <c r="BY25" s="567"/>
      <c r="CC25" s="567"/>
      <c r="CG25" s="567"/>
      <c r="CK25" s="567"/>
      <c r="CO25" s="567"/>
      <c r="CS25" s="567"/>
    </row>
    <row r="26" spans="1:97" ht="105" x14ac:dyDescent="0.25">
      <c r="A26" s="10" t="s">
        <v>275</v>
      </c>
      <c r="B26" s="18" t="s">
        <v>3989</v>
      </c>
      <c r="C26" s="18" t="s">
        <v>4038</v>
      </c>
      <c r="D26" s="18">
        <v>253220000</v>
      </c>
      <c r="E26" s="18" t="s">
        <v>4052</v>
      </c>
      <c r="F26" s="134" t="s">
        <v>4053</v>
      </c>
      <c r="G26" s="18">
        <v>182278001</v>
      </c>
      <c r="H26" s="18" t="s">
        <v>4054</v>
      </c>
      <c r="I26" s="517">
        <v>-1289150560</v>
      </c>
      <c r="J26" s="517">
        <f>I26</f>
        <v>-1289150560</v>
      </c>
      <c r="K26" s="18" t="s">
        <v>4055</v>
      </c>
      <c r="L26" s="311">
        <v>2</v>
      </c>
      <c r="M26" s="311">
        <v>1</v>
      </c>
      <c r="N26" s="81">
        <v>1</v>
      </c>
      <c r="O26" s="81">
        <v>1</v>
      </c>
      <c r="P26" s="539">
        <v>3</v>
      </c>
      <c r="Q26" s="10" t="s">
        <v>4056</v>
      </c>
      <c r="R26" s="566"/>
      <c r="U26" s="567"/>
      <c r="V26" s="566"/>
      <c r="W26" s="566"/>
      <c r="X26" s="566"/>
      <c r="Y26" s="566"/>
      <c r="Z26" s="566"/>
      <c r="AA26" s="566"/>
      <c r="AB26" s="566"/>
      <c r="AC26" s="566"/>
      <c r="AD26" s="566"/>
      <c r="AE26" s="566"/>
      <c r="AF26" s="566"/>
      <c r="AG26" s="566"/>
      <c r="AH26" s="566"/>
      <c r="AK26" s="567"/>
      <c r="AO26" s="567"/>
      <c r="AS26" s="567"/>
      <c r="AW26" s="567"/>
      <c r="BA26" s="567"/>
      <c r="BE26" s="567"/>
      <c r="BI26" s="567"/>
      <c r="BM26" s="567"/>
      <c r="BQ26" s="567"/>
      <c r="BU26" s="567"/>
      <c r="BY26" s="567"/>
      <c r="CC26" s="567"/>
      <c r="CG26" s="567"/>
      <c r="CK26" s="567"/>
      <c r="CO26" s="567"/>
      <c r="CS26" s="567"/>
    </row>
    <row r="27" spans="1:97" ht="255" x14ac:dyDescent="0.25">
      <c r="A27" s="10"/>
      <c r="B27" s="18"/>
      <c r="C27" s="18"/>
      <c r="D27" s="18"/>
      <c r="E27" s="18"/>
      <c r="F27" s="134"/>
      <c r="G27" s="18"/>
      <c r="H27" s="119"/>
      <c r="I27" s="517"/>
      <c r="J27" s="570"/>
      <c r="K27" s="18" t="s">
        <v>4057</v>
      </c>
      <c r="L27" s="311">
        <v>0</v>
      </c>
      <c r="M27" s="311">
        <v>0</v>
      </c>
      <c r="N27" s="81"/>
      <c r="O27" s="81">
        <v>1</v>
      </c>
      <c r="P27" s="539">
        <v>1</v>
      </c>
      <c r="Q27" s="10" t="s">
        <v>4058</v>
      </c>
      <c r="R27" s="566"/>
      <c r="U27" s="567"/>
      <c r="V27" s="566"/>
      <c r="W27" s="566"/>
      <c r="X27" s="566"/>
      <c r="Y27" s="566"/>
      <c r="Z27" s="566"/>
      <c r="AA27" s="566"/>
      <c r="AB27" s="566"/>
      <c r="AC27" s="566"/>
      <c r="AD27" s="566"/>
      <c r="AE27" s="566"/>
      <c r="AF27" s="566"/>
      <c r="AG27" s="566"/>
      <c r="AH27" s="566"/>
      <c r="AK27" s="567"/>
      <c r="AO27" s="567"/>
      <c r="AS27" s="567"/>
      <c r="AW27" s="567"/>
      <c r="BA27" s="567"/>
      <c r="BE27" s="567"/>
      <c r="BI27" s="567"/>
      <c r="BM27" s="567"/>
      <c r="BQ27" s="567"/>
      <c r="BU27" s="567"/>
      <c r="BY27" s="567"/>
      <c r="CC27" s="567"/>
      <c r="CG27" s="567"/>
      <c r="CK27" s="567"/>
      <c r="CO27" s="567"/>
      <c r="CS27" s="567"/>
    </row>
    <row r="28" spans="1:97" ht="105" x14ac:dyDescent="0.25">
      <c r="A28" s="10" t="s">
        <v>275</v>
      </c>
      <c r="B28" s="18" t="s">
        <v>3989</v>
      </c>
      <c r="C28" s="18" t="s">
        <v>4038</v>
      </c>
      <c r="D28" s="18">
        <v>253220000</v>
      </c>
      <c r="E28" s="18" t="s">
        <v>4052</v>
      </c>
      <c r="F28" s="134" t="s">
        <v>4059</v>
      </c>
      <c r="G28" s="18">
        <v>182317001</v>
      </c>
      <c r="H28" s="18" t="s">
        <v>4060</v>
      </c>
      <c r="I28" s="517">
        <v>0</v>
      </c>
      <c r="J28" s="517">
        <v>-1100280527</v>
      </c>
      <c r="K28" s="18" t="s">
        <v>4061</v>
      </c>
      <c r="L28" s="311">
        <v>11</v>
      </c>
      <c r="M28" s="311">
        <v>0</v>
      </c>
      <c r="N28" s="81"/>
      <c r="O28" s="81">
        <v>0</v>
      </c>
      <c r="P28" s="539">
        <v>0</v>
      </c>
      <c r="Q28" s="10" t="s">
        <v>4062</v>
      </c>
      <c r="R28" s="566"/>
      <c r="U28" s="567"/>
      <c r="V28" s="566"/>
      <c r="W28" s="566"/>
      <c r="X28" s="566"/>
      <c r="Y28" s="566"/>
      <c r="Z28" s="566"/>
      <c r="AA28" s="566"/>
      <c r="AB28" s="566"/>
      <c r="AC28" s="566"/>
      <c r="AD28" s="566"/>
      <c r="AE28" s="566"/>
      <c r="AF28" s="566"/>
      <c r="AG28" s="566"/>
      <c r="AH28" s="566"/>
      <c r="AK28" s="567"/>
      <c r="AO28" s="567"/>
      <c r="AS28" s="567"/>
      <c r="AW28" s="567"/>
      <c r="BA28" s="567"/>
      <c r="BE28" s="567"/>
      <c r="BI28" s="567"/>
      <c r="BM28" s="567"/>
      <c r="BQ28" s="567"/>
      <c r="BU28" s="567"/>
      <c r="BY28" s="567"/>
      <c r="CC28" s="567"/>
      <c r="CG28" s="567"/>
      <c r="CK28" s="567"/>
      <c r="CO28" s="567"/>
      <c r="CS28" s="567"/>
    </row>
    <row r="29" spans="1:97" ht="45" x14ac:dyDescent="0.25">
      <c r="A29" s="10"/>
      <c r="B29" s="18"/>
      <c r="C29" s="18"/>
      <c r="D29" s="18"/>
      <c r="E29" s="18"/>
      <c r="F29" s="134"/>
      <c r="G29" s="18"/>
      <c r="H29" s="18"/>
      <c r="I29" s="517"/>
      <c r="J29" s="570"/>
      <c r="K29" s="18" t="s">
        <v>4063</v>
      </c>
      <c r="L29" s="311">
        <v>44</v>
      </c>
      <c r="M29" s="311">
        <v>44</v>
      </c>
      <c r="N29" s="81"/>
      <c r="O29" s="81" t="s">
        <v>4064</v>
      </c>
      <c r="P29" s="539">
        <v>52.4</v>
      </c>
      <c r="Q29" s="10" t="s">
        <v>4065</v>
      </c>
      <c r="R29" s="566"/>
      <c r="U29" s="567"/>
      <c r="V29" s="566"/>
      <c r="W29" s="566"/>
      <c r="X29" s="566"/>
      <c r="Y29" s="566"/>
      <c r="Z29" s="566"/>
      <c r="AA29" s="566"/>
      <c r="AB29" s="566"/>
      <c r="AC29" s="566"/>
      <c r="AD29" s="566"/>
      <c r="AE29" s="566"/>
      <c r="AF29" s="566"/>
      <c r="AG29" s="566"/>
      <c r="AH29" s="566"/>
      <c r="AK29" s="567"/>
      <c r="AO29" s="567"/>
      <c r="AS29" s="567"/>
      <c r="AW29" s="567"/>
      <c r="BA29" s="567"/>
      <c r="BE29" s="567"/>
      <c r="BI29" s="567"/>
      <c r="BM29" s="567"/>
      <c r="BQ29" s="567"/>
      <c r="BU29" s="567"/>
      <c r="BY29" s="567"/>
      <c r="CC29" s="567"/>
      <c r="CG29" s="567"/>
      <c r="CK29" s="567"/>
      <c r="CO29" s="567"/>
      <c r="CS29" s="567"/>
    </row>
    <row r="30" spans="1:97" ht="90" x14ac:dyDescent="0.25">
      <c r="A30" s="10"/>
      <c r="B30" s="18"/>
      <c r="C30" s="18"/>
      <c r="D30" s="18"/>
      <c r="E30" s="18"/>
      <c r="F30" s="134"/>
      <c r="G30" s="18"/>
      <c r="H30" s="18"/>
      <c r="I30" s="517"/>
      <c r="J30" s="570"/>
      <c r="K30" s="18" t="s">
        <v>4066</v>
      </c>
      <c r="L30" s="311">
        <v>1</v>
      </c>
      <c r="M30" s="311">
        <v>0</v>
      </c>
      <c r="N30" s="81">
        <v>1</v>
      </c>
      <c r="O30" s="81">
        <v>0</v>
      </c>
      <c r="P30" s="539">
        <v>3</v>
      </c>
      <c r="Q30" s="10" t="s">
        <v>4067</v>
      </c>
      <c r="R30" s="566"/>
      <c r="U30" s="567"/>
      <c r="V30" s="566"/>
      <c r="W30" s="566"/>
      <c r="X30" s="566"/>
      <c r="Y30" s="566"/>
      <c r="Z30" s="566"/>
      <c r="AA30" s="566"/>
      <c r="AB30" s="566"/>
      <c r="AC30" s="566"/>
      <c r="AD30" s="566"/>
      <c r="AE30" s="566"/>
      <c r="AF30" s="566"/>
      <c r="AG30" s="566"/>
      <c r="AH30" s="566"/>
      <c r="AK30" s="567"/>
      <c r="AO30" s="567"/>
      <c r="AS30" s="567"/>
      <c r="AW30" s="567"/>
      <c r="BA30" s="567"/>
      <c r="BE30" s="567"/>
      <c r="BI30" s="567"/>
      <c r="BM30" s="567"/>
      <c r="BQ30" s="567"/>
      <c r="BU30" s="567"/>
      <c r="BY30" s="567"/>
      <c r="CC30" s="567"/>
      <c r="CG30" s="567"/>
      <c r="CK30" s="567"/>
      <c r="CO30" s="567"/>
      <c r="CS30" s="567"/>
    </row>
    <row r="31" spans="1:97" ht="105" x14ac:dyDescent="0.25">
      <c r="A31" s="10" t="s">
        <v>275</v>
      </c>
      <c r="B31" s="18" t="s">
        <v>3989</v>
      </c>
      <c r="C31" s="18" t="s">
        <v>4038</v>
      </c>
      <c r="D31" s="18">
        <v>253220000</v>
      </c>
      <c r="E31" s="18" t="s">
        <v>4052</v>
      </c>
      <c r="F31" s="134" t="s">
        <v>4068</v>
      </c>
      <c r="G31" s="18">
        <v>182259001</v>
      </c>
      <c r="H31" s="18" t="s">
        <v>4069</v>
      </c>
      <c r="I31" s="517">
        <v>36000000000</v>
      </c>
      <c r="J31" s="517">
        <f>I31</f>
        <v>36000000000</v>
      </c>
      <c r="K31" s="18" t="s">
        <v>4070</v>
      </c>
      <c r="L31" s="311">
        <v>88</v>
      </c>
      <c r="M31" s="311">
        <v>54</v>
      </c>
      <c r="N31" s="81"/>
      <c r="O31" s="81">
        <v>54</v>
      </c>
      <c r="P31" s="539">
        <v>90</v>
      </c>
      <c r="Q31" s="10" t="s">
        <v>4071</v>
      </c>
      <c r="R31" s="566"/>
      <c r="U31" s="567"/>
      <c r="V31" s="566"/>
      <c r="W31" s="566"/>
      <c r="X31" s="566"/>
      <c r="Y31" s="566"/>
      <c r="Z31" s="566"/>
      <c r="AA31" s="566"/>
      <c r="AB31" s="566"/>
      <c r="AC31" s="566"/>
      <c r="AD31" s="566"/>
      <c r="AE31" s="566"/>
      <c r="AF31" s="566"/>
      <c r="AG31" s="566"/>
      <c r="AH31" s="566"/>
      <c r="AK31" s="567"/>
      <c r="AO31" s="567"/>
      <c r="AS31" s="567"/>
      <c r="AW31" s="567"/>
      <c r="BA31" s="567"/>
      <c r="BE31" s="567"/>
      <c r="BI31" s="567"/>
      <c r="BM31" s="567"/>
      <c r="BQ31" s="567"/>
      <c r="BU31" s="567"/>
      <c r="BY31" s="567"/>
      <c r="CC31" s="567"/>
      <c r="CG31" s="567"/>
      <c r="CK31" s="567"/>
      <c r="CO31" s="567"/>
      <c r="CS31" s="567"/>
    </row>
    <row r="32" spans="1:97" ht="60" x14ac:dyDescent="0.25">
      <c r="A32" s="10"/>
      <c r="B32" s="18"/>
      <c r="C32" s="18"/>
      <c r="D32" s="18"/>
      <c r="E32" s="18"/>
      <c r="F32" s="134"/>
      <c r="G32" s="18"/>
      <c r="H32" s="18"/>
      <c r="I32" s="517"/>
      <c r="J32" s="570"/>
      <c r="K32" s="18" t="s">
        <v>4072</v>
      </c>
      <c r="L32" s="311">
        <v>1.8</v>
      </c>
      <c r="M32" s="311">
        <v>1</v>
      </c>
      <c r="N32" s="81"/>
      <c r="O32" s="81">
        <v>0</v>
      </c>
      <c r="P32" s="537">
        <v>0.1</v>
      </c>
      <c r="Q32" s="10" t="s">
        <v>4073</v>
      </c>
      <c r="R32" s="566"/>
      <c r="U32" s="567"/>
      <c r="V32" s="566"/>
      <c r="W32" s="566"/>
      <c r="X32" s="566"/>
      <c r="Y32" s="566"/>
      <c r="Z32" s="566"/>
      <c r="AA32" s="566"/>
      <c r="AB32" s="566"/>
      <c r="AC32" s="566"/>
      <c r="AD32" s="566"/>
      <c r="AE32" s="566"/>
      <c r="AF32" s="566"/>
      <c r="AG32" s="566"/>
      <c r="AH32" s="566"/>
      <c r="AK32" s="567"/>
      <c r="AO32" s="567"/>
      <c r="AS32" s="567"/>
      <c r="AW32" s="567"/>
      <c r="BA32" s="567"/>
      <c r="BE32" s="567"/>
      <c r="BI32" s="567"/>
      <c r="BM32" s="567"/>
      <c r="BQ32" s="567"/>
      <c r="BU32" s="567"/>
      <c r="BY32" s="567"/>
      <c r="CC32" s="567"/>
      <c r="CG32" s="567"/>
      <c r="CK32" s="567"/>
      <c r="CO32" s="567"/>
      <c r="CS32" s="567"/>
    </row>
    <row r="33" spans="1:97" ht="120" x14ac:dyDescent="0.25">
      <c r="A33" s="10" t="s">
        <v>275</v>
      </c>
      <c r="B33" s="18" t="s">
        <v>3989</v>
      </c>
      <c r="C33" s="18" t="s">
        <v>4038</v>
      </c>
      <c r="D33" s="18">
        <v>253220000</v>
      </c>
      <c r="E33" s="18" t="s">
        <v>4052</v>
      </c>
      <c r="F33" s="134" t="s">
        <v>4074</v>
      </c>
      <c r="G33" s="18"/>
      <c r="H33" s="18" t="s">
        <v>4075</v>
      </c>
      <c r="I33" s="517"/>
      <c r="J33" s="570"/>
      <c r="K33" s="18" t="s">
        <v>4076</v>
      </c>
      <c r="L33" s="311"/>
      <c r="M33" s="311"/>
      <c r="N33" s="81"/>
      <c r="O33" s="540">
        <v>1</v>
      </c>
      <c r="P33" s="539">
        <v>1</v>
      </c>
      <c r="Q33" s="10" t="s">
        <v>4077</v>
      </c>
      <c r="R33" s="566"/>
      <c r="U33" s="567"/>
      <c r="V33" s="566"/>
      <c r="W33" s="566"/>
      <c r="X33" s="566"/>
      <c r="Y33" s="566"/>
      <c r="Z33" s="566"/>
      <c r="AA33" s="566"/>
      <c r="AB33" s="566"/>
      <c r="AC33" s="566"/>
      <c r="AD33" s="566"/>
      <c r="AE33" s="566"/>
      <c r="AF33" s="566"/>
      <c r="AG33" s="566"/>
      <c r="AH33" s="566"/>
      <c r="AK33" s="567"/>
      <c r="AO33" s="567"/>
      <c r="AS33" s="567"/>
      <c r="AW33" s="567"/>
      <c r="BA33" s="567"/>
      <c r="BE33" s="567"/>
      <c r="BI33" s="567"/>
      <c r="BM33" s="567"/>
      <c r="BQ33" s="567"/>
      <c r="BU33" s="567"/>
      <c r="BY33" s="567"/>
      <c r="CC33" s="567"/>
      <c r="CG33" s="567"/>
      <c r="CK33" s="567"/>
      <c r="CO33" s="567"/>
      <c r="CS33" s="567"/>
    </row>
    <row r="34" spans="1:97" ht="105" x14ac:dyDescent="0.25">
      <c r="A34" s="10" t="s">
        <v>275</v>
      </c>
      <c r="B34" s="18" t="s">
        <v>3989</v>
      </c>
      <c r="C34" s="18" t="s">
        <v>4038</v>
      </c>
      <c r="D34" s="18">
        <v>253230000</v>
      </c>
      <c r="E34" s="18" t="s">
        <v>4078</v>
      </c>
      <c r="F34" s="134" t="s">
        <v>4079</v>
      </c>
      <c r="G34" s="18">
        <v>182008001</v>
      </c>
      <c r="H34" s="18" t="s">
        <v>4080</v>
      </c>
      <c r="I34" s="517">
        <v>6068666867</v>
      </c>
      <c r="J34" s="517">
        <f>7396902978+I34</f>
        <v>13465569845</v>
      </c>
      <c r="K34" s="18" t="s">
        <v>4081</v>
      </c>
      <c r="L34" s="81">
        <v>43</v>
      </c>
      <c r="M34" s="81"/>
      <c r="N34" s="81"/>
      <c r="O34" s="81">
        <v>569.29999999999995</v>
      </c>
      <c r="P34" s="539">
        <v>1694.4</v>
      </c>
      <c r="Q34" s="10" t="s">
        <v>4082</v>
      </c>
      <c r="R34" s="566"/>
      <c r="U34" s="567"/>
      <c r="V34" s="566"/>
      <c r="W34" s="566"/>
      <c r="X34" s="566"/>
      <c r="Y34" s="566"/>
      <c r="Z34" s="566"/>
      <c r="AA34" s="566"/>
      <c r="AB34" s="566"/>
      <c r="AC34" s="566"/>
      <c r="AD34" s="566"/>
      <c r="AE34" s="566"/>
      <c r="AF34" s="566"/>
      <c r="AG34" s="566"/>
      <c r="AH34" s="566"/>
      <c r="AK34" s="567"/>
      <c r="AO34" s="567"/>
      <c r="AS34" s="567"/>
      <c r="AW34" s="567"/>
      <c r="BA34" s="567"/>
      <c r="BE34" s="567"/>
      <c r="BI34" s="567"/>
      <c r="BM34" s="567"/>
      <c r="BQ34" s="567"/>
      <c r="BU34" s="567"/>
      <c r="BY34" s="567"/>
      <c r="CC34" s="567"/>
      <c r="CG34" s="567"/>
      <c r="CK34" s="567"/>
      <c r="CO34" s="567"/>
      <c r="CS34" s="567"/>
    </row>
    <row r="35" spans="1:97" ht="135" x14ac:dyDescent="0.25">
      <c r="A35" s="10"/>
      <c r="B35" s="18"/>
      <c r="C35" s="18"/>
      <c r="D35" s="18"/>
      <c r="E35" s="18"/>
      <c r="F35" s="134"/>
      <c r="G35" s="18"/>
      <c r="H35" s="18"/>
      <c r="I35" s="517"/>
      <c r="J35" s="517"/>
      <c r="K35" s="18" t="s">
        <v>4083</v>
      </c>
      <c r="L35" s="81"/>
      <c r="M35" s="81"/>
      <c r="N35" s="81"/>
      <c r="O35" s="81">
        <v>1721.9</v>
      </c>
      <c r="P35" s="571">
        <v>2447.4</v>
      </c>
      <c r="Q35" s="10" t="s">
        <v>4084</v>
      </c>
      <c r="R35" s="566"/>
      <c r="U35" s="567"/>
      <c r="V35" s="566"/>
      <c r="W35" s="566"/>
      <c r="X35" s="566"/>
      <c r="Y35" s="566"/>
      <c r="Z35" s="566"/>
      <c r="AA35" s="566"/>
      <c r="AB35" s="566"/>
      <c r="AC35" s="566"/>
      <c r="AD35" s="566"/>
      <c r="AE35" s="566"/>
      <c r="AF35" s="566"/>
      <c r="AG35" s="566"/>
      <c r="AH35" s="566"/>
      <c r="AK35" s="567"/>
      <c r="AO35" s="567"/>
      <c r="AS35" s="567"/>
      <c r="AW35" s="567"/>
      <c r="BA35" s="567"/>
      <c r="BE35" s="567"/>
      <c r="BI35" s="567"/>
      <c r="BM35" s="567"/>
      <c r="BQ35" s="567"/>
      <c r="BU35" s="567"/>
      <c r="BY35" s="567"/>
      <c r="CC35" s="567"/>
      <c r="CG35" s="567"/>
      <c r="CK35" s="567"/>
      <c r="CO35" s="567"/>
      <c r="CS35" s="567"/>
    </row>
    <row r="36" spans="1:97" ht="105" x14ac:dyDescent="0.25">
      <c r="A36" s="10"/>
      <c r="B36" s="18"/>
      <c r="C36" s="18"/>
      <c r="D36" s="18"/>
      <c r="E36" s="18"/>
      <c r="F36" s="134"/>
      <c r="G36" s="18"/>
      <c r="H36" s="18"/>
      <c r="I36" s="517"/>
      <c r="J36" s="570"/>
      <c r="K36" s="18" t="s">
        <v>4085</v>
      </c>
      <c r="L36" s="81">
        <v>19</v>
      </c>
      <c r="M36" s="81"/>
      <c r="N36" s="81"/>
      <c r="O36" s="81">
        <v>370</v>
      </c>
      <c r="P36" s="539">
        <v>726</v>
      </c>
      <c r="Q36" s="10" t="s">
        <v>4086</v>
      </c>
      <c r="R36" s="566"/>
      <c r="U36" s="567"/>
      <c r="V36" s="566"/>
      <c r="W36" s="566"/>
      <c r="X36" s="566"/>
      <c r="Y36" s="566"/>
      <c r="Z36" s="566"/>
      <c r="AA36" s="566"/>
      <c r="AB36" s="566"/>
      <c r="AC36" s="566"/>
      <c r="AD36" s="566"/>
      <c r="AE36" s="566"/>
      <c r="AF36" s="566"/>
      <c r="AG36" s="566"/>
      <c r="AH36" s="566"/>
      <c r="AK36" s="567"/>
      <c r="AO36" s="567"/>
      <c r="AS36" s="567"/>
      <c r="AW36" s="567"/>
      <c r="BA36" s="567"/>
      <c r="BE36" s="567"/>
      <c r="BI36" s="567"/>
      <c r="BM36" s="567"/>
      <c r="BQ36" s="567"/>
      <c r="BU36" s="567"/>
      <c r="BY36" s="567"/>
      <c r="CC36" s="567"/>
      <c r="CG36" s="567"/>
      <c r="CK36" s="567"/>
      <c r="CO36" s="567"/>
      <c r="CS36" s="567"/>
    </row>
    <row r="37" spans="1:97" ht="300" x14ac:dyDescent="0.25">
      <c r="A37" s="10"/>
      <c r="B37" s="18"/>
      <c r="C37" s="18"/>
      <c r="D37" s="18"/>
      <c r="E37" s="18"/>
      <c r="F37" s="134"/>
      <c r="G37" s="18"/>
      <c r="H37" s="18"/>
      <c r="I37" s="517"/>
      <c r="J37" s="570"/>
      <c r="K37" s="18" t="s">
        <v>4087</v>
      </c>
      <c r="L37" s="311">
        <v>26</v>
      </c>
      <c r="M37" s="311"/>
      <c r="N37" s="81"/>
      <c r="O37" s="81">
        <v>13</v>
      </c>
      <c r="P37" s="539">
        <v>29</v>
      </c>
      <c r="Q37" s="10" t="s">
        <v>4088</v>
      </c>
      <c r="R37" s="566"/>
      <c r="U37" s="567"/>
      <c r="V37" s="566"/>
      <c r="W37" s="566"/>
      <c r="X37" s="566"/>
      <c r="Y37" s="566"/>
      <c r="Z37" s="566"/>
      <c r="AA37" s="566"/>
      <c r="AB37" s="566"/>
      <c r="AC37" s="566"/>
      <c r="AD37" s="566"/>
      <c r="AE37" s="566"/>
      <c r="AF37" s="566"/>
      <c r="AG37" s="566"/>
      <c r="AH37" s="566"/>
      <c r="AK37" s="567"/>
      <c r="AO37" s="567"/>
      <c r="AS37" s="567"/>
      <c r="AW37" s="567"/>
      <c r="BA37" s="567"/>
      <c r="BE37" s="567"/>
      <c r="BI37" s="567"/>
      <c r="BM37" s="567"/>
      <c r="BQ37" s="567"/>
      <c r="BU37" s="567"/>
      <c r="BY37" s="567"/>
      <c r="CC37" s="567"/>
      <c r="CG37" s="567"/>
      <c r="CK37" s="567"/>
      <c r="CO37" s="567"/>
      <c r="CS37" s="567"/>
    </row>
    <row r="38" spans="1:97" ht="105" x14ac:dyDescent="0.25">
      <c r="A38" s="10" t="s">
        <v>275</v>
      </c>
      <c r="B38" s="18" t="s">
        <v>3989</v>
      </c>
      <c r="C38" s="18" t="s">
        <v>4038</v>
      </c>
      <c r="D38" s="18">
        <v>253230000</v>
      </c>
      <c r="E38" s="18" t="s">
        <v>4089</v>
      </c>
      <c r="F38" s="134" t="s">
        <v>4090</v>
      </c>
      <c r="G38" s="18">
        <v>0</v>
      </c>
      <c r="H38" s="18" t="s">
        <v>4091</v>
      </c>
      <c r="I38" s="517"/>
      <c r="J38" s="570"/>
      <c r="K38" s="18" t="s">
        <v>4092</v>
      </c>
      <c r="L38" s="311">
        <v>764</v>
      </c>
      <c r="M38" s="311">
        <v>0</v>
      </c>
      <c r="N38" s="81"/>
      <c r="O38" s="81">
        <v>0</v>
      </c>
      <c r="P38" s="539">
        <v>104.7</v>
      </c>
      <c r="Q38" s="10" t="s">
        <v>4093</v>
      </c>
      <c r="R38" s="566"/>
      <c r="U38" s="567"/>
      <c r="V38" s="566"/>
      <c r="W38" s="566"/>
      <c r="X38" s="566"/>
      <c r="Y38" s="566"/>
      <c r="Z38" s="566"/>
      <c r="AA38" s="566"/>
      <c r="AB38" s="566"/>
      <c r="AC38" s="566"/>
      <c r="AD38" s="566"/>
      <c r="AE38" s="566"/>
      <c r="AF38" s="566"/>
      <c r="AG38" s="566"/>
      <c r="AH38" s="566"/>
      <c r="AK38" s="567"/>
      <c r="AO38" s="567"/>
      <c r="AS38" s="567"/>
      <c r="AW38" s="567"/>
      <c r="BA38" s="567"/>
      <c r="BE38" s="567"/>
      <c r="BI38" s="567"/>
      <c r="BM38" s="567"/>
      <c r="BQ38" s="567"/>
      <c r="BU38" s="567"/>
      <c r="BY38" s="567"/>
      <c r="CC38" s="567"/>
      <c r="CG38" s="567"/>
      <c r="CK38" s="567"/>
      <c r="CO38" s="567"/>
      <c r="CS38" s="567"/>
    </row>
    <row r="39" spans="1:97" ht="180" x14ac:dyDescent="0.25">
      <c r="A39" s="10" t="s">
        <v>275</v>
      </c>
      <c r="B39" s="18" t="s">
        <v>3989</v>
      </c>
      <c r="C39" s="18" t="s">
        <v>4038</v>
      </c>
      <c r="D39" s="18">
        <v>253230000</v>
      </c>
      <c r="E39" s="18" t="s">
        <v>4078</v>
      </c>
      <c r="F39" s="134" t="s">
        <v>4094</v>
      </c>
      <c r="G39" s="18">
        <v>182213001</v>
      </c>
      <c r="H39" s="18" t="s">
        <v>4095</v>
      </c>
      <c r="I39" s="517">
        <v>7618065667</v>
      </c>
      <c r="J39" s="568">
        <f>241403380+I39</f>
        <v>7859469047</v>
      </c>
      <c r="K39" s="18" t="s">
        <v>4081</v>
      </c>
      <c r="L39" s="311"/>
      <c r="M39" s="311"/>
      <c r="N39" s="81"/>
      <c r="O39" s="81" t="s">
        <v>188</v>
      </c>
      <c r="P39" s="539" t="s">
        <v>188</v>
      </c>
      <c r="Q39" s="10" t="s">
        <v>4096</v>
      </c>
      <c r="R39" s="566"/>
      <c r="U39" s="567"/>
      <c r="V39" s="566"/>
      <c r="W39" s="566"/>
      <c r="X39" s="566"/>
      <c r="Y39" s="566"/>
      <c r="Z39" s="566"/>
      <c r="AA39" s="566"/>
      <c r="AB39" s="566"/>
      <c r="AC39" s="566"/>
      <c r="AD39" s="566"/>
      <c r="AE39" s="566"/>
      <c r="AF39" s="566"/>
      <c r="AG39" s="566"/>
      <c r="AH39" s="566"/>
      <c r="AK39" s="567"/>
      <c r="AO39" s="567"/>
      <c r="AS39" s="567"/>
      <c r="AW39" s="567"/>
      <c r="BA39" s="567"/>
      <c r="BE39" s="567"/>
      <c r="BI39" s="567"/>
      <c r="BM39" s="567"/>
      <c r="BQ39" s="567"/>
      <c r="BU39" s="567"/>
      <c r="BY39" s="567"/>
      <c r="CC39" s="567"/>
      <c r="CG39" s="567"/>
      <c r="CK39" s="567"/>
      <c r="CO39" s="567"/>
      <c r="CS39" s="567"/>
    </row>
    <row r="40" spans="1:97" ht="180" x14ac:dyDescent="0.25">
      <c r="A40" s="10" t="s">
        <v>275</v>
      </c>
      <c r="B40" s="18" t="s">
        <v>3989</v>
      </c>
      <c r="C40" s="18" t="s">
        <v>4038</v>
      </c>
      <c r="D40" s="18">
        <v>253230000</v>
      </c>
      <c r="E40" s="18" t="s">
        <v>4078</v>
      </c>
      <c r="F40" s="134" t="s">
        <v>4094</v>
      </c>
      <c r="G40" s="18">
        <v>182213002</v>
      </c>
      <c r="H40" s="18" t="s">
        <v>4097</v>
      </c>
      <c r="I40" s="517">
        <v>-1324713748</v>
      </c>
      <c r="J40" s="517">
        <f>-119640220-162142948+I40</f>
        <v>-1606496916</v>
      </c>
      <c r="K40" s="18" t="s">
        <v>4081</v>
      </c>
      <c r="L40" s="311"/>
      <c r="M40" s="311"/>
      <c r="N40" s="81"/>
      <c r="O40" s="81" t="s">
        <v>188</v>
      </c>
      <c r="P40" s="539" t="s">
        <v>188</v>
      </c>
      <c r="Q40" s="10" t="s">
        <v>4098</v>
      </c>
      <c r="R40" s="566"/>
      <c r="U40" s="567"/>
      <c r="V40" s="566"/>
      <c r="W40" s="566"/>
      <c r="X40" s="566"/>
      <c r="Y40" s="566"/>
      <c r="Z40" s="566"/>
      <c r="AA40" s="566"/>
      <c r="AB40" s="566"/>
      <c r="AC40" s="566"/>
      <c r="AD40" s="566"/>
      <c r="AE40" s="566"/>
      <c r="AF40" s="566"/>
      <c r="AG40" s="566"/>
      <c r="AH40" s="566"/>
      <c r="AK40" s="567"/>
      <c r="AO40" s="567"/>
      <c r="AS40" s="567"/>
      <c r="AW40" s="567"/>
      <c r="BA40" s="567"/>
      <c r="BE40" s="567"/>
      <c r="BI40" s="567"/>
      <c r="BM40" s="567"/>
      <c r="BQ40" s="567"/>
      <c r="BU40" s="567"/>
      <c r="BY40" s="567"/>
      <c r="CC40" s="567"/>
      <c r="CG40" s="567"/>
      <c r="CK40" s="567"/>
      <c r="CO40" s="567"/>
      <c r="CS40" s="567"/>
    </row>
    <row r="41" spans="1:97" ht="270" x14ac:dyDescent="0.25">
      <c r="A41" s="10" t="s">
        <v>275</v>
      </c>
      <c r="B41" s="18" t="s">
        <v>3989</v>
      </c>
      <c r="C41" s="18" t="s">
        <v>4038</v>
      </c>
      <c r="D41" s="18">
        <v>253230000</v>
      </c>
      <c r="E41" s="18" t="s">
        <v>4078</v>
      </c>
      <c r="F41" s="134" t="s">
        <v>4099</v>
      </c>
      <c r="G41" s="18">
        <v>182168001</v>
      </c>
      <c r="H41" s="18" t="s">
        <v>4100</v>
      </c>
      <c r="I41" s="517">
        <v>205247410</v>
      </c>
      <c r="J41" s="517">
        <f>I41</f>
        <v>205247410</v>
      </c>
      <c r="K41" s="18" t="s">
        <v>4101</v>
      </c>
      <c r="L41" s="311">
        <v>3.5</v>
      </c>
      <c r="M41" s="311">
        <v>0</v>
      </c>
      <c r="N41" s="81"/>
      <c r="O41" s="81">
        <v>0</v>
      </c>
      <c r="P41" s="539">
        <v>146.69999999999999</v>
      </c>
      <c r="Q41" s="10" t="s">
        <v>4102</v>
      </c>
      <c r="R41" s="566"/>
      <c r="U41" s="567"/>
      <c r="V41" s="566"/>
      <c r="W41" s="566"/>
      <c r="X41" s="566"/>
      <c r="Y41" s="566"/>
      <c r="Z41" s="566"/>
      <c r="AA41" s="566"/>
      <c r="AB41" s="566"/>
      <c r="AC41" s="566"/>
      <c r="AD41" s="566"/>
      <c r="AE41" s="566"/>
      <c r="AF41" s="566"/>
      <c r="AG41" s="566"/>
      <c r="AH41" s="566"/>
      <c r="AK41" s="567"/>
      <c r="AO41" s="567"/>
      <c r="AS41" s="567"/>
      <c r="AW41" s="567"/>
      <c r="BA41" s="567"/>
      <c r="BE41" s="567"/>
      <c r="BI41" s="567"/>
      <c r="BM41" s="567"/>
      <c r="BQ41" s="567"/>
      <c r="BU41" s="567"/>
      <c r="BY41" s="567"/>
      <c r="CC41" s="567"/>
      <c r="CG41" s="567"/>
      <c r="CK41" s="567"/>
      <c r="CO41" s="567"/>
      <c r="CS41" s="567"/>
    </row>
    <row r="42" spans="1:97" ht="195" x14ac:dyDescent="0.25">
      <c r="A42" s="10"/>
      <c r="B42" s="18"/>
      <c r="C42" s="18"/>
      <c r="D42" s="18"/>
      <c r="E42" s="18"/>
      <c r="F42" s="134"/>
      <c r="G42" s="18"/>
      <c r="H42" s="18"/>
      <c r="I42" s="517"/>
      <c r="J42" s="570"/>
      <c r="K42" s="18" t="s">
        <v>4103</v>
      </c>
      <c r="L42" s="311">
        <v>2.5</v>
      </c>
      <c r="M42" s="311">
        <v>0</v>
      </c>
      <c r="N42" s="81"/>
      <c r="O42" s="81">
        <v>0</v>
      </c>
      <c r="P42" s="539">
        <v>62.6</v>
      </c>
      <c r="Q42" s="10" t="s">
        <v>4104</v>
      </c>
      <c r="R42" s="566"/>
      <c r="U42" s="567"/>
      <c r="V42" s="566"/>
      <c r="W42" s="566"/>
      <c r="X42" s="566"/>
      <c r="Y42" s="566"/>
      <c r="Z42" s="566"/>
      <c r="AA42" s="566"/>
      <c r="AB42" s="566"/>
      <c r="AC42" s="566"/>
      <c r="AD42" s="566"/>
      <c r="AE42" s="566"/>
      <c r="AF42" s="566"/>
      <c r="AG42" s="566"/>
      <c r="AH42" s="566"/>
      <c r="AK42" s="567"/>
      <c r="AO42" s="567"/>
      <c r="AS42" s="567"/>
      <c r="AW42" s="567"/>
      <c r="BA42" s="567"/>
      <c r="BE42" s="567"/>
      <c r="BI42" s="567"/>
      <c r="BM42" s="567"/>
      <c r="BQ42" s="567"/>
      <c r="BU42" s="567"/>
      <c r="BY42" s="567"/>
      <c r="CC42" s="567"/>
      <c r="CG42" s="567"/>
      <c r="CK42" s="567"/>
      <c r="CO42" s="567"/>
      <c r="CS42" s="567"/>
    </row>
    <row r="43" spans="1:97" ht="120" x14ac:dyDescent="0.25">
      <c r="A43" s="10" t="s">
        <v>275</v>
      </c>
      <c r="B43" s="18" t="s">
        <v>3989</v>
      </c>
      <c r="C43" s="18" t="s">
        <v>4038</v>
      </c>
      <c r="D43" s="18">
        <v>253230000</v>
      </c>
      <c r="E43" s="18" t="s">
        <v>4078</v>
      </c>
      <c r="F43" s="134" t="s">
        <v>4105</v>
      </c>
      <c r="G43" s="18">
        <v>182019001</v>
      </c>
      <c r="H43" s="18" t="s">
        <v>4106</v>
      </c>
      <c r="I43" s="517">
        <v>0</v>
      </c>
      <c r="J43" s="570">
        <v>0</v>
      </c>
      <c r="K43" s="18" t="s">
        <v>4107</v>
      </c>
      <c r="L43" s="311">
        <v>13</v>
      </c>
      <c r="M43" s="311">
        <v>2</v>
      </c>
      <c r="N43" s="81"/>
      <c r="O43" s="81">
        <v>2</v>
      </c>
      <c r="P43" s="539">
        <v>2</v>
      </c>
      <c r="Q43" s="10" t="s">
        <v>4108</v>
      </c>
      <c r="R43" s="566"/>
      <c r="U43" s="567"/>
      <c r="V43" s="566"/>
      <c r="W43" s="566"/>
      <c r="X43" s="566"/>
      <c r="Y43" s="566"/>
      <c r="Z43" s="566"/>
      <c r="AA43" s="566"/>
      <c r="AB43" s="566"/>
      <c r="AC43" s="566"/>
      <c r="AD43" s="566"/>
      <c r="AE43" s="566"/>
      <c r="AF43" s="566"/>
      <c r="AG43" s="566"/>
      <c r="AH43" s="566"/>
      <c r="AK43" s="567"/>
      <c r="AO43" s="567"/>
      <c r="AS43" s="567"/>
      <c r="AW43" s="567"/>
      <c r="BA43" s="567"/>
      <c r="BE43" s="567"/>
      <c r="BI43" s="567"/>
      <c r="BM43" s="567"/>
      <c r="BQ43" s="567"/>
      <c r="BU43" s="567"/>
      <c r="BY43" s="567"/>
      <c r="CC43" s="567"/>
      <c r="CG43" s="567"/>
      <c r="CK43" s="567"/>
      <c r="CO43" s="567"/>
      <c r="CS43" s="567"/>
    </row>
    <row r="44" spans="1:97" ht="165" x14ac:dyDescent="0.25">
      <c r="A44" s="10"/>
      <c r="B44" s="18"/>
      <c r="C44" s="18"/>
      <c r="D44" s="18"/>
      <c r="E44" s="18"/>
      <c r="F44" s="134"/>
      <c r="G44" s="18"/>
      <c r="H44" s="18"/>
      <c r="I44" s="517"/>
      <c r="J44" s="570"/>
      <c r="K44" s="18" t="s">
        <v>4109</v>
      </c>
      <c r="L44" s="311"/>
      <c r="M44" s="311"/>
      <c r="N44" s="81"/>
      <c r="O44" s="81"/>
      <c r="P44" s="552">
        <v>0</v>
      </c>
      <c r="Q44" s="10" t="s">
        <v>4110</v>
      </c>
      <c r="R44" s="566"/>
      <c r="U44" s="567"/>
      <c r="V44" s="566"/>
      <c r="W44" s="566"/>
      <c r="X44" s="566"/>
      <c r="Y44" s="566"/>
      <c r="Z44" s="566"/>
      <c r="AA44" s="566"/>
      <c r="AB44" s="566"/>
      <c r="AC44" s="566"/>
      <c r="AD44" s="566"/>
      <c r="AE44" s="566"/>
      <c r="AF44" s="566"/>
      <c r="AG44" s="566"/>
      <c r="AH44" s="566"/>
      <c r="AK44" s="567"/>
      <c r="AO44" s="567"/>
      <c r="AS44" s="567"/>
      <c r="AW44" s="567"/>
      <c r="BA44" s="567"/>
      <c r="BE44" s="567"/>
      <c r="BI44" s="567"/>
      <c r="BM44" s="567"/>
      <c r="BQ44" s="567"/>
      <c r="BU44" s="567"/>
      <c r="BY44" s="567"/>
      <c r="CC44" s="567"/>
      <c r="CG44" s="567"/>
      <c r="CK44" s="567"/>
      <c r="CO44" s="567"/>
      <c r="CS44" s="567"/>
    </row>
    <row r="45" spans="1:97" ht="105" x14ac:dyDescent="0.25">
      <c r="A45" s="10" t="s">
        <v>275</v>
      </c>
      <c r="B45" s="18" t="s">
        <v>3989</v>
      </c>
      <c r="C45" s="18" t="s">
        <v>4038</v>
      </c>
      <c r="D45" s="18">
        <v>253230000</v>
      </c>
      <c r="E45" s="18" t="s">
        <v>4078</v>
      </c>
      <c r="F45" s="134" t="s">
        <v>4111</v>
      </c>
      <c r="G45" s="18">
        <v>183002001</v>
      </c>
      <c r="H45" s="18" t="s">
        <v>4112</v>
      </c>
      <c r="I45" s="517">
        <v>3476182667</v>
      </c>
      <c r="J45" s="517">
        <f>I45</f>
        <v>3476182667</v>
      </c>
      <c r="K45" s="18"/>
      <c r="L45" s="311"/>
      <c r="M45" s="311"/>
      <c r="N45" s="81"/>
      <c r="O45" s="81"/>
      <c r="P45" s="539"/>
      <c r="Q45" s="10" t="s">
        <v>4113</v>
      </c>
      <c r="R45" s="566"/>
      <c r="U45" s="567"/>
      <c r="V45" s="566"/>
      <c r="W45" s="566"/>
      <c r="X45" s="566"/>
      <c r="Y45" s="566"/>
      <c r="Z45" s="566"/>
      <c r="AA45" s="566"/>
      <c r="AB45" s="566"/>
      <c r="AC45" s="566"/>
      <c r="AD45" s="566"/>
      <c r="AE45" s="566"/>
      <c r="AF45" s="566"/>
      <c r="AG45" s="566"/>
      <c r="AH45" s="566"/>
      <c r="AK45" s="567"/>
      <c r="AO45" s="567"/>
      <c r="AS45" s="567"/>
      <c r="AW45" s="567"/>
      <c r="BA45" s="567"/>
      <c r="BE45" s="567"/>
      <c r="BI45" s="567"/>
      <c r="BM45" s="567"/>
      <c r="BQ45" s="567"/>
      <c r="BU45" s="567"/>
      <c r="BY45" s="567"/>
      <c r="CC45" s="567"/>
      <c r="CG45" s="567"/>
      <c r="CK45" s="567"/>
      <c r="CO45" s="567"/>
      <c r="CS45" s="567"/>
    </row>
    <row r="46" spans="1:97" ht="105" x14ac:dyDescent="0.25">
      <c r="A46" s="10" t="s">
        <v>275</v>
      </c>
      <c r="B46" s="18" t="s">
        <v>3989</v>
      </c>
      <c r="C46" s="18" t="s">
        <v>4038</v>
      </c>
      <c r="D46" s="18">
        <v>253230000</v>
      </c>
      <c r="E46" s="18" t="s">
        <v>4078</v>
      </c>
      <c r="F46" s="134" t="s">
        <v>4114</v>
      </c>
      <c r="G46" s="18">
        <v>182198001</v>
      </c>
      <c r="H46" s="18" t="s">
        <v>4115</v>
      </c>
      <c r="I46" s="517">
        <v>1155925796</v>
      </c>
      <c r="J46" s="517">
        <f>-54245231+I46</f>
        <v>1101680565</v>
      </c>
      <c r="K46" s="18" t="s">
        <v>4116</v>
      </c>
      <c r="L46" s="311">
        <v>365</v>
      </c>
      <c r="M46" s="311">
        <v>0</v>
      </c>
      <c r="N46" s="81"/>
      <c r="O46" s="81">
        <v>22</v>
      </c>
      <c r="P46" s="539">
        <v>702</v>
      </c>
      <c r="Q46" s="10" t="s">
        <v>4117</v>
      </c>
      <c r="R46" s="566"/>
      <c r="U46" s="567"/>
      <c r="V46" s="566"/>
      <c r="W46" s="566"/>
      <c r="X46" s="566"/>
      <c r="Y46" s="566"/>
      <c r="Z46" s="566"/>
      <c r="AA46" s="566"/>
      <c r="AB46" s="566"/>
      <c r="AC46" s="566"/>
      <c r="AD46" s="566"/>
      <c r="AE46" s="566"/>
      <c r="AF46" s="566"/>
      <c r="AG46" s="566"/>
      <c r="AH46" s="566"/>
      <c r="AK46" s="567"/>
      <c r="AO46" s="567"/>
      <c r="AS46" s="567"/>
      <c r="AW46" s="567"/>
      <c r="BA46" s="567"/>
      <c r="BE46" s="567"/>
      <c r="BI46" s="567"/>
      <c r="BM46" s="567"/>
      <c r="BQ46" s="567"/>
      <c r="BU46" s="567"/>
      <c r="BY46" s="567"/>
      <c r="CC46" s="567"/>
      <c r="CG46" s="567"/>
      <c r="CK46" s="567"/>
      <c r="CO46" s="567"/>
      <c r="CS46" s="567"/>
    </row>
    <row r="47" spans="1:97" ht="120" x14ac:dyDescent="0.25">
      <c r="A47" s="10" t="s">
        <v>275</v>
      </c>
      <c r="B47" s="18" t="s">
        <v>3989</v>
      </c>
      <c r="C47" s="18" t="s">
        <v>4118</v>
      </c>
      <c r="D47" s="18">
        <v>253310000</v>
      </c>
      <c r="E47" s="18" t="s">
        <v>4119</v>
      </c>
      <c r="F47" s="134" t="s">
        <v>4120</v>
      </c>
      <c r="G47" s="18">
        <v>182204001</v>
      </c>
      <c r="H47" s="18" t="s">
        <v>4121</v>
      </c>
      <c r="I47" s="517">
        <v>-450</v>
      </c>
      <c r="J47" s="517">
        <f>I47</f>
        <v>-450</v>
      </c>
      <c r="K47" s="18" t="s">
        <v>4122</v>
      </c>
      <c r="L47" s="311">
        <v>68</v>
      </c>
      <c r="M47" s="311"/>
      <c r="N47" s="81"/>
      <c r="O47" s="81">
        <v>0</v>
      </c>
      <c r="P47" s="539">
        <v>772</v>
      </c>
      <c r="Q47" s="10" t="s">
        <v>4123</v>
      </c>
      <c r="R47" s="566"/>
      <c r="U47" s="567"/>
      <c r="V47" s="566"/>
      <c r="W47" s="566"/>
      <c r="X47" s="566"/>
      <c r="Y47" s="566"/>
      <c r="Z47" s="566"/>
      <c r="AA47" s="566"/>
      <c r="AB47" s="566"/>
      <c r="AC47" s="566"/>
      <c r="AD47" s="566"/>
      <c r="AE47" s="566"/>
      <c r="AF47" s="566"/>
      <c r="AG47" s="566"/>
      <c r="AH47" s="566"/>
      <c r="AK47" s="567"/>
      <c r="AO47" s="567"/>
      <c r="AS47" s="567"/>
      <c r="AW47" s="567"/>
      <c r="BA47" s="567"/>
      <c r="BE47" s="567"/>
      <c r="BI47" s="567"/>
      <c r="BM47" s="567"/>
      <c r="BQ47" s="567"/>
      <c r="BU47" s="567"/>
      <c r="BY47" s="567"/>
      <c r="CC47" s="567"/>
      <c r="CG47" s="567"/>
      <c r="CK47" s="567"/>
      <c r="CO47" s="567"/>
      <c r="CS47" s="567"/>
    </row>
    <row r="48" spans="1:97" ht="135" x14ac:dyDescent="0.25">
      <c r="A48" s="10"/>
      <c r="B48" s="18"/>
      <c r="C48" s="18"/>
      <c r="D48" s="18"/>
      <c r="E48" s="18"/>
      <c r="F48" s="134"/>
      <c r="G48" s="18"/>
      <c r="H48" s="18"/>
      <c r="I48" s="517"/>
      <c r="J48" s="570"/>
      <c r="K48" s="18" t="s">
        <v>4124</v>
      </c>
      <c r="L48" s="311">
        <v>136</v>
      </c>
      <c r="M48" s="311"/>
      <c r="N48" s="81"/>
      <c r="O48" s="81">
        <v>17</v>
      </c>
      <c r="P48" s="539">
        <v>427.6</v>
      </c>
      <c r="Q48" s="10" t="s">
        <v>4125</v>
      </c>
      <c r="R48" s="566"/>
      <c r="U48" s="567"/>
      <c r="V48" s="566"/>
      <c r="W48" s="566"/>
      <c r="X48" s="566"/>
      <c r="Y48" s="566"/>
      <c r="Z48" s="566"/>
      <c r="AA48" s="566"/>
      <c r="AB48" s="566"/>
      <c r="AC48" s="566"/>
      <c r="AD48" s="566"/>
      <c r="AE48" s="566"/>
      <c r="AF48" s="566"/>
      <c r="AG48" s="566"/>
      <c r="AH48" s="566"/>
      <c r="AK48" s="567"/>
      <c r="AO48" s="567"/>
      <c r="AS48" s="567"/>
      <c r="AW48" s="567"/>
      <c r="BA48" s="567"/>
      <c r="BE48" s="567"/>
      <c r="BI48" s="567"/>
      <c r="BM48" s="567"/>
      <c r="BQ48" s="567"/>
      <c r="BU48" s="567"/>
      <c r="BY48" s="567"/>
      <c r="CC48" s="567"/>
      <c r="CG48" s="567"/>
      <c r="CK48" s="567"/>
      <c r="CO48" s="567"/>
      <c r="CS48" s="567"/>
    </row>
    <row r="49" spans="1:97" ht="120" x14ac:dyDescent="0.25">
      <c r="A49" s="10" t="s">
        <v>275</v>
      </c>
      <c r="B49" s="18" t="s">
        <v>3989</v>
      </c>
      <c r="C49" s="18" t="s">
        <v>4118</v>
      </c>
      <c r="D49" s="18">
        <v>253310000</v>
      </c>
      <c r="E49" s="18" t="s">
        <v>4119</v>
      </c>
      <c r="F49" s="134" t="s">
        <v>4126</v>
      </c>
      <c r="G49" s="18">
        <v>182295001</v>
      </c>
      <c r="H49" s="18" t="s">
        <v>4127</v>
      </c>
      <c r="I49" s="517">
        <v>-832085987</v>
      </c>
      <c r="J49" s="517">
        <f>-42715868.8145354+I49</f>
        <v>-874801855.81453538</v>
      </c>
      <c r="K49" s="18" t="s">
        <v>4128</v>
      </c>
      <c r="L49" s="311">
        <v>5</v>
      </c>
      <c r="M49" s="311">
        <v>0</v>
      </c>
      <c r="N49" s="101"/>
      <c r="O49" s="98">
        <v>0</v>
      </c>
      <c r="P49" s="539">
        <v>15.8</v>
      </c>
      <c r="Q49" s="10" t="s">
        <v>4129</v>
      </c>
      <c r="R49" s="566"/>
      <c r="U49" s="567"/>
      <c r="V49" s="566"/>
      <c r="W49" s="566"/>
      <c r="X49" s="566"/>
      <c r="Y49" s="566"/>
      <c r="Z49" s="566"/>
      <c r="AA49" s="566"/>
      <c r="AB49" s="566"/>
      <c r="AC49" s="566"/>
      <c r="AD49" s="566"/>
      <c r="AE49" s="566"/>
      <c r="AF49" s="566"/>
      <c r="AG49" s="566"/>
      <c r="AH49" s="566"/>
      <c r="AK49" s="567"/>
      <c r="AO49" s="567"/>
      <c r="AS49" s="567"/>
      <c r="AW49" s="567"/>
      <c r="BA49" s="567"/>
      <c r="BE49" s="567"/>
      <c r="BI49" s="567"/>
      <c r="BM49" s="567"/>
      <c r="BQ49" s="567"/>
      <c r="BU49" s="567"/>
      <c r="BY49" s="567"/>
      <c r="CC49" s="567"/>
      <c r="CG49" s="567"/>
      <c r="CK49" s="567"/>
      <c r="CO49" s="567"/>
      <c r="CS49" s="567"/>
    </row>
    <row r="50" spans="1:97" ht="45" x14ac:dyDescent="0.25">
      <c r="A50" s="10"/>
      <c r="B50" s="18"/>
      <c r="C50" s="18"/>
      <c r="D50" s="18"/>
      <c r="E50" s="18" t="s">
        <v>4119</v>
      </c>
      <c r="F50" s="134" t="s">
        <v>4130</v>
      </c>
      <c r="G50" s="18"/>
      <c r="H50" s="18" t="s">
        <v>4131</v>
      </c>
      <c r="I50" s="517">
        <v>0</v>
      </c>
      <c r="J50" s="572">
        <v>94402890</v>
      </c>
      <c r="K50" s="18" t="s">
        <v>4132</v>
      </c>
      <c r="L50" s="311">
        <v>1</v>
      </c>
      <c r="M50" s="311">
        <v>0</v>
      </c>
      <c r="N50" s="101"/>
      <c r="O50" s="98">
        <v>0</v>
      </c>
      <c r="P50" s="539">
        <v>0</v>
      </c>
      <c r="Q50" s="10" t="s">
        <v>4133</v>
      </c>
      <c r="R50" s="566"/>
      <c r="U50" s="567"/>
      <c r="V50" s="566"/>
      <c r="W50" s="566"/>
      <c r="X50" s="566"/>
      <c r="Y50" s="566"/>
      <c r="Z50" s="566"/>
      <c r="AA50" s="566"/>
      <c r="AB50" s="566"/>
      <c r="AC50" s="566"/>
      <c r="AD50" s="566"/>
      <c r="AE50" s="566"/>
      <c r="AF50" s="566"/>
      <c r="AG50" s="566"/>
      <c r="AH50" s="566"/>
      <c r="AK50" s="567"/>
      <c r="AO50" s="567"/>
      <c r="AS50" s="567"/>
      <c r="AW50" s="567"/>
      <c r="BA50" s="567"/>
      <c r="BE50" s="567"/>
      <c r="BI50" s="567"/>
      <c r="BM50" s="567"/>
      <c r="BQ50" s="567"/>
      <c r="BU50" s="567"/>
      <c r="BY50" s="567"/>
      <c r="CC50" s="567"/>
      <c r="CG50" s="567"/>
      <c r="CK50" s="567"/>
      <c r="CO50" s="567"/>
      <c r="CS50" s="567"/>
    </row>
    <row r="51" spans="1:97" ht="60" x14ac:dyDescent="0.25">
      <c r="A51" s="10"/>
      <c r="B51" s="18"/>
      <c r="C51" s="18"/>
      <c r="D51" s="18"/>
      <c r="E51" s="18" t="s">
        <v>4119</v>
      </c>
      <c r="F51" s="134" t="s">
        <v>4134</v>
      </c>
      <c r="G51" s="18"/>
      <c r="H51" s="18" t="s">
        <v>4135</v>
      </c>
      <c r="I51" s="517"/>
      <c r="J51" s="570"/>
      <c r="K51" s="18" t="s">
        <v>4136</v>
      </c>
      <c r="L51" s="311">
        <v>11</v>
      </c>
      <c r="M51" s="311">
        <v>0</v>
      </c>
      <c r="N51" s="101"/>
      <c r="O51" s="98">
        <v>0</v>
      </c>
      <c r="P51" s="539">
        <v>2</v>
      </c>
      <c r="Q51" s="10" t="s">
        <v>4137</v>
      </c>
      <c r="R51" s="566"/>
      <c r="U51" s="567"/>
      <c r="V51" s="566"/>
      <c r="W51" s="566"/>
      <c r="X51" s="566"/>
      <c r="Y51" s="566"/>
      <c r="Z51" s="566"/>
      <c r="AA51" s="566"/>
      <c r="AB51" s="566"/>
      <c r="AC51" s="566"/>
      <c r="AD51" s="566"/>
      <c r="AE51" s="566"/>
      <c r="AF51" s="566"/>
      <c r="AG51" s="566"/>
      <c r="AH51" s="566"/>
      <c r="AK51" s="567"/>
      <c r="AO51" s="567"/>
      <c r="AS51" s="567"/>
      <c r="AW51" s="567"/>
      <c r="BA51" s="567"/>
      <c r="BE51" s="567"/>
      <c r="BI51" s="567"/>
      <c r="BM51" s="567"/>
      <c r="BQ51" s="567"/>
      <c r="BU51" s="567"/>
      <c r="BY51" s="567"/>
      <c r="CC51" s="567"/>
      <c r="CG51" s="567"/>
      <c r="CK51" s="567"/>
      <c r="CO51" s="567"/>
      <c r="CS51" s="567"/>
    </row>
    <row r="52" spans="1:97" ht="90" x14ac:dyDescent="0.25">
      <c r="A52" s="10" t="s">
        <v>275</v>
      </c>
      <c r="B52" s="18" t="s">
        <v>3989</v>
      </c>
      <c r="C52" s="18" t="s">
        <v>4118</v>
      </c>
      <c r="D52" s="18">
        <v>253310000</v>
      </c>
      <c r="E52" s="18" t="s">
        <v>4119</v>
      </c>
      <c r="F52" s="134" t="s">
        <v>4138</v>
      </c>
      <c r="G52" s="18">
        <v>182312001</v>
      </c>
      <c r="H52" s="18" t="s">
        <v>4139</v>
      </c>
      <c r="I52" s="517">
        <v>0</v>
      </c>
      <c r="J52" s="568">
        <v>-61000</v>
      </c>
      <c r="K52" s="18" t="s">
        <v>4140</v>
      </c>
      <c r="L52" s="311">
        <v>68</v>
      </c>
      <c r="M52" s="311"/>
      <c r="N52" s="101"/>
      <c r="O52" s="98"/>
      <c r="P52" s="539">
        <v>60</v>
      </c>
      <c r="Q52" s="10" t="s">
        <v>4141</v>
      </c>
      <c r="R52" s="566"/>
      <c r="U52" s="567"/>
      <c r="V52" s="566"/>
      <c r="W52" s="566"/>
      <c r="X52" s="566"/>
      <c r="Y52" s="566"/>
      <c r="Z52" s="566"/>
      <c r="AA52" s="566"/>
      <c r="AB52" s="566"/>
      <c r="AC52" s="566"/>
      <c r="AD52" s="566"/>
      <c r="AE52" s="566"/>
      <c r="AF52" s="566"/>
      <c r="AG52" s="566"/>
      <c r="AH52" s="566"/>
      <c r="AK52" s="567"/>
      <c r="AO52" s="567"/>
      <c r="AS52" s="567"/>
      <c r="AW52" s="567"/>
      <c r="BA52" s="567"/>
      <c r="BE52" s="567"/>
      <c r="BI52" s="567"/>
      <c r="BM52" s="567"/>
      <c r="BQ52" s="567"/>
      <c r="BU52" s="567"/>
      <c r="BY52" s="567"/>
      <c r="CC52" s="567"/>
      <c r="CG52" s="567"/>
      <c r="CK52" s="567"/>
      <c r="CO52" s="567"/>
      <c r="CS52" s="567"/>
    </row>
    <row r="53" spans="1:97" ht="165" x14ac:dyDescent="0.25">
      <c r="A53" s="10" t="s">
        <v>275</v>
      </c>
      <c r="B53" s="18" t="s">
        <v>3989</v>
      </c>
      <c r="C53" s="18" t="s">
        <v>4118</v>
      </c>
      <c r="D53" s="18">
        <v>253320000</v>
      </c>
      <c r="E53" s="18" t="s">
        <v>4142</v>
      </c>
      <c r="F53" s="134" t="s">
        <v>4143</v>
      </c>
      <c r="G53" s="18">
        <v>172111001</v>
      </c>
      <c r="H53" s="18" t="s">
        <v>4144</v>
      </c>
      <c r="I53" s="517">
        <v>5089144390</v>
      </c>
      <c r="J53" s="517">
        <f>6089144390</f>
        <v>6089144390</v>
      </c>
      <c r="K53" s="18" t="s">
        <v>4145</v>
      </c>
      <c r="L53" s="311">
        <v>7</v>
      </c>
      <c r="M53" s="311">
        <v>6</v>
      </c>
      <c r="N53" s="81"/>
      <c r="O53" s="81">
        <v>6</v>
      </c>
      <c r="P53" s="539">
        <v>6</v>
      </c>
      <c r="Q53" s="10" t="s">
        <v>4146</v>
      </c>
      <c r="R53" s="566"/>
      <c r="U53" s="567"/>
      <c r="V53" s="566"/>
      <c r="W53" s="566"/>
      <c r="X53" s="566"/>
      <c r="Y53" s="566"/>
      <c r="Z53" s="566"/>
      <c r="AA53" s="566"/>
      <c r="AB53" s="566"/>
      <c r="AC53" s="566"/>
      <c r="AD53" s="566"/>
      <c r="AE53" s="566"/>
      <c r="AF53" s="566"/>
      <c r="AG53" s="566"/>
      <c r="AH53" s="566"/>
      <c r="AK53" s="567"/>
      <c r="AO53" s="567"/>
      <c r="AS53" s="567"/>
      <c r="AW53" s="567"/>
      <c r="BA53" s="567"/>
      <c r="BE53" s="567"/>
      <c r="BI53" s="567"/>
      <c r="BM53" s="567"/>
      <c r="BQ53" s="567"/>
      <c r="BU53" s="567"/>
      <c r="BY53" s="567"/>
      <c r="CC53" s="567"/>
      <c r="CG53" s="567"/>
      <c r="CK53" s="567"/>
      <c r="CO53" s="567"/>
      <c r="CS53" s="567"/>
    </row>
    <row r="54" spans="1:97" ht="90" x14ac:dyDescent="0.25">
      <c r="A54" s="10" t="s">
        <v>275</v>
      </c>
      <c r="B54" s="18" t="s">
        <v>3989</v>
      </c>
      <c r="C54" s="18" t="s">
        <v>4118</v>
      </c>
      <c r="D54" s="18">
        <v>253310000</v>
      </c>
      <c r="E54" s="18" t="s">
        <v>4119</v>
      </c>
      <c r="F54" s="134" t="s">
        <v>4147</v>
      </c>
      <c r="G54" s="18">
        <v>172242001</v>
      </c>
      <c r="H54" s="18" t="s">
        <v>4148</v>
      </c>
      <c r="I54" s="517">
        <v>3500000000</v>
      </c>
      <c r="J54" s="517">
        <v>-642505000</v>
      </c>
      <c r="K54" s="18" t="s">
        <v>4149</v>
      </c>
      <c r="L54" s="311">
        <v>1</v>
      </c>
      <c r="M54" s="311">
        <v>0</v>
      </c>
      <c r="N54" s="81"/>
      <c r="O54" s="81">
        <v>0</v>
      </c>
      <c r="P54" s="539">
        <v>0</v>
      </c>
      <c r="Q54" s="10"/>
      <c r="R54" s="566"/>
      <c r="U54" s="567"/>
      <c r="V54" s="566"/>
      <c r="W54" s="566"/>
      <c r="X54" s="566"/>
      <c r="Y54" s="566"/>
      <c r="Z54" s="566"/>
      <c r="AA54" s="566"/>
      <c r="AB54" s="566"/>
      <c r="AC54" s="566"/>
      <c r="AD54" s="566"/>
      <c r="AE54" s="566"/>
      <c r="AF54" s="566"/>
      <c r="AG54" s="566"/>
      <c r="AH54" s="566"/>
      <c r="AK54" s="567"/>
      <c r="AO54" s="567"/>
      <c r="AS54" s="567"/>
      <c r="AW54" s="567"/>
      <c r="BA54" s="567"/>
      <c r="BE54" s="567"/>
      <c r="BI54" s="567"/>
      <c r="BM54" s="567"/>
      <c r="BQ54" s="567"/>
      <c r="BU54" s="567"/>
      <c r="BY54" s="567"/>
      <c r="CC54" s="567"/>
      <c r="CG54" s="567"/>
      <c r="CK54" s="567"/>
      <c r="CO54" s="567"/>
      <c r="CS54" s="567"/>
    </row>
    <row r="55" spans="1:97" x14ac:dyDescent="0.25">
      <c r="A55" s="10"/>
      <c r="B55" s="18"/>
      <c r="C55" s="18"/>
      <c r="D55" s="18"/>
      <c r="E55" s="18"/>
      <c r="F55" s="18"/>
      <c r="G55" s="18"/>
      <c r="H55" s="18"/>
      <c r="I55" s="519">
        <f>SUM(I9:I54)</f>
        <v>66672831804</v>
      </c>
      <c r="J55" s="570"/>
      <c r="K55" s="18"/>
      <c r="L55" s="311"/>
      <c r="M55" s="311"/>
      <c r="N55" s="81"/>
      <c r="O55" s="81"/>
      <c r="P55" s="539"/>
      <c r="Q55" s="10"/>
      <c r="S55" s="566"/>
      <c r="T55" s="566"/>
      <c r="U55" s="566"/>
      <c r="V55" s="566"/>
      <c r="W55" s="566"/>
      <c r="X55" s="566"/>
      <c r="Y55" s="566"/>
      <c r="Z55" s="566"/>
      <c r="AA55" s="566"/>
      <c r="AB55" s="566"/>
      <c r="AC55" s="566"/>
      <c r="AD55" s="566"/>
      <c r="AE55" s="566"/>
      <c r="AF55" s="566"/>
      <c r="AG55" s="566"/>
      <c r="AH55" s="566"/>
      <c r="AK55" s="567"/>
      <c r="AO55" s="567"/>
      <c r="AS55" s="567"/>
      <c r="AW55" s="567"/>
      <c r="BA55" s="567"/>
      <c r="BE55" s="567"/>
      <c r="BI55" s="567"/>
      <c r="BM55" s="567"/>
      <c r="BQ55" s="567"/>
      <c r="BU55" s="567"/>
      <c r="BY55" s="567"/>
      <c r="CC55" s="567"/>
      <c r="CG55" s="567"/>
      <c r="CK55" s="567"/>
      <c r="CO55" s="567"/>
      <c r="CS55" s="567"/>
    </row>
    <row r="56" spans="1:97" x14ac:dyDescent="0.25">
      <c r="I56" s="68"/>
      <c r="J56" s="573"/>
    </row>
  </sheetData>
  <sheetProtection algorithmName="SHA-512" hashValue="oCBNP2R48JKFN5RlYRLc7JOLzHoHwzlcs+F7jtCbRIO6X9ABI1KJNOwGNo7yY94v6UJqb3K+YWHF4++9mON8jw==" saltValue="fH0y8gY9G4hV2edDf4A+Yw==" spinCount="100000" sheet="1" objects="1" scenarios="1" insertRows="0"/>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showZeros="0" zoomScale="75" zoomScaleNormal="110" workbookViewId="0">
      <pane ySplit="8" topLeftCell="A9" activePane="bottomLeft" state="frozen"/>
      <selection activeCell="E1" sqref="E1"/>
      <selection pane="bottomLeft" activeCell="J14" sqref="J14"/>
    </sheetView>
  </sheetViews>
  <sheetFormatPr baseColWidth="10" defaultColWidth="11.42578125" defaultRowHeight="15" x14ac:dyDescent="0.25"/>
  <cols>
    <col min="1" max="1" width="15.7109375" style="1" customWidth="1"/>
    <col min="2" max="2" width="17.7109375" style="1" customWidth="1"/>
    <col min="3" max="3" width="18.7109375" style="1" customWidth="1"/>
    <col min="4" max="4" width="13.7109375" style="1" customWidth="1"/>
    <col min="5" max="5" width="15.5703125" style="1" customWidth="1"/>
    <col min="6" max="6" width="10.7109375" style="1" customWidth="1"/>
    <col min="7" max="7" width="22.7109375" style="1" customWidth="1"/>
    <col min="8" max="8" width="14.7109375" style="1" customWidth="1"/>
    <col min="9" max="9" width="17.5703125" style="1" customWidth="1"/>
    <col min="10" max="10" width="16.28515625" style="1" customWidth="1"/>
    <col min="11" max="14" width="14.7109375" style="1" customWidth="1"/>
    <col min="15" max="15" width="17.140625" style="1" customWidth="1"/>
    <col min="16" max="16" width="16.28515625" style="1" customWidth="1"/>
    <col min="17" max="17" width="17" style="1" customWidth="1"/>
    <col min="18" max="19" width="14.7109375" style="1" customWidth="1"/>
    <col min="20" max="20" width="30.7109375" style="1" customWidth="1"/>
    <col min="21" max="22" width="12.7109375" style="1" customWidth="1"/>
    <col min="23" max="23" width="16.140625" style="1" customWidth="1"/>
    <col min="24" max="24" width="15" style="1" customWidth="1"/>
    <col min="25" max="29" width="12.7109375" style="1" customWidth="1"/>
    <col min="30" max="30" width="21.7109375" style="1" customWidth="1"/>
    <col min="31" max="38" width="5.7109375" style="1" customWidth="1"/>
    <col min="39" max="42" width="8.7109375" style="1" customWidth="1"/>
    <col min="43" max="16384" width="11.42578125" style="1"/>
  </cols>
  <sheetData>
    <row r="1" spans="1:42" x14ac:dyDescent="0.25">
      <c r="A1" s="605" t="s">
        <v>0</v>
      </c>
      <c r="B1" s="605"/>
      <c r="C1" s="605"/>
      <c r="D1" s="605"/>
      <c r="E1" s="605"/>
      <c r="F1" s="605"/>
      <c r="G1" s="605"/>
      <c r="H1" s="605"/>
      <c r="I1" s="605"/>
      <c r="J1" s="605"/>
      <c r="K1" s="605"/>
      <c r="L1" s="605"/>
      <c r="M1" s="605"/>
      <c r="N1" s="605"/>
      <c r="O1" s="605"/>
      <c r="P1" s="605"/>
    </row>
    <row r="2" spans="1:42" x14ac:dyDescent="0.25">
      <c r="A2" s="605" t="s">
        <v>1</v>
      </c>
      <c r="B2" s="605"/>
      <c r="C2" s="605"/>
      <c r="D2" s="605"/>
      <c r="E2" s="605"/>
      <c r="F2" s="605"/>
      <c r="G2" s="605"/>
      <c r="H2" s="605"/>
      <c r="I2" s="605"/>
      <c r="J2" s="605"/>
      <c r="K2" s="605"/>
      <c r="L2" s="605"/>
      <c r="M2" s="605"/>
      <c r="N2" s="605"/>
      <c r="O2" s="605"/>
      <c r="P2" s="605"/>
    </row>
    <row r="3" spans="1:42" x14ac:dyDescent="0.25">
      <c r="A3" s="605" t="s">
        <v>61</v>
      </c>
      <c r="B3" s="605"/>
      <c r="C3" s="605"/>
      <c r="D3" s="605"/>
      <c r="E3" s="605"/>
      <c r="F3" s="605"/>
      <c r="G3" s="605"/>
      <c r="H3" s="605"/>
      <c r="I3" s="605"/>
      <c r="J3" s="605"/>
      <c r="K3" s="605"/>
      <c r="L3" s="605"/>
      <c r="M3" s="605"/>
      <c r="N3" s="605"/>
      <c r="O3" s="605"/>
      <c r="P3" s="605"/>
    </row>
    <row r="4" spans="1:42" x14ac:dyDescent="0.25">
      <c r="A4" s="605">
        <v>2013</v>
      </c>
      <c r="B4" s="605"/>
      <c r="C4" s="605"/>
      <c r="D4" s="605"/>
      <c r="E4" s="605"/>
      <c r="F4" s="605"/>
      <c r="G4" s="605"/>
      <c r="H4" s="605"/>
      <c r="I4" s="605"/>
      <c r="J4" s="605"/>
      <c r="K4" s="605"/>
      <c r="L4" s="605"/>
      <c r="M4" s="605"/>
      <c r="N4" s="605"/>
      <c r="O4" s="605"/>
      <c r="P4" s="605"/>
    </row>
    <row r="5" spans="1:42" x14ac:dyDescent="0.25">
      <c r="A5" s="606" t="s">
        <v>4</v>
      </c>
      <c r="B5" s="606"/>
      <c r="C5" s="24" t="s">
        <v>3948</v>
      </c>
      <c r="D5" s="24"/>
      <c r="E5" s="24"/>
      <c r="F5" s="24"/>
      <c r="G5" s="24"/>
      <c r="H5" s="24"/>
      <c r="I5" s="292"/>
      <c r="J5" s="292"/>
      <c r="K5" s="26"/>
      <c r="L5" s="292"/>
      <c r="M5" s="292"/>
      <c r="N5" s="292"/>
      <c r="O5" s="292"/>
      <c r="P5" s="292"/>
      <c r="Q5" s="285"/>
      <c r="R5" s="285"/>
      <c r="S5" s="285"/>
      <c r="T5" s="285"/>
      <c r="U5" s="285"/>
      <c r="V5" s="285"/>
      <c r="W5" s="285"/>
      <c r="X5" s="285"/>
      <c r="Y5" s="285"/>
      <c r="Z5" s="285"/>
      <c r="AA5" s="285"/>
      <c r="AB5" s="285"/>
      <c r="AC5" s="285"/>
      <c r="AD5" s="285"/>
    </row>
    <row r="7" spans="1:42" s="294" customFormat="1" ht="24" customHeight="1" x14ac:dyDescent="0.2">
      <c r="A7" s="633" t="s">
        <v>6</v>
      </c>
      <c r="B7" s="633" t="s">
        <v>7</v>
      </c>
      <c r="C7" s="633" t="s">
        <v>8</v>
      </c>
      <c r="D7" s="633" t="s">
        <v>9</v>
      </c>
      <c r="E7" s="633" t="s">
        <v>11</v>
      </c>
      <c r="F7" s="633" t="s">
        <v>12</v>
      </c>
      <c r="G7" s="633" t="s">
        <v>13</v>
      </c>
      <c r="H7" s="633" t="s">
        <v>62</v>
      </c>
      <c r="I7" s="635" t="s">
        <v>63</v>
      </c>
      <c r="J7" s="635" t="s">
        <v>64</v>
      </c>
      <c r="K7" s="633" t="s">
        <v>65</v>
      </c>
      <c r="L7" s="635" t="s">
        <v>66</v>
      </c>
      <c r="M7" s="635" t="s">
        <v>67</v>
      </c>
      <c r="N7" s="633" t="s">
        <v>68</v>
      </c>
      <c r="O7" s="635" t="s">
        <v>69</v>
      </c>
      <c r="P7" s="635" t="s">
        <v>70</v>
      </c>
      <c r="Q7" s="633" t="s">
        <v>71</v>
      </c>
      <c r="R7" s="633" t="s">
        <v>72</v>
      </c>
      <c r="S7" s="633" t="s">
        <v>73</v>
      </c>
      <c r="T7" s="638" t="s">
        <v>74</v>
      </c>
      <c r="U7" s="639"/>
      <c r="V7" s="639"/>
      <c r="W7" s="639"/>
      <c r="X7" s="639"/>
      <c r="Y7" s="639"/>
      <c r="Z7" s="639"/>
      <c r="AA7" s="639"/>
      <c r="AB7" s="639"/>
      <c r="AC7" s="639"/>
      <c r="AD7" s="640" t="s">
        <v>22</v>
      </c>
      <c r="AE7" s="642" t="s">
        <v>75</v>
      </c>
      <c r="AF7" s="643"/>
      <c r="AG7" s="643"/>
      <c r="AH7" s="643"/>
      <c r="AI7" s="643"/>
      <c r="AJ7" s="643"/>
      <c r="AK7" s="643"/>
      <c r="AL7" s="643"/>
      <c r="AM7" s="643"/>
      <c r="AN7" s="643"/>
      <c r="AO7" s="643"/>
      <c r="AP7" s="644"/>
    </row>
    <row r="8" spans="1:42" ht="36" customHeight="1" x14ac:dyDescent="0.25">
      <c r="A8" s="634"/>
      <c r="B8" s="634"/>
      <c r="C8" s="634"/>
      <c r="D8" s="634"/>
      <c r="E8" s="634"/>
      <c r="F8" s="634"/>
      <c r="G8" s="634"/>
      <c r="H8" s="634"/>
      <c r="I8" s="636"/>
      <c r="J8" s="636"/>
      <c r="K8" s="634"/>
      <c r="L8" s="636"/>
      <c r="M8" s="636"/>
      <c r="N8" s="634"/>
      <c r="O8" s="636"/>
      <c r="P8" s="636"/>
      <c r="Q8" s="634"/>
      <c r="R8" s="634"/>
      <c r="S8" s="637"/>
      <c r="T8" s="295" t="s">
        <v>76</v>
      </c>
      <c r="U8" s="295" t="s">
        <v>77</v>
      </c>
      <c r="V8" s="295" t="s">
        <v>78</v>
      </c>
      <c r="W8" s="515" t="s">
        <v>79</v>
      </c>
      <c r="X8" s="515" t="s">
        <v>80</v>
      </c>
      <c r="Y8" s="515" t="s">
        <v>81</v>
      </c>
      <c r="Z8" s="515" t="s">
        <v>82</v>
      </c>
      <c r="AA8" s="297" t="s">
        <v>83</v>
      </c>
      <c r="AB8" s="515" t="s">
        <v>84</v>
      </c>
      <c r="AC8" s="515" t="s">
        <v>85</v>
      </c>
      <c r="AD8" s="641"/>
      <c r="AE8" s="298" t="s">
        <v>86</v>
      </c>
      <c r="AF8" s="298" t="s">
        <v>87</v>
      </c>
      <c r="AG8" s="298" t="s">
        <v>88</v>
      </c>
      <c r="AH8" s="298" t="s">
        <v>89</v>
      </c>
      <c r="AI8" s="298" t="s">
        <v>90</v>
      </c>
      <c r="AJ8" s="298" t="s">
        <v>91</v>
      </c>
      <c r="AK8" s="298" t="s">
        <v>92</v>
      </c>
      <c r="AL8" s="298" t="s">
        <v>93</v>
      </c>
      <c r="AM8" s="298" t="s">
        <v>94</v>
      </c>
      <c r="AN8" s="298" t="s">
        <v>95</v>
      </c>
      <c r="AO8" s="298" t="s">
        <v>96</v>
      </c>
      <c r="AP8" s="298" t="s">
        <v>97</v>
      </c>
    </row>
    <row r="9" spans="1:42" ht="84" x14ac:dyDescent="0.25">
      <c r="A9" s="336" t="s">
        <v>55</v>
      </c>
      <c r="B9" s="336" t="s">
        <v>3900</v>
      </c>
      <c r="C9" s="336" t="s">
        <v>3901</v>
      </c>
      <c r="D9" s="336">
        <v>244110004</v>
      </c>
      <c r="E9" s="374" t="s">
        <v>3903</v>
      </c>
      <c r="F9" s="336" t="s">
        <v>3904</v>
      </c>
      <c r="G9" s="336" t="s">
        <v>3905</v>
      </c>
      <c r="H9" s="338">
        <v>1345000000</v>
      </c>
      <c r="I9" s="338">
        <v>953000000</v>
      </c>
      <c r="J9" s="338">
        <v>930100645</v>
      </c>
      <c r="K9" s="338">
        <v>1170000000</v>
      </c>
      <c r="L9" s="338">
        <f>2500000*119</f>
        <v>297500000</v>
      </c>
      <c r="M9" s="338">
        <v>367000000</v>
      </c>
      <c r="N9" s="338">
        <f>H9+K9</f>
        <v>2515000000</v>
      </c>
      <c r="O9" s="338">
        <f>I9+L9</f>
        <v>1250500000</v>
      </c>
      <c r="P9" s="338">
        <f>J9+M9</f>
        <v>1297100645</v>
      </c>
      <c r="Q9" s="338">
        <f>J9</f>
        <v>930100645</v>
      </c>
      <c r="R9" s="338">
        <f>M9</f>
        <v>367000000</v>
      </c>
      <c r="S9" s="338">
        <f>Q9+R9</f>
        <v>1297100645</v>
      </c>
      <c r="T9" s="37">
        <v>0</v>
      </c>
      <c r="U9" s="37">
        <v>0</v>
      </c>
      <c r="V9" s="37">
        <v>0</v>
      </c>
      <c r="W9" s="336"/>
      <c r="X9" s="336"/>
      <c r="Y9" s="336"/>
      <c r="Z9" s="336"/>
      <c r="AA9" s="336">
        <v>0</v>
      </c>
      <c r="AB9" s="336"/>
      <c r="AC9" s="336"/>
      <c r="AD9" s="10"/>
      <c r="AE9" s="10">
        <v>0</v>
      </c>
      <c r="AF9" s="10">
        <v>0</v>
      </c>
      <c r="AG9" s="10">
        <v>0</v>
      </c>
      <c r="AH9" s="10">
        <v>0</v>
      </c>
      <c r="AI9" s="10">
        <v>0</v>
      </c>
      <c r="AJ9" s="10">
        <v>0</v>
      </c>
      <c r="AK9" s="10">
        <v>0</v>
      </c>
      <c r="AL9" s="10">
        <v>0</v>
      </c>
      <c r="AM9" s="10">
        <v>0</v>
      </c>
      <c r="AN9" s="10">
        <v>0</v>
      </c>
      <c r="AO9" s="10">
        <v>0</v>
      </c>
      <c r="AP9" s="10">
        <v>0</v>
      </c>
    </row>
    <row r="10" spans="1:42" ht="24" x14ac:dyDescent="0.25">
      <c r="A10" s="336">
        <v>0</v>
      </c>
      <c r="B10" s="336">
        <v>0</v>
      </c>
      <c r="C10" s="336">
        <v>0</v>
      </c>
      <c r="D10" s="336">
        <v>0</v>
      </c>
      <c r="E10" s="374">
        <v>0</v>
      </c>
      <c r="F10" s="336">
        <v>0</v>
      </c>
      <c r="G10" s="336">
        <v>0</v>
      </c>
      <c r="H10" s="338">
        <v>0</v>
      </c>
      <c r="I10" s="39"/>
      <c r="J10" s="39"/>
      <c r="K10" s="39"/>
      <c r="L10" s="39"/>
      <c r="M10" s="39"/>
      <c r="N10" s="338">
        <f t="shared" ref="N10:P45" si="0">H10+K10</f>
        <v>0</v>
      </c>
      <c r="O10" s="338">
        <f t="shared" si="0"/>
        <v>0</v>
      </c>
      <c r="P10" s="338">
        <f t="shared" si="0"/>
        <v>0</v>
      </c>
      <c r="Q10" s="39"/>
      <c r="R10" s="39"/>
      <c r="S10" s="338">
        <f t="shared" ref="S10:S45" si="1">Q10+R10</f>
        <v>0</v>
      </c>
      <c r="T10" s="37" t="s">
        <v>3949</v>
      </c>
      <c r="U10" s="37" t="s">
        <v>266</v>
      </c>
      <c r="V10" s="37">
        <v>3</v>
      </c>
      <c r="W10" s="10">
        <v>3</v>
      </c>
      <c r="X10" s="336"/>
      <c r="Y10" s="10">
        <v>2</v>
      </c>
      <c r="Z10" s="10">
        <v>3</v>
      </c>
      <c r="AA10" s="336">
        <v>60</v>
      </c>
      <c r="AB10" s="10">
        <v>60</v>
      </c>
      <c r="AC10" s="336">
        <v>60</v>
      </c>
      <c r="AD10" s="10"/>
      <c r="AE10" s="10">
        <v>0</v>
      </c>
      <c r="AF10" s="10">
        <v>0</v>
      </c>
      <c r="AG10" s="10" t="s">
        <v>102</v>
      </c>
      <c r="AH10" s="10" t="s">
        <v>102</v>
      </c>
      <c r="AI10" s="10">
        <v>0</v>
      </c>
      <c r="AJ10" s="10">
        <v>0</v>
      </c>
      <c r="AK10" s="10">
        <v>0</v>
      </c>
      <c r="AL10" s="10">
        <v>0</v>
      </c>
      <c r="AM10" s="10">
        <v>0</v>
      </c>
      <c r="AN10" s="10">
        <v>0</v>
      </c>
      <c r="AO10" s="10">
        <v>0</v>
      </c>
      <c r="AP10" s="10">
        <v>0</v>
      </c>
    </row>
    <row r="11" spans="1:42" ht="36" x14ac:dyDescent="0.25">
      <c r="A11" s="336">
        <v>0</v>
      </c>
      <c r="B11" s="336">
        <v>0</v>
      </c>
      <c r="C11" s="336">
        <v>0</v>
      </c>
      <c r="D11" s="336">
        <v>0</v>
      </c>
      <c r="E11" s="374">
        <v>0</v>
      </c>
      <c r="F11" s="336">
        <v>0</v>
      </c>
      <c r="G11" s="336">
        <v>0</v>
      </c>
      <c r="H11" s="338">
        <v>0</v>
      </c>
      <c r="I11" s="39"/>
      <c r="J11" s="39"/>
      <c r="K11" s="39"/>
      <c r="L11" s="39"/>
      <c r="M11" s="39"/>
      <c r="N11" s="338">
        <f t="shared" si="0"/>
        <v>0</v>
      </c>
      <c r="O11" s="338">
        <f t="shared" si="0"/>
        <v>0</v>
      </c>
      <c r="P11" s="338">
        <f t="shared" si="0"/>
        <v>0</v>
      </c>
      <c r="Q11" s="39"/>
      <c r="R11" s="39"/>
      <c r="S11" s="338">
        <f t="shared" si="1"/>
        <v>0</v>
      </c>
      <c r="T11" s="37" t="s">
        <v>3950</v>
      </c>
      <c r="U11" s="37" t="s">
        <v>266</v>
      </c>
      <c r="V11" s="37">
        <v>1</v>
      </c>
      <c r="W11" s="10">
        <v>1</v>
      </c>
      <c r="X11" s="10"/>
      <c r="Y11" s="10">
        <v>0.8</v>
      </c>
      <c r="Z11" s="10">
        <v>1</v>
      </c>
      <c r="AA11" s="336">
        <v>270</v>
      </c>
      <c r="AB11" s="10">
        <v>270</v>
      </c>
      <c r="AC11" s="10">
        <v>270</v>
      </c>
      <c r="AD11" s="10"/>
      <c r="AE11" s="10">
        <v>0</v>
      </c>
      <c r="AF11" s="10">
        <v>0</v>
      </c>
      <c r="AG11" s="10" t="s">
        <v>102</v>
      </c>
      <c r="AH11" s="10" t="s">
        <v>102</v>
      </c>
      <c r="AI11" s="10" t="s">
        <v>102</v>
      </c>
      <c r="AJ11" s="10" t="s">
        <v>102</v>
      </c>
      <c r="AK11" s="10" t="s">
        <v>102</v>
      </c>
      <c r="AL11" s="10" t="s">
        <v>102</v>
      </c>
      <c r="AM11" s="10" t="s">
        <v>102</v>
      </c>
      <c r="AN11" s="10" t="s">
        <v>102</v>
      </c>
      <c r="AO11" s="10" t="s">
        <v>102</v>
      </c>
      <c r="AP11" s="10">
        <v>0</v>
      </c>
    </row>
    <row r="12" spans="1:42" ht="24" x14ac:dyDescent="0.25">
      <c r="A12" s="336">
        <v>0</v>
      </c>
      <c r="B12" s="336">
        <v>0</v>
      </c>
      <c r="C12" s="336">
        <v>0</v>
      </c>
      <c r="D12" s="336">
        <v>0</v>
      </c>
      <c r="E12" s="374">
        <v>0</v>
      </c>
      <c r="F12" s="336">
        <v>0</v>
      </c>
      <c r="G12" s="336">
        <v>0</v>
      </c>
      <c r="H12" s="338">
        <v>0</v>
      </c>
      <c r="I12" s="39"/>
      <c r="J12" s="39"/>
      <c r="K12" s="39"/>
      <c r="L12" s="39"/>
      <c r="M12" s="39"/>
      <c r="N12" s="338">
        <f t="shared" si="0"/>
        <v>0</v>
      </c>
      <c r="O12" s="338">
        <f t="shared" si="0"/>
        <v>0</v>
      </c>
      <c r="P12" s="338">
        <f t="shared" si="0"/>
        <v>0</v>
      </c>
      <c r="Q12" s="39"/>
      <c r="R12" s="39"/>
      <c r="S12" s="338">
        <f t="shared" si="1"/>
        <v>0</v>
      </c>
      <c r="T12" s="37" t="s">
        <v>3951</v>
      </c>
      <c r="U12" s="37" t="s">
        <v>266</v>
      </c>
      <c r="V12" s="37">
        <v>1</v>
      </c>
      <c r="W12" s="10">
        <v>1</v>
      </c>
      <c r="X12" s="10"/>
      <c r="Y12" s="10">
        <v>0.8</v>
      </c>
      <c r="Z12" s="10">
        <v>1</v>
      </c>
      <c r="AA12" s="336">
        <v>270</v>
      </c>
      <c r="AB12" s="10">
        <v>270</v>
      </c>
      <c r="AC12" s="10">
        <v>270</v>
      </c>
      <c r="AD12" s="10"/>
      <c r="AE12" s="10">
        <v>0</v>
      </c>
      <c r="AF12" s="10">
        <v>0</v>
      </c>
      <c r="AG12" s="10" t="s">
        <v>102</v>
      </c>
      <c r="AH12" s="10" t="s">
        <v>102</v>
      </c>
      <c r="AI12" s="10" t="s">
        <v>102</v>
      </c>
      <c r="AJ12" s="10" t="s">
        <v>102</v>
      </c>
      <c r="AK12" s="10" t="s">
        <v>102</v>
      </c>
      <c r="AL12" s="10" t="s">
        <v>102</v>
      </c>
      <c r="AM12" s="10" t="s">
        <v>102</v>
      </c>
      <c r="AN12" s="10" t="s">
        <v>102</v>
      </c>
      <c r="AO12" s="10" t="s">
        <v>102</v>
      </c>
      <c r="AP12" s="10" t="s">
        <v>102</v>
      </c>
    </row>
    <row r="13" spans="1:42" ht="36" x14ac:dyDescent="0.25">
      <c r="A13" s="336">
        <v>0</v>
      </c>
      <c r="B13" s="336">
        <v>0</v>
      </c>
      <c r="C13" s="336">
        <v>0</v>
      </c>
      <c r="D13" s="336">
        <v>0</v>
      </c>
      <c r="E13" s="374">
        <v>0</v>
      </c>
      <c r="F13" s="336">
        <v>0</v>
      </c>
      <c r="G13" s="336">
        <v>0</v>
      </c>
      <c r="H13" s="338">
        <v>0</v>
      </c>
      <c r="I13" s="39"/>
      <c r="J13" s="39"/>
      <c r="K13" s="39"/>
      <c r="L13" s="39"/>
      <c r="M13" s="39"/>
      <c r="N13" s="338">
        <f t="shared" si="0"/>
        <v>0</v>
      </c>
      <c r="O13" s="338">
        <f t="shared" si="0"/>
        <v>0</v>
      </c>
      <c r="P13" s="338">
        <f t="shared" si="0"/>
        <v>0</v>
      </c>
      <c r="Q13" s="39"/>
      <c r="R13" s="39"/>
      <c r="S13" s="338">
        <f t="shared" si="1"/>
        <v>0</v>
      </c>
      <c r="T13" s="37" t="s">
        <v>3952</v>
      </c>
      <c r="U13" s="37" t="s">
        <v>266</v>
      </c>
      <c r="V13" s="37">
        <v>1</v>
      </c>
      <c r="W13" s="10">
        <v>0</v>
      </c>
      <c r="X13" s="10"/>
      <c r="Y13" s="10">
        <v>0</v>
      </c>
      <c r="Z13" s="10">
        <v>1</v>
      </c>
      <c r="AA13" s="336">
        <v>30</v>
      </c>
      <c r="AB13" s="10">
        <v>30</v>
      </c>
      <c r="AC13" s="10">
        <v>30</v>
      </c>
      <c r="AD13" s="10"/>
      <c r="AE13" s="10">
        <v>0</v>
      </c>
      <c r="AF13" s="10">
        <v>0</v>
      </c>
      <c r="AG13" s="10">
        <v>0</v>
      </c>
      <c r="AH13" s="10">
        <v>0</v>
      </c>
      <c r="AI13" s="10">
        <v>0</v>
      </c>
      <c r="AJ13" s="10">
        <v>0</v>
      </c>
      <c r="AK13" s="10">
        <v>0</v>
      </c>
      <c r="AL13" s="10">
        <v>0</v>
      </c>
      <c r="AM13" s="10">
        <v>0</v>
      </c>
      <c r="AN13" s="10">
        <v>0</v>
      </c>
      <c r="AO13" s="10" t="s">
        <v>102</v>
      </c>
      <c r="AP13" s="10">
        <v>0</v>
      </c>
    </row>
    <row r="14" spans="1:42" ht="24" x14ac:dyDescent="0.25">
      <c r="A14" s="336">
        <v>0</v>
      </c>
      <c r="B14" s="336">
        <v>0</v>
      </c>
      <c r="C14" s="336">
        <v>0</v>
      </c>
      <c r="D14" s="336">
        <v>0</v>
      </c>
      <c r="E14" s="374">
        <v>0</v>
      </c>
      <c r="F14" s="336">
        <v>0</v>
      </c>
      <c r="G14" s="336">
        <v>0</v>
      </c>
      <c r="H14" s="338">
        <v>0</v>
      </c>
      <c r="I14" s="39"/>
      <c r="J14" s="39"/>
      <c r="K14" s="39"/>
      <c r="L14" s="39"/>
      <c r="M14" s="39"/>
      <c r="N14" s="338">
        <f t="shared" si="0"/>
        <v>0</v>
      </c>
      <c r="O14" s="338">
        <f t="shared" si="0"/>
        <v>0</v>
      </c>
      <c r="P14" s="338">
        <f t="shared" si="0"/>
        <v>0</v>
      </c>
      <c r="Q14" s="39"/>
      <c r="R14" s="39"/>
      <c r="S14" s="338">
        <f t="shared" si="1"/>
        <v>0</v>
      </c>
      <c r="T14" s="37" t="s">
        <v>3953</v>
      </c>
      <c r="U14" s="37" t="s">
        <v>316</v>
      </c>
      <c r="V14" s="37">
        <v>1</v>
      </c>
      <c r="W14" s="10">
        <v>1</v>
      </c>
      <c r="X14" s="10"/>
      <c r="Y14" s="10">
        <v>1</v>
      </c>
      <c r="Z14" s="10">
        <v>1</v>
      </c>
      <c r="AA14" s="336">
        <v>30</v>
      </c>
      <c r="AB14" s="10">
        <v>30</v>
      </c>
      <c r="AC14" s="10">
        <v>30</v>
      </c>
      <c r="AD14" s="10"/>
      <c r="AE14" s="10">
        <v>0</v>
      </c>
      <c r="AF14" s="10">
        <v>0</v>
      </c>
      <c r="AG14" s="10" t="s">
        <v>102</v>
      </c>
      <c r="AH14" s="10">
        <v>0</v>
      </c>
      <c r="AI14" s="10">
        <v>0</v>
      </c>
      <c r="AJ14" s="10">
        <v>0</v>
      </c>
      <c r="AK14" s="10">
        <v>0</v>
      </c>
      <c r="AL14" s="10">
        <v>0</v>
      </c>
      <c r="AM14" s="10">
        <v>0</v>
      </c>
      <c r="AN14" s="10">
        <v>0</v>
      </c>
      <c r="AO14" s="10">
        <v>0</v>
      </c>
      <c r="AP14" s="10">
        <v>0</v>
      </c>
    </row>
    <row r="15" spans="1:42" ht="24" x14ac:dyDescent="0.25">
      <c r="A15" s="336">
        <v>0</v>
      </c>
      <c r="B15" s="336">
        <v>0</v>
      </c>
      <c r="C15" s="336">
        <v>0</v>
      </c>
      <c r="D15" s="336">
        <v>0</v>
      </c>
      <c r="E15" s="374">
        <v>0</v>
      </c>
      <c r="F15" s="336">
        <v>0</v>
      </c>
      <c r="G15" s="336">
        <v>0</v>
      </c>
      <c r="H15" s="338">
        <v>0</v>
      </c>
      <c r="I15" s="39"/>
      <c r="J15" s="39"/>
      <c r="K15" s="39"/>
      <c r="L15" s="39"/>
      <c r="M15" s="39"/>
      <c r="N15" s="338">
        <f t="shared" si="0"/>
        <v>0</v>
      </c>
      <c r="O15" s="338">
        <f t="shared" si="0"/>
        <v>0</v>
      </c>
      <c r="P15" s="338">
        <f t="shared" si="0"/>
        <v>0</v>
      </c>
      <c r="Q15" s="39"/>
      <c r="R15" s="39"/>
      <c r="S15" s="338">
        <f t="shared" si="1"/>
        <v>0</v>
      </c>
      <c r="T15" s="37" t="s">
        <v>3954</v>
      </c>
      <c r="U15" s="37" t="s">
        <v>325</v>
      </c>
      <c r="V15" s="37">
        <v>20</v>
      </c>
      <c r="W15" s="10">
        <v>20</v>
      </c>
      <c r="X15" s="10"/>
      <c r="Y15" s="10">
        <v>15</v>
      </c>
      <c r="Z15" s="10">
        <v>20</v>
      </c>
      <c r="AA15" s="336">
        <v>360</v>
      </c>
      <c r="AB15" s="10">
        <v>360</v>
      </c>
      <c r="AC15" s="10">
        <v>330</v>
      </c>
      <c r="AD15" s="10"/>
      <c r="AE15" s="10" t="s">
        <v>102</v>
      </c>
      <c r="AF15" s="10" t="s">
        <v>102</v>
      </c>
      <c r="AG15" s="10" t="s">
        <v>102</v>
      </c>
      <c r="AH15" s="10" t="s">
        <v>102</v>
      </c>
      <c r="AI15" s="10" t="s">
        <v>102</v>
      </c>
      <c r="AJ15" s="10" t="s">
        <v>102</v>
      </c>
      <c r="AK15" s="10" t="s">
        <v>102</v>
      </c>
      <c r="AL15" s="10" t="s">
        <v>102</v>
      </c>
      <c r="AM15" s="10" t="s">
        <v>102</v>
      </c>
      <c r="AN15" s="10" t="s">
        <v>102</v>
      </c>
      <c r="AO15" s="10" t="s">
        <v>102</v>
      </c>
      <c r="AP15" s="10" t="s">
        <v>102</v>
      </c>
    </row>
    <row r="16" spans="1:42" ht="36" x14ac:dyDescent="0.25">
      <c r="A16" s="336">
        <v>0</v>
      </c>
      <c r="B16" s="336">
        <v>0</v>
      </c>
      <c r="C16" s="336">
        <v>0</v>
      </c>
      <c r="D16" s="336">
        <v>0</v>
      </c>
      <c r="E16" s="374">
        <v>0</v>
      </c>
      <c r="F16" s="336">
        <v>0</v>
      </c>
      <c r="G16" s="336">
        <v>0</v>
      </c>
      <c r="H16" s="338">
        <v>0</v>
      </c>
      <c r="I16" s="39"/>
      <c r="J16" s="39"/>
      <c r="K16" s="39"/>
      <c r="L16" s="39"/>
      <c r="M16" s="39"/>
      <c r="N16" s="338">
        <f t="shared" si="0"/>
        <v>0</v>
      </c>
      <c r="O16" s="338">
        <f t="shared" si="0"/>
        <v>0</v>
      </c>
      <c r="P16" s="338">
        <f t="shared" si="0"/>
        <v>0</v>
      </c>
      <c r="Q16" s="39"/>
      <c r="R16" s="39"/>
      <c r="S16" s="338">
        <f t="shared" si="1"/>
        <v>0</v>
      </c>
      <c r="T16" s="37" t="s">
        <v>3955</v>
      </c>
      <c r="U16" s="37" t="s">
        <v>941</v>
      </c>
      <c r="V16" s="37">
        <v>100</v>
      </c>
      <c r="W16" s="10">
        <v>100</v>
      </c>
      <c r="X16" s="10">
        <v>0</v>
      </c>
      <c r="Y16" s="10">
        <v>119</v>
      </c>
      <c r="Z16" s="10">
        <v>119</v>
      </c>
      <c r="AA16" s="336">
        <v>30</v>
      </c>
      <c r="AB16" s="10">
        <v>30</v>
      </c>
      <c r="AC16" s="10">
        <v>30</v>
      </c>
      <c r="AD16" s="10"/>
      <c r="AE16" s="10">
        <v>0</v>
      </c>
      <c r="AF16" s="10">
        <v>0</v>
      </c>
      <c r="AG16" s="10">
        <v>0</v>
      </c>
      <c r="AH16" s="10">
        <v>0</v>
      </c>
      <c r="AI16" s="10" t="s">
        <v>102</v>
      </c>
      <c r="AJ16" s="10">
        <v>0</v>
      </c>
      <c r="AK16" s="10">
        <v>0</v>
      </c>
      <c r="AL16" s="10">
        <v>0</v>
      </c>
      <c r="AM16" s="10">
        <v>0</v>
      </c>
      <c r="AN16" s="10">
        <v>0</v>
      </c>
      <c r="AO16" s="10">
        <v>0</v>
      </c>
      <c r="AP16" s="10">
        <v>0</v>
      </c>
    </row>
    <row r="17" spans="1:42" ht="63.75" x14ac:dyDescent="0.25">
      <c r="A17" s="336">
        <v>0</v>
      </c>
      <c r="B17" s="336">
        <v>0</v>
      </c>
      <c r="C17" s="336">
        <v>0</v>
      </c>
      <c r="D17" s="336">
        <v>0</v>
      </c>
      <c r="E17" s="374">
        <v>0</v>
      </c>
      <c r="F17" s="336">
        <v>0</v>
      </c>
      <c r="G17" s="336">
        <v>0</v>
      </c>
      <c r="H17" s="338">
        <v>0</v>
      </c>
      <c r="I17" s="39"/>
      <c r="J17" s="39"/>
      <c r="K17" s="39"/>
      <c r="L17" s="39"/>
      <c r="M17" s="39"/>
      <c r="N17" s="338">
        <f t="shared" si="0"/>
        <v>0</v>
      </c>
      <c r="O17" s="338">
        <f t="shared" si="0"/>
        <v>0</v>
      </c>
      <c r="P17" s="338">
        <f t="shared" si="0"/>
        <v>0</v>
      </c>
      <c r="Q17" s="39"/>
      <c r="R17" s="39"/>
      <c r="S17" s="338">
        <f t="shared" si="1"/>
        <v>0</v>
      </c>
      <c r="T17" s="37" t="s">
        <v>3956</v>
      </c>
      <c r="U17" s="37" t="s">
        <v>316</v>
      </c>
      <c r="V17" s="37">
        <v>2</v>
      </c>
      <c r="W17" s="10">
        <v>2</v>
      </c>
      <c r="X17" s="10"/>
      <c r="Y17" s="10">
        <v>0</v>
      </c>
      <c r="Z17" s="10">
        <v>0</v>
      </c>
      <c r="AA17" s="336">
        <v>150</v>
      </c>
      <c r="AB17" s="10">
        <v>150</v>
      </c>
      <c r="AC17" s="10">
        <v>0</v>
      </c>
      <c r="AD17" s="49" t="s">
        <v>3957</v>
      </c>
      <c r="AE17" s="10">
        <v>0</v>
      </c>
      <c r="AF17" s="10">
        <v>0</v>
      </c>
      <c r="AG17" s="10" t="s">
        <v>102</v>
      </c>
      <c r="AH17" s="10" t="s">
        <v>102</v>
      </c>
      <c r="AI17" s="10" t="s">
        <v>102</v>
      </c>
      <c r="AJ17" s="10" t="s">
        <v>102</v>
      </c>
      <c r="AK17" s="10" t="s">
        <v>102</v>
      </c>
      <c r="AL17" s="10">
        <v>0</v>
      </c>
      <c r="AM17" s="10">
        <v>0</v>
      </c>
      <c r="AN17" s="10">
        <v>0</v>
      </c>
      <c r="AO17" s="10">
        <v>0</v>
      </c>
      <c r="AP17" s="10">
        <v>0</v>
      </c>
    </row>
    <row r="18" spans="1:42" ht="36" x14ac:dyDescent="0.25">
      <c r="A18" s="336">
        <v>0</v>
      </c>
      <c r="B18" s="336">
        <v>0</v>
      </c>
      <c r="C18" s="336">
        <v>0</v>
      </c>
      <c r="D18" s="336">
        <v>0</v>
      </c>
      <c r="E18" s="374">
        <v>0</v>
      </c>
      <c r="F18" s="336">
        <v>0</v>
      </c>
      <c r="G18" s="336">
        <v>0</v>
      </c>
      <c r="H18" s="338">
        <v>0</v>
      </c>
      <c r="I18" s="39"/>
      <c r="J18" s="39"/>
      <c r="K18" s="39"/>
      <c r="L18" s="39"/>
      <c r="M18" s="39"/>
      <c r="N18" s="338">
        <f t="shared" si="0"/>
        <v>0</v>
      </c>
      <c r="O18" s="338">
        <f t="shared" si="0"/>
        <v>0</v>
      </c>
      <c r="P18" s="338">
        <f t="shared" si="0"/>
        <v>0</v>
      </c>
      <c r="Q18" s="39"/>
      <c r="R18" s="39"/>
      <c r="S18" s="338">
        <f t="shared" si="1"/>
        <v>0</v>
      </c>
      <c r="T18" s="37" t="s">
        <v>3958</v>
      </c>
      <c r="U18" s="37" t="s">
        <v>672</v>
      </c>
      <c r="V18" s="37">
        <v>1</v>
      </c>
      <c r="W18" s="10">
        <v>1</v>
      </c>
      <c r="X18" s="10"/>
      <c r="Y18" s="10">
        <v>0.6</v>
      </c>
      <c r="Z18" s="10">
        <v>1</v>
      </c>
      <c r="AA18" s="336">
        <v>60</v>
      </c>
      <c r="AB18" s="10">
        <v>60</v>
      </c>
      <c r="AC18" s="10">
        <v>60</v>
      </c>
      <c r="AD18" s="10"/>
      <c r="AE18" s="10">
        <v>0</v>
      </c>
      <c r="AF18" s="10">
        <v>0</v>
      </c>
      <c r="AG18" s="10">
        <v>0</v>
      </c>
      <c r="AH18" s="10">
        <v>0</v>
      </c>
      <c r="AI18" s="10">
        <v>0</v>
      </c>
      <c r="AJ18" s="10">
        <v>0</v>
      </c>
      <c r="AK18" s="10">
        <v>0</v>
      </c>
      <c r="AL18" s="10" t="s">
        <v>102</v>
      </c>
      <c r="AM18" s="10" t="s">
        <v>102</v>
      </c>
      <c r="AN18" s="10">
        <v>0</v>
      </c>
      <c r="AO18" s="10">
        <v>0</v>
      </c>
      <c r="AP18" s="10">
        <v>0</v>
      </c>
    </row>
    <row r="19" spans="1:42" ht="36" x14ac:dyDescent="0.25">
      <c r="A19" s="336" t="s">
        <v>55</v>
      </c>
      <c r="B19" s="336" t="s">
        <v>3900</v>
      </c>
      <c r="C19" s="336" t="s">
        <v>3901</v>
      </c>
      <c r="D19" s="336">
        <v>244340004</v>
      </c>
      <c r="E19" s="374" t="s">
        <v>3914</v>
      </c>
      <c r="F19" s="336" t="s">
        <v>3915</v>
      </c>
      <c r="G19" s="336" t="s">
        <v>3916</v>
      </c>
      <c r="H19" s="338">
        <v>310000000</v>
      </c>
      <c r="I19" s="516">
        <v>296736250</v>
      </c>
      <c r="J19" s="39">
        <v>760000000</v>
      </c>
      <c r="K19" s="39"/>
      <c r="L19" s="39"/>
      <c r="M19" s="39">
        <v>0</v>
      </c>
      <c r="N19" s="338">
        <f t="shared" si="0"/>
        <v>310000000</v>
      </c>
      <c r="O19" s="338">
        <f t="shared" si="0"/>
        <v>296736250</v>
      </c>
      <c r="P19" s="338">
        <f t="shared" si="0"/>
        <v>760000000</v>
      </c>
      <c r="Q19" s="338">
        <f>J19</f>
        <v>760000000</v>
      </c>
      <c r="R19" s="338">
        <f>M19</f>
        <v>0</v>
      </c>
      <c r="S19" s="338">
        <f t="shared" si="1"/>
        <v>760000000</v>
      </c>
      <c r="T19" s="37">
        <v>0</v>
      </c>
      <c r="U19" s="37">
        <v>0</v>
      </c>
      <c r="V19" s="37">
        <v>0</v>
      </c>
      <c r="W19" s="10"/>
      <c r="X19" s="10"/>
      <c r="Y19" s="10"/>
      <c r="Z19" s="10"/>
      <c r="AA19" s="336">
        <v>0</v>
      </c>
      <c r="AB19" s="10"/>
      <c r="AC19" s="10"/>
      <c r="AD19" s="10"/>
      <c r="AE19" s="10">
        <v>0</v>
      </c>
      <c r="AF19" s="10">
        <v>0</v>
      </c>
      <c r="AG19" s="10">
        <v>0</v>
      </c>
      <c r="AH19" s="10">
        <v>0</v>
      </c>
      <c r="AI19" s="10">
        <v>0</v>
      </c>
      <c r="AJ19" s="10">
        <v>0</v>
      </c>
      <c r="AK19" s="10">
        <v>0</v>
      </c>
      <c r="AL19" s="10">
        <v>0</v>
      </c>
      <c r="AM19" s="10">
        <v>0</v>
      </c>
      <c r="AN19" s="10">
        <v>0</v>
      </c>
      <c r="AO19" s="10">
        <v>0</v>
      </c>
      <c r="AP19" s="10">
        <v>0</v>
      </c>
    </row>
    <row r="20" spans="1:42" ht="24" x14ac:dyDescent="0.25">
      <c r="A20" s="336">
        <v>0</v>
      </c>
      <c r="B20" s="336">
        <v>0</v>
      </c>
      <c r="C20" s="336">
        <v>0</v>
      </c>
      <c r="D20" s="336">
        <v>0</v>
      </c>
      <c r="E20" s="374">
        <v>0</v>
      </c>
      <c r="F20" s="336">
        <v>0</v>
      </c>
      <c r="G20" s="336">
        <v>0</v>
      </c>
      <c r="H20" s="338">
        <v>0</v>
      </c>
      <c r="I20" s="39"/>
      <c r="J20" s="39"/>
      <c r="K20" s="39"/>
      <c r="L20" s="39"/>
      <c r="M20" s="39"/>
      <c r="N20" s="338">
        <f t="shared" si="0"/>
        <v>0</v>
      </c>
      <c r="O20" s="338">
        <f t="shared" si="0"/>
        <v>0</v>
      </c>
      <c r="P20" s="338">
        <f t="shared" si="0"/>
        <v>0</v>
      </c>
      <c r="Q20" s="39"/>
      <c r="R20" s="39"/>
      <c r="S20" s="338">
        <f t="shared" si="1"/>
        <v>0</v>
      </c>
      <c r="T20" s="37" t="s">
        <v>3959</v>
      </c>
      <c r="U20" s="37" t="s">
        <v>3960</v>
      </c>
      <c r="V20" s="37">
        <v>3</v>
      </c>
      <c r="W20" s="10">
        <v>3</v>
      </c>
      <c r="X20" s="10"/>
      <c r="Y20" s="10">
        <v>7</v>
      </c>
      <c r="Z20" s="10">
        <v>7</v>
      </c>
      <c r="AA20" s="336">
        <v>180</v>
      </c>
      <c r="AB20" s="10">
        <v>90</v>
      </c>
      <c r="AC20" s="10">
        <v>180</v>
      </c>
      <c r="AD20" s="10"/>
      <c r="AE20" s="10">
        <v>0</v>
      </c>
      <c r="AF20" s="10" t="s">
        <v>102</v>
      </c>
      <c r="AG20" s="10" t="s">
        <v>102</v>
      </c>
      <c r="AH20" s="10" t="s">
        <v>102</v>
      </c>
      <c r="AI20" s="10" t="s">
        <v>102</v>
      </c>
      <c r="AJ20" s="10" t="s">
        <v>102</v>
      </c>
      <c r="AK20" s="10" t="s">
        <v>102</v>
      </c>
      <c r="AL20" s="10">
        <v>0</v>
      </c>
      <c r="AM20" s="10">
        <v>0</v>
      </c>
      <c r="AN20" s="10">
        <v>0</v>
      </c>
      <c r="AO20" s="10">
        <v>0</v>
      </c>
      <c r="AP20" s="10">
        <v>0</v>
      </c>
    </row>
    <row r="21" spans="1:42" ht="76.5" x14ac:dyDescent="0.25">
      <c r="A21" s="336">
        <v>0</v>
      </c>
      <c r="B21" s="336">
        <v>0</v>
      </c>
      <c r="C21" s="336">
        <v>0</v>
      </c>
      <c r="D21" s="336">
        <v>0</v>
      </c>
      <c r="E21" s="374">
        <v>0</v>
      </c>
      <c r="F21" s="336">
        <v>0</v>
      </c>
      <c r="G21" s="336">
        <v>0</v>
      </c>
      <c r="H21" s="338">
        <v>0</v>
      </c>
      <c r="I21" s="39"/>
      <c r="J21" s="39"/>
      <c r="K21" s="39"/>
      <c r="L21" s="39"/>
      <c r="M21" s="39"/>
      <c r="N21" s="338">
        <f t="shared" si="0"/>
        <v>0</v>
      </c>
      <c r="O21" s="338">
        <f t="shared" si="0"/>
        <v>0</v>
      </c>
      <c r="P21" s="338">
        <f t="shared" si="0"/>
        <v>0</v>
      </c>
      <c r="Q21" s="39"/>
      <c r="R21" s="39"/>
      <c r="S21" s="338">
        <f t="shared" si="1"/>
        <v>0</v>
      </c>
      <c r="T21" s="37" t="s">
        <v>3961</v>
      </c>
      <c r="U21" s="37" t="s">
        <v>941</v>
      </c>
      <c r="V21" s="37">
        <v>1</v>
      </c>
      <c r="W21" s="10">
        <v>1</v>
      </c>
      <c r="X21" s="10"/>
      <c r="Y21" s="10">
        <v>0</v>
      </c>
      <c r="Z21" s="10">
        <v>0</v>
      </c>
      <c r="AA21" s="336">
        <v>180</v>
      </c>
      <c r="AB21" s="10">
        <v>180</v>
      </c>
      <c r="AC21" s="10">
        <v>0</v>
      </c>
      <c r="AD21" s="49" t="s">
        <v>3962</v>
      </c>
      <c r="AE21" s="10">
        <v>0</v>
      </c>
      <c r="AF21" s="10">
        <v>0</v>
      </c>
      <c r="AG21" s="10">
        <v>0</v>
      </c>
      <c r="AH21" s="10">
        <v>0</v>
      </c>
      <c r="AI21" s="10" t="s">
        <v>102</v>
      </c>
      <c r="AJ21" s="10" t="s">
        <v>102</v>
      </c>
      <c r="AK21" s="10" t="s">
        <v>102</v>
      </c>
      <c r="AL21" s="10" t="s">
        <v>102</v>
      </c>
      <c r="AM21" s="10" t="s">
        <v>102</v>
      </c>
      <c r="AN21" s="10" t="s">
        <v>102</v>
      </c>
      <c r="AO21" s="10">
        <v>0</v>
      </c>
      <c r="AP21" s="10">
        <v>0</v>
      </c>
    </row>
    <row r="22" spans="1:42" ht="48" x14ac:dyDescent="0.25">
      <c r="A22" s="336" t="s">
        <v>55</v>
      </c>
      <c r="B22" s="336" t="s">
        <v>3900</v>
      </c>
      <c r="C22" s="336" t="s">
        <v>3919</v>
      </c>
      <c r="D22" s="336">
        <v>244310004</v>
      </c>
      <c r="E22" s="374" t="s">
        <v>3921</v>
      </c>
      <c r="F22" s="336" t="s">
        <v>3922</v>
      </c>
      <c r="G22" s="336" t="s">
        <v>3923</v>
      </c>
      <c r="H22" s="338">
        <v>880000000</v>
      </c>
      <c r="I22" s="516">
        <v>780000000</v>
      </c>
      <c r="J22" s="39">
        <v>780000000</v>
      </c>
      <c r="K22" s="39"/>
      <c r="L22" s="39">
        <v>0</v>
      </c>
      <c r="M22" s="39">
        <v>760000000</v>
      </c>
      <c r="N22" s="338">
        <f t="shared" si="0"/>
        <v>880000000</v>
      </c>
      <c r="O22" s="338">
        <f t="shared" si="0"/>
        <v>780000000</v>
      </c>
      <c r="P22" s="338">
        <f t="shared" si="0"/>
        <v>1540000000</v>
      </c>
      <c r="Q22" s="338">
        <f>J22</f>
        <v>780000000</v>
      </c>
      <c r="R22" s="338">
        <f>M22</f>
        <v>760000000</v>
      </c>
      <c r="S22" s="338">
        <f t="shared" si="1"/>
        <v>1540000000</v>
      </c>
      <c r="T22" s="37">
        <v>0</v>
      </c>
      <c r="U22" s="37">
        <v>0</v>
      </c>
      <c r="V22" s="37">
        <v>0</v>
      </c>
      <c r="W22" s="10"/>
      <c r="X22" s="10"/>
      <c r="Y22" s="10"/>
      <c r="Z22" s="10"/>
      <c r="AA22" s="336">
        <v>0</v>
      </c>
      <c r="AB22" s="10"/>
      <c r="AC22" s="10"/>
      <c r="AD22" s="10"/>
      <c r="AE22" s="10">
        <v>0</v>
      </c>
      <c r="AF22" s="10">
        <v>0</v>
      </c>
      <c r="AG22" s="10">
        <v>0</v>
      </c>
      <c r="AH22" s="10">
        <v>0</v>
      </c>
      <c r="AI22" s="10">
        <v>0</v>
      </c>
      <c r="AJ22" s="10">
        <v>0</v>
      </c>
      <c r="AK22" s="10">
        <v>0</v>
      </c>
      <c r="AL22" s="10">
        <v>0</v>
      </c>
      <c r="AM22" s="10">
        <v>0</v>
      </c>
      <c r="AN22" s="10">
        <v>0</v>
      </c>
      <c r="AO22" s="10">
        <v>0</v>
      </c>
      <c r="AP22" s="10">
        <v>0</v>
      </c>
    </row>
    <row r="23" spans="1:42" ht="36" x14ac:dyDescent="0.25">
      <c r="A23" s="336">
        <v>0</v>
      </c>
      <c r="B23" s="336">
        <v>0</v>
      </c>
      <c r="C23" s="336">
        <v>0</v>
      </c>
      <c r="D23" s="336">
        <v>0</v>
      </c>
      <c r="E23" s="374">
        <v>0</v>
      </c>
      <c r="F23" s="336">
        <v>0</v>
      </c>
      <c r="G23" s="336">
        <v>0</v>
      </c>
      <c r="H23" s="338">
        <v>0</v>
      </c>
      <c r="I23" s="39"/>
      <c r="J23" s="39"/>
      <c r="K23" s="39"/>
      <c r="L23" s="39"/>
      <c r="M23" s="39"/>
      <c r="N23" s="338">
        <f t="shared" si="0"/>
        <v>0</v>
      </c>
      <c r="O23" s="338">
        <f t="shared" si="0"/>
        <v>0</v>
      </c>
      <c r="P23" s="338">
        <f t="shared" si="0"/>
        <v>0</v>
      </c>
      <c r="Q23" s="39"/>
      <c r="R23" s="39"/>
      <c r="S23" s="338">
        <f t="shared" si="1"/>
        <v>0</v>
      </c>
      <c r="T23" s="37" t="s">
        <v>3963</v>
      </c>
      <c r="U23" s="37" t="s">
        <v>316</v>
      </c>
      <c r="V23" s="37">
        <v>110</v>
      </c>
      <c r="W23" s="10">
        <v>110</v>
      </c>
      <c r="X23" s="10"/>
      <c r="Y23" s="10">
        <v>0</v>
      </c>
      <c r="Z23" s="10">
        <v>97</v>
      </c>
      <c r="AA23" s="336">
        <v>30</v>
      </c>
      <c r="AB23" s="10">
        <v>60</v>
      </c>
      <c r="AC23" s="10">
        <v>60</v>
      </c>
      <c r="AD23" s="10"/>
      <c r="AE23" s="10">
        <v>0</v>
      </c>
      <c r="AF23" s="10">
        <v>0</v>
      </c>
      <c r="AG23" s="10">
        <v>0</v>
      </c>
      <c r="AH23" s="10">
        <v>0</v>
      </c>
      <c r="AI23" s="10">
        <v>0</v>
      </c>
      <c r="AJ23" s="10">
        <v>0</v>
      </c>
      <c r="AK23" s="10">
        <v>0</v>
      </c>
      <c r="AL23" s="10">
        <v>0</v>
      </c>
      <c r="AM23" s="10" t="s">
        <v>102</v>
      </c>
      <c r="AN23" s="10">
        <v>0</v>
      </c>
      <c r="AO23" s="10">
        <v>0</v>
      </c>
      <c r="AP23" s="10">
        <v>0</v>
      </c>
    </row>
    <row r="24" spans="1:42" ht="24" x14ac:dyDescent="0.25">
      <c r="A24" s="336">
        <v>0</v>
      </c>
      <c r="B24" s="336">
        <v>0</v>
      </c>
      <c r="C24" s="336">
        <v>0</v>
      </c>
      <c r="D24" s="336">
        <v>0</v>
      </c>
      <c r="E24" s="374">
        <v>0</v>
      </c>
      <c r="F24" s="336">
        <v>0</v>
      </c>
      <c r="G24" s="336">
        <v>0</v>
      </c>
      <c r="H24" s="338">
        <v>0</v>
      </c>
      <c r="I24" s="39"/>
      <c r="J24" s="39"/>
      <c r="K24" s="39"/>
      <c r="L24" s="39"/>
      <c r="M24" s="39"/>
      <c r="N24" s="338">
        <f t="shared" si="0"/>
        <v>0</v>
      </c>
      <c r="O24" s="338">
        <f t="shared" si="0"/>
        <v>0</v>
      </c>
      <c r="P24" s="338">
        <f t="shared" si="0"/>
        <v>0</v>
      </c>
      <c r="Q24" s="39"/>
      <c r="R24" s="39"/>
      <c r="S24" s="338">
        <f t="shared" si="1"/>
        <v>0</v>
      </c>
      <c r="T24" s="37" t="s">
        <v>3964</v>
      </c>
      <c r="U24" s="37" t="s">
        <v>316</v>
      </c>
      <c r="V24" s="37">
        <v>9</v>
      </c>
      <c r="W24" s="10">
        <v>9</v>
      </c>
      <c r="X24" s="10"/>
      <c r="Y24" s="10">
        <v>0</v>
      </c>
      <c r="Z24" s="10">
        <v>9</v>
      </c>
      <c r="AA24" s="336">
        <v>30</v>
      </c>
      <c r="AB24" s="10">
        <v>30</v>
      </c>
      <c r="AC24" s="10">
        <v>30</v>
      </c>
      <c r="AD24" s="10"/>
      <c r="AE24" s="10">
        <v>0</v>
      </c>
      <c r="AF24" s="10">
        <v>0</v>
      </c>
      <c r="AG24" s="10">
        <v>0</v>
      </c>
      <c r="AH24" s="10">
        <v>0</v>
      </c>
      <c r="AI24" s="10">
        <v>0</v>
      </c>
      <c r="AJ24" s="10">
        <v>0</v>
      </c>
      <c r="AK24" s="10">
        <v>0</v>
      </c>
      <c r="AL24" s="10">
        <v>0</v>
      </c>
      <c r="AM24" s="10">
        <v>0</v>
      </c>
      <c r="AN24" s="10" t="s">
        <v>102</v>
      </c>
      <c r="AO24" s="10">
        <v>0</v>
      </c>
      <c r="AP24" s="10">
        <v>0</v>
      </c>
    </row>
    <row r="25" spans="1:42" ht="24" x14ac:dyDescent="0.25">
      <c r="A25" s="336">
        <v>0</v>
      </c>
      <c r="B25" s="336">
        <v>0</v>
      </c>
      <c r="C25" s="336">
        <v>0</v>
      </c>
      <c r="D25" s="336">
        <v>0</v>
      </c>
      <c r="E25" s="374">
        <v>0</v>
      </c>
      <c r="F25" s="336">
        <v>0</v>
      </c>
      <c r="G25" s="336">
        <v>0</v>
      </c>
      <c r="H25" s="338">
        <v>0</v>
      </c>
      <c r="I25" s="39"/>
      <c r="J25" s="39"/>
      <c r="K25" s="39"/>
      <c r="L25" s="39"/>
      <c r="M25" s="39"/>
      <c r="N25" s="338">
        <f t="shared" si="0"/>
        <v>0</v>
      </c>
      <c r="O25" s="338">
        <f t="shared" si="0"/>
        <v>0</v>
      </c>
      <c r="P25" s="338">
        <f t="shared" si="0"/>
        <v>0</v>
      </c>
      <c r="Q25" s="39"/>
      <c r="R25" s="39"/>
      <c r="S25" s="338">
        <f t="shared" si="1"/>
        <v>0</v>
      </c>
      <c r="T25" s="37" t="s">
        <v>3965</v>
      </c>
      <c r="U25" s="37" t="s">
        <v>1241</v>
      </c>
      <c r="V25" s="37">
        <v>1</v>
      </c>
      <c r="W25" s="10">
        <v>1</v>
      </c>
      <c r="X25" s="10"/>
      <c r="Y25" s="10">
        <v>0</v>
      </c>
      <c r="Z25" s="10">
        <v>1</v>
      </c>
      <c r="AA25" s="336">
        <v>30</v>
      </c>
      <c r="AB25" s="10">
        <v>30</v>
      </c>
      <c r="AC25" s="10">
        <v>30</v>
      </c>
      <c r="AD25" s="10"/>
      <c r="AE25" s="10">
        <v>0</v>
      </c>
      <c r="AF25" s="10">
        <v>0</v>
      </c>
      <c r="AG25" s="10">
        <v>0</v>
      </c>
      <c r="AH25" s="10">
        <v>0</v>
      </c>
      <c r="AI25" s="10">
        <v>0</v>
      </c>
      <c r="AJ25" s="10">
        <v>0</v>
      </c>
      <c r="AK25" s="10">
        <v>0</v>
      </c>
      <c r="AL25" s="10">
        <v>0</v>
      </c>
      <c r="AM25" s="10">
        <v>0</v>
      </c>
      <c r="AN25" s="10">
        <v>0</v>
      </c>
      <c r="AO25" s="10" t="s">
        <v>102</v>
      </c>
      <c r="AP25" s="10">
        <v>0</v>
      </c>
    </row>
    <row r="26" spans="1:42" x14ac:dyDescent="0.25">
      <c r="A26" s="336">
        <v>0</v>
      </c>
      <c r="B26" s="336">
        <v>0</v>
      </c>
      <c r="C26" s="336">
        <v>0</v>
      </c>
      <c r="D26" s="336">
        <v>0</v>
      </c>
      <c r="E26" s="374">
        <v>0</v>
      </c>
      <c r="F26" s="336">
        <v>0</v>
      </c>
      <c r="G26" s="336">
        <v>0</v>
      </c>
      <c r="H26" s="338">
        <v>0</v>
      </c>
      <c r="I26" s="39"/>
      <c r="J26" s="39"/>
      <c r="K26" s="39"/>
      <c r="L26" s="39"/>
      <c r="M26" s="39"/>
      <c r="N26" s="338">
        <f t="shared" si="0"/>
        <v>0</v>
      </c>
      <c r="O26" s="338">
        <f t="shared" si="0"/>
        <v>0</v>
      </c>
      <c r="P26" s="338">
        <f t="shared" si="0"/>
        <v>0</v>
      </c>
      <c r="Q26" s="39"/>
      <c r="R26" s="39"/>
      <c r="S26" s="338">
        <f t="shared" si="1"/>
        <v>0</v>
      </c>
      <c r="T26" s="37">
        <v>0</v>
      </c>
      <c r="U26" s="37">
        <v>0</v>
      </c>
      <c r="V26" s="37">
        <v>0</v>
      </c>
      <c r="W26" s="10"/>
      <c r="X26" s="10"/>
      <c r="Y26" s="10"/>
      <c r="Z26" s="10"/>
      <c r="AA26" s="336">
        <v>0</v>
      </c>
      <c r="AB26" s="10"/>
      <c r="AC26" s="10"/>
      <c r="AD26" s="10"/>
      <c r="AE26" s="10">
        <v>0</v>
      </c>
      <c r="AF26" s="10">
        <v>0</v>
      </c>
      <c r="AG26" s="10">
        <v>0</v>
      </c>
      <c r="AH26" s="10">
        <v>0</v>
      </c>
      <c r="AI26" s="10">
        <v>0</v>
      </c>
      <c r="AJ26" s="10">
        <v>0</v>
      </c>
      <c r="AK26" s="10">
        <v>0</v>
      </c>
      <c r="AL26" s="10">
        <v>0</v>
      </c>
      <c r="AM26" s="10">
        <v>0</v>
      </c>
      <c r="AN26" s="10">
        <v>0</v>
      </c>
      <c r="AO26" s="10">
        <v>0</v>
      </c>
      <c r="AP26" s="10">
        <v>0</v>
      </c>
    </row>
    <row r="27" spans="1:42" ht="48" x14ac:dyDescent="0.25">
      <c r="A27" s="336" t="s">
        <v>55</v>
      </c>
      <c r="B27" s="336" t="s">
        <v>3900</v>
      </c>
      <c r="C27" s="336" t="s">
        <v>3919</v>
      </c>
      <c r="D27" s="336">
        <v>244330004</v>
      </c>
      <c r="E27" s="374" t="s">
        <v>3926</v>
      </c>
      <c r="F27" s="336" t="s">
        <v>3927</v>
      </c>
      <c r="G27" s="336" t="s">
        <v>3928</v>
      </c>
      <c r="H27" s="338">
        <v>301000000</v>
      </c>
      <c r="I27" s="516">
        <v>301000000</v>
      </c>
      <c r="J27" s="39">
        <v>301000000</v>
      </c>
      <c r="K27" s="39"/>
      <c r="L27" s="39">
        <v>0</v>
      </c>
      <c r="M27" s="39">
        <v>0</v>
      </c>
      <c r="N27" s="338">
        <f t="shared" si="0"/>
        <v>301000000</v>
      </c>
      <c r="O27" s="338">
        <f t="shared" si="0"/>
        <v>301000000</v>
      </c>
      <c r="P27" s="338">
        <f t="shared" si="0"/>
        <v>301000000</v>
      </c>
      <c r="Q27" s="338">
        <f>J27</f>
        <v>301000000</v>
      </c>
      <c r="R27" s="338">
        <f>M27</f>
        <v>0</v>
      </c>
      <c r="S27" s="338">
        <f t="shared" si="1"/>
        <v>301000000</v>
      </c>
      <c r="T27" s="37">
        <v>0</v>
      </c>
      <c r="U27" s="37">
        <v>0</v>
      </c>
      <c r="V27" s="37">
        <v>0</v>
      </c>
      <c r="W27" s="10"/>
      <c r="X27" s="10"/>
      <c r="Y27" s="10"/>
      <c r="Z27" s="10"/>
      <c r="AA27" s="336">
        <v>0</v>
      </c>
      <c r="AB27" s="10"/>
      <c r="AC27" s="10"/>
      <c r="AD27" s="10"/>
      <c r="AE27" s="10">
        <v>0</v>
      </c>
      <c r="AF27" s="10">
        <v>0</v>
      </c>
      <c r="AG27" s="10">
        <v>0</v>
      </c>
      <c r="AH27" s="10">
        <v>0</v>
      </c>
      <c r="AI27" s="10">
        <v>0</v>
      </c>
      <c r="AJ27" s="10">
        <v>0</v>
      </c>
      <c r="AK27" s="10">
        <v>0</v>
      </c>
      <c r="AL27" s="10">
        <v>0</v>
      </c>
      <c r="AM27" s="10">
        <v>0</v>
      </c>
      <c r="AN27" s="10">
        <v>0</v>
      </c>
      <c r="AO27" s="10">
        <v>0</v>
      </c>
      <c r="AP27" s="10">
        <v>0</v>
      </c>
    </row>
    <row r="28" spans="1:42" ht="36" x14ac:dyDescent="0.25">
      <c r="A28" s="336">
        <v>0</v>
      </c>
      <c r="B28" s="336">
        <v>0</v>
      </c>
      <c r="C28" s="336">
        <v>0</v>
      </c>
      <c r="D28" s="336">
        <v>0</v>
      </c>
      <c r="E28" s="374">
        <v>0</v>
      </c>
      <c r="F28" s="336">
        <v>0</v>
      </c>
      <c r="G28" s="336">
        <v>0</v>
      </c>
      <c r="H28" s="338">
        <v>0</v>
      </c>
      <c r="I28" s="39"/>
      <c r="J28" s="39"/>
      <c r="K28" s="39"/>
      <c r="L28" s="39"/>
      <c r="M28" s="39"/>
      <c r="N28" s="338">
        <f t="shared" si="0"/>
        <v>0</v>
      </c>
      <c r="O28" s="338">
        <f t="shared" si="0"/>
        <v>0</v>
      </c>
      <c r="P28" s="338">
        <f t="shared" si="0"/>
        <v>0</v>
      </c>
      <c r="Q28" s="39"/>
      <c r="R28" s="39"/>
      <c r="S28" s="338">
        <f t="shared" si="1"/>
        <v>0</v>
      </c>
      <c r="T28" s="37" t="s">
        <v>3966</v>
      </c>
      <c r="U28" s="37" t="s">
        <v>316</v>
      </c>
      <c r="V28" s="37">
        <v>1</v>
      </c>
      <c r="W28" s="10">
        <v>1</v>
      </c>
      <c r="X28" s="10"/>
      <c r="Y28" s="10">
        <v>0</v>
      </c>
      <c r="Z28" s="10">
        <v>1</v>
      </c>
      <c r="AA28" s="336">
        <v>120</v>
      </c>
      <c r="AB28" s="10">
        <v>120</v>
      </c>
      <c r="AC28" s="10">
        <v>120</v>
      </c>
      <c r="AD28" s="10"/>
      <c r="AE28" s="10">
        <v>0</v>
      </c>
      <c r="AF28" s="10">
        <v>0</v>
      </c>
      <c r="AG28" s="10">
        <v>0</v>
      </c>
      <c r="AH28" s="10">
        <v>0</v>
      </c>
      <c r="AI28" s="10">
        <v>0</v>
      </c>
      <c r="AJ28" s="10">
        <v>0</v>
      </c>
      <c r="AK28" s="10">
        <v>0</v>
      </c>
      <c r="AL28" s="10">
        <v>0</v>
      </c>
      <c r="AM28" s="10" t="s">
        <v>102</v>
      </c>
      <c r="AN28" s="10" t="s">
        <v>102</v>
      </c>
      <c r="AO28" s="10" t="s">
        <v>102</v>
      </c>
      <c r="AP28" s="10" t="s">
        <v>102</v>
      </c>
    </row>
    <row r="29" spans="1:42" ht="60" x14ac:dyDescent="0.25">
      <c r="A29" s="336" t="s">
        <v>55</v>
      </c>
      <c r="B29" s="336" t="s">
        <v>3900</v>
      </c>
      <c r="C29" s="336" t="s">
        <v>3919</v>
      </c>
      <c r="D29" s="336">
        <v>244320004</v>
      </c>
      <c r="E29" s="374" t="s">
        <v>3931</v>
      </c>
      <c r="F29" s="336" t="s">
        <v>3932</v>
      </c>
      <c r="G29" s="336" t="s">
        <v>3933</v>
      </c>
      <c r="H29" s="338">
        <v>470000000</v>
      </c>
      <c r="I29" s="516">
        <v>470000000</v>
      </c>
      <c r="J29" s="39">
        <v>470000000</v>
      </c>
      <c r="K29" s="39"/>
      <c r="L29" s="39"/>
      <c r="M29" s="39">
        <v>74000000</v>
      </c>
      <c r="N29" s="338">
        <f t="shared" si="0"/>
        <v>470000000</v>
      </c>
      <c r="O29" s="338">
        <f t="shared" si="0"/>
        <v>470000000</v>
      </c>
      <c r="P29" s="338">
        <f t="shared" si="0"/>
        <v>544000000</v>
      </c>
      <c r="Q29" s="338">
        <f>J29</f>
        <v>470000000</v>
      </c>
      <c r="R29" s="338">
        <f>M29</f>
        <v>74000000</v>
      </c>
      <c r="S29" s="338">
        <f t="shared" si="1"/>
        <v>544000000</v>
      </c>
      <c r="T29" s="37">
        <v>0</v>
      </c>
      <c r="U29" s="37">
        <v>0</v>
      </c>
      <c r="V29" s="37">
        <v>0</v>
      </c>
      <c r="W29" s="10"/>
      <c r="X29" s="10"/>
      <c r="Y29" s="10"/>
      <c r="Z29" s="10"/>
      <c r="AA29" s="336">
        <v>0</v>
      </c>
      <c r="AB29" s="10"/>
      <c r="AC29" s="10"/>
      <c r="AD29" s="10"/>
      <c r="AE29" s="10">
        <v>0</v>
      </c>
      <c r="AF29" s="10">
        <v>0</v>
      </c>
      <c r="AG29" s="10">
        <v>0</v>
      </c>
      <c r="AH29" s="10">
        <v>0</v>
      </c>
      <c r="AI29" s="10">
        <v>0</v>
      </c>
      <c r="AJ29" s="10">
        <v>0</v>
      </c>
      <c r="AK29" s="10">
        <v>0</v>
      </c>
      <c r="AL29" s="10">
        <v>0</v>
      </c>
      <c r="AM29" s="10">
        <v>0</v>
      </c>
      <c r="AN29" s="10">
        <v>0</v>
      </c>
      <c r="AO29" s="10">
        <v>0</v>
      </c>
      <c r="AP29" s="10">
        <v>0</v>
      </c>
    </row>
    <row r="30" spans="1:42" ht="24" x14ac:dyDescent="0.25">
      <c r="A30" s="336">
        <v>0</v>
      </c>
      <c r="B30" s="336">
        <v>0</v>
      </c>
      <c r="C30" s="336">
        <v>0</v>
      </c>
      <c r="D30" s="336">
        <v>0</v>
      </c>
      <c r="E30" s="374">
        <v>0</v>
      </c>
      <c r="F30" s="336">
        <v>0</v>
      </c>
      <c r="G30" s="336">
        <v>0</v>
      </c>
      <c r="H30" s="338">
        <v>0</v>
      </c>
      <c r="I30" s="39"/>
      <c r="J30" s="39"/>
      <c r="K30" s="39"/>
      <c r="L30" s="39"/>
      <c r="M30" s="39"/>
      <c r="N30" s="338">
        <f t="shared" si="0"/>
        <v>0</v>
      </c>
      <c r="O30" s="338">
        <f t="shared" si="0"/>
        <v>0</v>
      </c>
      <c r="P30" s="338">
        <f t="shared" si="0"/>
        <v>0</v>
      </c>
      <c r="Q30" s="39"/>
      <c r="R30" s="39"/>
      <c r="S30" s="338">
        <f t="shared" si="1"/>
        <v>0</v>
      </c>
      <c r="T30" s="37" t="s">
        <v>3967</v>
      </c>
      <c r="U30" s="37" t="s">
        <v>3968</v>
      </c>
      <c r="V30" s="37">
        <v>20</v>
      </c>
      <c r="W30" s="10">
        <v>20</v>
      </c>
      <c r="X30" s="10"/>
      <c r="Y30" s="10">
        <v>15</v>
      </c>
      <c r="Z30" s="10">
        <v>21</v>
      </c>
      <c r="AA30" s="336">
        <v>300</v>
      </c>
      <c r="AB30" s="10">
        <v>300</v>
      </c>
      <c r="AC30" s="10">
        <v>300</v>
      </c>
      <c r="AD30" s="10"/>
      <c r="AE30" s="10">
        <v>0</v>
      </c>
      <c r="AF30" s="10" t="s">
        <v>102</v>
      </c>
      <c r="AG30" s="10" t="s">
        <v>102</v>
      </c>
      <c r="AH30" s="10" t="s">
        <v>102</v>
      </c>
      <c r="AI30" s="10" t="s">
        <v>102</v>
      </c>
      <c r="AJ30" s="10" t="s">
        <v>102</v>
      </c>
      <c r="AK30" s="10" t="s">
        <v>102</v>
      </c>
      <c r="AL30" s="10" t="s">
        <v>102</v>
      </c>
      <c r="AM30" s="10" t="s">
        <v>102</v>
      </c>
      <c r="AN30" s="10" t="s">
        <v>102</v>
      </c>
      <c r="AO30" s="10" t="s">
        <v>102</v>
      </c>
      <c r="AP30" s="10">
        <v>0</v>
      </c>
    </row>
    <row r="31" spans="1:42" ht="24" x14ac:dyDescent="0.25">
      <c r="A31" s="336">
        <v>0</v>
      </c>
      <c r="B31" s="336">
        <v>0</v>
      </c>
      <c r="C31" s="336">
        <v>0</v>
      </c>
      <c r="D31" s="336">
        <v>0</v>
      </c>
      <c r="E31" s="374">
        <v>0</v>
      </c>
      <c r="F31" s="336">
        <v>0</v>
      </c>
      <c r="G31" s="336">
        <v>0</v>
      </c>
      <c r="H31" s="338">
        <v>0</v>
      </c>
      <c r="I31" s="39"/>
      <c r="J31" s="39"/>
      <c r="K31" s="39"/>
      <c r="L31" s="39"/>
      <c r="M31" s="39"/>
      <c r="N31" s="338">
        <f t="shared" si="0"/>
        <v>0</v>
      </c>
      <c r="O31" s="338">
        <f t="shared" si="0"/>
        <v>0</v>
      </c>
      <c r="P31" s="338">
        <f t="shared" si="0"/>
        <v>0</v>
      </c>
      <c r="Q31" s="39"/>
      <c r="R31" s="39"/>
      <c r="S31" s="338">
        <f t="shared" si="1"/>
        <v>0</v>
      </c>
      <c r="T31" s="37" t="s">
        <v>3969</v>
      </c>
      <c r="U31" s="37" t="s">
        <v>3968</v>
      </c>
      <c r="V31" s="37">
        <v>3</v>
      </c>
      <c r="W31" s="10">
        <v>3</v>
      </c>
      <c r="X31" s="10"/>
      <c r="Y31" s="10">
        <v>0</v>
      </c>
      <c r="Z31" s="10">
        <v>3</v>
      </c>
      <c r="AA31" s="336">
        <v>120</v>
      </c>
      <c r="AB31" s="10">
        <v>30</v>
      </c>
      <c r="AC31" s="10">
        <v>120</v>
      </c>
      <c r="AD31" s="10"/>
      <c r="AE31" s="10">
        <v>0</v>
      </c>
      <c r="AF31" s="10">
        <v>0</v>
      </c>
      <c r="AG31" s="10" t="s">
        <v>102</v>
      </c>
      <c r="AH31" s="10">
        <v>0</v>
      </c>
      <c r="AI31" s="10" t="s">
        <v>102</v>
      </c>
      <c r="AJ31" s="10">
        <v>0</v>
      </c>
      <c r="AK31" s="10" t="s">
        <v>102</v>
      </c>
      <c r="AL31" s="10">
        <v>0</v>
      </c>
      <c r="AM31" s="10" t="s">
        <v>102</v>
      </c>
      <c r="AN31" s="10">
        <v>0</v>
      </c>
      <c r="AO31" s="10">
        <v>0</v>
      </c>
      <c r="AP31" s="10">
        <v>0</v>
      </c>
    </row>
    <row r="32" spans="1:42" ht="24" x14ac:dyDescent="0.25">
      <c r="A32" s="336">
        <v>0</v>
      </c>
      <c r="B32" s="336">
        <v>0</v>
      </c>
      <c r="C32" s="336">
        <v>0</v>
      </c>
      <c r="D32" s="336">
        <v>0</v>
      </c>
      <c r="E32" s="374">
        <v>0</v>
      </c>
      <c r="F32" s="336">
        <v>0</v>
      </c>
      <c r="G32" s="336">
        <v>0</v>
      </c>
      <c r="H32" s="338">
        <v>0</v>
      </c>
      <c r="I32" s="39"/>
      <c r="J32" s="39"/>
      <c r="K32" s="39"/>
      <c r="L32" s="39"/>
      <c r="M32" s="39"/>
      <c r="N32" s="338">
        <f t="shared" si="0"/>
        <v>0</v>
      </c>
      <c r="O32" s="338">
        <f t="shared" si="0"/>
        <v>0</v>
      </c>
      <c r="P32" s="338">
        <f t="shared" si="0"/>
        <v>0</v>
      </c>
      <c r="Q32" s="39"/>
      <c r="R32" s="39"/>
      <c r="S32" s="338">
        <f t="shared" si="1"/>
        <v>0</v>
      </c>
      <c r="T32" s="37" t="s">
        <v>3970</v>
      </c>
      <c r="U32" s="37" t="s">
        <v>316</v>
      </c>
      <c r="V32" s="37">
        <v>2</v>
      </c>
      <c r="W32" s="10">
        <v>1</v>
      </c>
      <c r="X32" s="10"/>
      <c r="Y32" s="10">
        <v>1</v>
      </c>
      <c r="Z32" s="10">
        <v>2</v>
      </c>
      <c r="AA32" s="336">
        <v>60</v>
      </c>
      <c r="AB32" s="10">
        <v>30</v>
      </c>
      <c r="AC32" s="10">
        <v>60</v>
      </c>
      <c r="AD32" s="10"/>
      <c r="AE32" s="10">
        <v>0</v>
      </c>
      <c r="AF32" s="10">
        <v>0</v>
      </c>
      <c r="AG32" s="10" t="s">
        <v>102</v>
      </c>
      <c r="AH32" s="10">
        <v>0</v>
      </c>
      <c r="AI32" s="10">
        <v>0</v>
      </c>
      <c r="AJ32" s="10">
        <v>0</v>
      </c>
      <c r="AK32" s="10">
        <v>0</v>
      </c>
      <c r="AL32" s="10">
        <v>0</v>
      </c>
      <c r="AM32" s="10">
        <v>0</v>
      </c>
      <c r="AN32" s="10" t="s">
        <v>102</v>
      </c>
      <c r="AO32" s="10">
        <v>0</v>
      </c>
      <c r="AP32" s="10">
        <v>0</v>
      </c>
    </row>
    <row r="33" spans="1:42" ht="24" x14ac:dyDescent="0.25">
      <c r="A33" s="336">
        <v>0</v>
      </c>
      <c r="B33" s="336">
        <v>0</v>
      </c>
      <c r="C33" s="336">
        <v>0</v>
      </c>
      <c r="D33" s="336">
        <v>0</v>
      </c>
      <c r="E33" s="374">
        <v>0</v>
      </c>
      <c r="F33" s="336">
        <v>0</v>
      </c>
      <c r="G33" s="336">
        <v>0</v>
      </c>
      <c r="H33" s="338">
        <v>0</v>
      </c>
      <c r="I33" s="39"/>
      <c r="J33" s="39"/>
      <c r="K33" s="39"/>
      <c r="L33" s="39"/>
      <c r="M33" s="39"/>
      <c r="N33" s="338">
        <f t="shared" si="0"/>
        <v>0</v>
      </c>
      <c r="O33" s="338">
        <f t="shared" si="0"/>
        <v>0</v>
      </c>
      <c r="P33" s="338">
        <f t="shared" si="0"/>
        <v>0</v>
      </c>
      <c r="Q33" s="39"/>
      <c r="R33" s="39"/>
      <c r="S33" s="338">
        <f t="shared" si="1"/>
        <v>0</v>
      </c>
      <c r="T33" s="37" t="s">
        <v>3971</v>
      </c>
      <c r="U33" s="37" t="s">
        <v>316</v>
      </c>
      <c r="V33" s="37">
        <v>2</v>
      </c>
      <c r="W33" s="10">
        <v>1</v>
      </c>
      <c r="X33" s="10"/>
      <c r="Y33" s="10">
        <v>1</v>
      </c>
      <c r="Z33" s="10">
        <v>2</v>
      </c>
      <c r="AA33" s="336">
        <v>60</v>
      </c>
      <c r="AB33" s="10">
        <v>30</v>
      </c>
      <c r="AC33" s="10">
        <v>60</v>
      </c>
      <c r="AD33" s="10"/>
      <c r="AE33" s="10">
        <v>0</v>
      </c>
      <c r="AF33" s="10">
        <v>0</v>
      </c>
      <c r="AG33" s="10">
        <v>0</v>
      </c>
      <c r="AH33" s="10">
        <v>0</v>
      </c>
      <c r="AI33" s="10" t="s">
        <v>102</v>
      </c>
      <c r="AJ33" s="10">
        <v>0</v>
      </c>
      <c r="AK33" s="10">
        <v>0</v>
      </c>
      <c r="AL33" s="10" t="s">
        <v>102</v>
      </c>
      <c r="AM33" s="10">
        <v>0</v>
      </c>
      <c r="AN33" s="10">
        <v>0</v>
      </c>
      <c r="AO33" s="10">
        <v>0</v>
      </c>
      <c r="AP33" s="10">
        <v>0</v>
      </c>
    </row>
    <row r="34" spans="1:42" ht="24" x14ac:dyDescent="0.25">
      <c r="A34" s="336">
        <v>0</v>
      </c>
      <c r="B34" s="336">
        <v>0</v>
      </c>
      <c r="C34" s="336">
        <v>0</v>
      </c>
      <c r="D34" s="336">
        <v>0</v>
      </c>
      <c r="E34" s="374">
        <v>0</v>
      </c>
      <c r="F34" s="336">
        <v>0</v>
      </c>
      <c r="G34" s="336">
        <v>0</v>
      </c>
      <c r="H34" s="338">
        <v>0</v>
      </c>
      <c r="I34" s="39"/>
      <c r="J34" s="39"/>
      <c r="K34" s="39"/>
      <c r="L34" s="39"/>
      <c r="M34" s="39"/>
      <c r="N34" s="338">
        <f t="shared" si="0"/>
        <v>0</v>
      </c>
      <c r="O34" s="338">
        <f t="shared" si="0"/>
        <v>0</v>
      </c>
      <c r="P34" s="338">
        <f t="shared" si="0"/>
        <v>0</v>
      </c>
      <c r="Q34" s="39"/>
      <c r="R34" s="39"/>
      <c r="S34" s="338">
        <f t="shared" si="1"/>
        <v>0</v>
      </c>
      <c r="T34" s="37" t="s">
        <v>3972</v>
      </c>
      <c r="U34" s="37" t="s">
        <v>316</v>
      </c>
      <c r="V34" s="37">
        <v>9</v>
      </c>
      <c r="W34" s="10">
        <v>9</v>
      </c>
      <c r="X34" s="10"/>
      <c r="Y34" s="10">
        <v>0</v>
      </c>
      <c r="Z34" s="10">
        <v>10</v>
      </c>
      <c r="AA34" s="336">
        <v>60</v>
      </c>
      <c r="AB34" s="10">
        <v>45</v>
      </c>
      <c r="AC34" s="10">
        <v>45</v>
      </c>
      <c r="AD34" s="10"/>
      <c r="AE34" s="10">
        <v>0</v>
      </c>
      <c r="AF34" s="10">
        <v>0</v>
      </c>
      <c r="AG34" s="10">
        <v>0</v>
      </c>
      <c r="AH34" s="10">
        <v>0</v>
      </c>
      <c r="AI34" s="10">
        <v>0</v>
      </c>
      <c r="AJ34" s="10">
        <v>0</v>
      </c>
      <c r="AK34" s="10">
        <v>0</v>
      </c>
      <c r="AL34" s="10">
        <v>0</v>
      </c>
      <c r="AM34" s="10">
        <v>0</v>
      </c>
      <c r="AN34" s="10">
        <v>0</v>
      </c>
      <c r="AO34" s="10" t="s">
        <v>218</v>
      </c>
      <c r="AP34" s="10">
        <v>0</v>
      </c>
    </row>
    <row r="35" spans="1:42" ht="36" x14ac:dyDescent="0.25">
      <c r="A35" s="336">
        <v>0</v>
      </c>
      <c r="B35" s="336">
        <v>0</v>
      </c>
      <c r="C35" s="336">
        <v>0</v>
      </c>
      <c r="D35" s="336">
        <v>0</v>
      </c>
      <c r="E35" s="374">
        <v>0</v>
      </c>
      <c r="F35" s="336">
        <v>0</v>
      </c>
      <c r="G35" s="336">
        <v>0</v>
      </c>
      <c r="H35" s="338">
        <v>0</v>
      </c>
      <c r="I35" s="39"/>
      <c r="J35" s="39"/>
      <c r="K35" s="39"/>
      <c r="L35" s="39"/>
      <c r="M35" s="39"/>
      <c r="N35" s="338">
        <f t="shared" si="0"/>
        <v>0</v>
      </c>
      <c r="O35" s="338">
        <f t="shared" si="0"/>
        <v>0</v>
      </c>
      <c r="P35" s="338">
        <f t="shared" si="0"/>
        <v>0</v>
      </c>
      <c r="Q35" s="39"/>
      <c r="R35" s="39"/>
      <c r="S35" s="338">
        <f t="shared" si="1"/>
        <v>0</v>
      </c>
      <c r="T35" s="37" t="s">
        <v>3973</v>
      </c>
      <c r="U35" s="37" t="s">
        <v>316</v>
      </c>
      <c r="V35" s="37">
        <v>20</v>
      </c>
      <c r="W35" s="10">
        <v>20</v>
      </c>
      <c r="X35" s="10"/>
      <c r="Y35" s="10">
        <v>15</v>
      </c>
      <c r="Z35" s="10">
        <v>96</v>
      </c>
      <c r="AA35" s="336">
        <v>300</v>
      </c>
      <c r="AB35" s="10">
        <v>150</v>
      </c>
      <c r="AC35" s="10">
        <v>300</v>
      </c>
      <c r="AD35" s="10"/>
      <c r="AE35" s="10">
        <v>0</v>
      </c>
      <c r="AF35" s="10" t="s">
        <v>102</v>
      </c>
      <c r="AG35" s="10" t="s">
        <v>102</v>
      </c>
      <c r="AH35" s="10" t="s">
        <v>102</v>
      </c>
      <c r="AI35" s="10" t="s">
        <v>102</v>
      </c>
      <c r="AJ35" s="10" t="s">
        <v>102</v>
      </c>
      <c r="AK35" s="10" t="s">
        <v>102</v>
      </c>
      <c r="AL35" s="10" t="s">
        <v>102</v>
      </c>
      <c r="AM35" s="10" t="s">
        <v>102</v>
      </c>
      <c r="AN35" s="10" t="s">
        <v>102</v>
      </c>
      <c r="AO35" s="10" t="s">
        <v>102</v>
      </c>
      <c r="AP35" s="10">
        <v>0</v>
      </c>
    </row>
    <row r="36" spans="1:42" ht="48" x14ac:dyDescent="0.25">
      <c r="A36" s="336" t="s">
        <v>55</v>
      </c>
      <c r="B36" s="336" t="s">
        <v>3900</v>
      </c>
      <c r="C36" s="336" t="s">
        <v>3919</v>
      </c>
      <c r="D36" s="336">
        <v>244210004</v>
      </c>
      <c r="E36" s="374" t="s">
        <v>3937</v>
      </c>
      <c r="F36" s="336" t="s">
        <v>3938</v>
      </c>
      <c r="G36" s="336" t="s">
        <v>3939</v>
      </c>
      <c r="H36" s="338">
        <v>1194000000</v>
      </c>
      <c r="I36" s="516">
        <v>1289000000</v>
      </c>
      <c r="J36" s="39">
        <v>1185000000</v>
      </c>
      <c r="K36" s="39"/>
      <c r="L36" s="39">
        <v>40000000</v>
      </c>
      <c r="M36" s="39"/>
      <c r="N36" s="338">
        <f t="shared" si="0"/>
        <v>1194000000</v>
      </c>
      <c r="O36" s="338">
        <f t="shared" si="0"/>
        <v>1329000000</v>
      </c>
      <c r="P36" s="338">
        <f t="shared" si="0"/>
        <v>1185000000</v>
      </c>
      <c r="Q36" s="39">
        <v>1185000000</v>
      </c>
      <c r="R36" s="39">
        <v>424000000</v>
      </c>
      <c r="S36" s="338">
        <f t="shared" si="1"/>
        <v>1609000000</v>
      </c>
      <c r="T36" s="37">
        <v>0</v>
      </c>
      <c r="U36" s="37">
        <v>0</v>
      </c>
      <c r="V36" s="37">
        <v>0</v>
      </c>
      <c r="W36" s="10"/>
      <c r="X36" s="10"/>
      <c r="Y36" s="10"/>
      <c r="Z36" s="10"/>
      <c r="AA36" s="336">
        <v>0</v>
      </c>
      <c r="AB36" s="10"/>
      <c r="AC36" s="10"/>
      <c r="AD36" s="10"/>
      <c r="AE36" s="10">
        <v>0</v>
      </c>
      <c r="AF36" s="10">
        <v>0</v>
      </c>
      <c r="AG36" s="10">
        <v>0</v>
      </c>
      <c r="AH36" s="10">
        <v>0</v>
      </c>
      <c r="AI36" s="10">
        <v>0</v>
      </c>
      <c r="AJ36" s="10">
        <v>0</v>
      </c>
      <c r="AK36" s="10">
        <v>0</v>
      </c>
      <c r="AL36" s="10">
        <v>0</v>
      </c>
      <c r="AM36" s="10">
        <v>0</v>
      </c>
      <c r="AN36" s="10">
        <v>0</v>
      </c>
      <c r="AO36" s="10">
        <v>0</v>
      </c>
      <c r="AP36" s="10">
        <v>0</v>
      </c>
    </row>
    <row r="37" spans="1:42" ht="48" x14ac:dyDescent="0.25">
      <c r="A37" s="336">
        <v>0</v>
      </c>
      <c r="B37" s="336">
        <v>0</v>
      </c>
      <c r="C37" s="336">
        <v>0</v>
      </c>
      <c r="D37" s="336">
        <v>0</v>
      </c>
      <c r="E37" s="336">
        <v>0</v>
      </c>
      <c r="F37" s="336">
        <v>0</v>
      </c>
      <c r="G37" s="336">
        <v>0</v>
      </c>
      <c r="H37" s="338">
        <v>0</v>
      </c>
      <c r="I37" s="39"/>
      <c r="J37" s="39"/>
      <c r="K37" s="39"/>
      <c r="L37" s="39"/>
      <c r="M37" s="39"/>
      <c r="N37" s="338">
        <f t="shared" si="0"/>
        <v>0</v>
      </c>
      <c r="O37" s="338">
        <f t="shared" si="0"/>
        <v>0</v>
      </c>
      <c r="P37" s="338">
        <f t="shared" si="0"/>
        <v>0</v>
      </c>
      <c r="Q37" s="39"/>
      <c r="R37" s="39"/>
      <c r="S37" s="338">
        <f t="shared" si="1"/>
        <v>0</v>
      </c>
      <c r="T37" s="37" t="s">
        <v>3974</v>
      </c>
      <c r="U37" s="37" t="s">
        <v>316</v>
      </c>
      <c r="V37" s="37">
        <v>8</v>
      </c>
      <c r="W37" s="10">
        <v>8</v>
      </c>
      <c r="X37" s="10"/>
      <c r="Y37" s="10">
        <v>4</v>
      </c>
      <c r="Z37" s="10">
        <v>8</v>
      </c>
      <c r="AA37" s="336">
        <v>270</v>
      </c>
      <c r="AB37" s="10">
        <v>270</v>
      </c>
      <c r="AC37" s="10">
        <v>270</v>
      </c>
      <c r="AD37" s="10"/>
      <c r="AE37" s="10">
        <v>0</v>
      </c>
      <c r="AF37" s="10">
        <v>0</v>
      </c>
      <c r="AG37" s="10" t="s">
        <v>102</v>
      </c>
      <c r="AH37" s="10" t="s">
        <v>102</v>
      </c>
      <c r="AI37" s="10" t="s">
        <v>102</v>
      </c>
      <c r="AJ37" s="10" t="s">
        <v>102</v>
      </c>
      <c r="AK37" s="10" t="s">
        <v>102</v>
      </c>
      <c r="AL37" s="10" t="s">
        <v>102</v>
      </c>
      <c r="AM37" s="10" t="s">
        <v>102</v>
      </c>
      <c r="AN37" s="10" t="s">
        <v>102</v>
      </c>
      <c r="AO37" s="10" t="s">
        <v>102</v>
      </c>
      <c r="AP37" s="10">
        <v>0</v>
      </c>
    </row>
    <row r="38" spans="1:42" ht="36" x14ac:dyDescent="0.25">
      <c r="A38" s="336">
        <v>0</v>
      </c>
      <c r="B38" s="336">
        <v>0</v>
      </c>
      <c r="C38" s="336">
        <v>0</v>
      </c>
      <c r="D38" s="336">
        <v>0</v>
      </c>
      <c r="E38" s="336">
        <v>0</v>
      </c>
      <c r="F38" s="336">
        <v>0</v>
      </c>
      <c r="G38" s="336">
        <v>0</v>
      </c>
      <c r="H38" s="338">
        <v>0</v>
      </c>
      <c r="I38" s="39"/>
      <c r="J38" s="39"/>
      <c r="K38" s="39"/>
      <c r="L38" s="39"/>
      <c r="M38" s="39"/>
      <c r="N38" s="338">
        <f t="shared" si="0"/>
        <v>0</v>
      </c>
      <c r="O38" s="338">
        <f t="shared" si="0"/>
        <v>0</v>
      </c>
      <c r="P38" s="338">
        <f t="shared" si="0"/>
        <v>0</v>
      </c>
      <c r="Q38" s="39"/>
      <c r="R38" s="39"/>
      <c r="S38" s="338">
        <f t="shared" si="1"/>
        <v>0</v>
      </c>
      <c r="T38" s="37" t="s">
        <v>3975</v>
      </c>
      <c r="U38" s="37" t="s">
        <v>3976</v>
      </c>
      <c r="V38" s="37">
        <v>1</v>
      </c>
      <c r="W38" s="10">
        <v>1</v>
      </c>
      <c r="X38" s="10"/>
      <c r="Y38" s="10">
        <v>0</v>
      </c>
      <c r="Z38" s="10">
        <v>1</v>
      </c>
      <c r="AA38" s="336">
        <v>300</v>
      </c>
      <c r="AB38" s="10">
        <v>60</v>
      </c>
      <c r="AC38" s="10">
        <v>60</v>
      </c>
      <c r="AD38" s="10"/>
      <c r="AE38" s="10">
        <v>0</v>
      </c>
      <c r="AF38" s="10" t="s">
        <v>102</v>
      </c>
      <c r="AG38" s="10" t="s">
        <v>102</v>
      </c>
      <c r="AH38" s="10" t="s">
        <v>102</v>
      </c>
      <c r="AI38" s="10" t="s">
        <v>102</v>
      </c>
      <c r="AJ38" s="10" t="s">
        <v>102</v>
      </c>
      <c r="AK38" s="10" t="s">
        <v>102</v>
      </c>
      <c r="AL38" s="10" t="s">
        <v>102</v>
      </c>
      <c r="AM38" s="10" t="s">
        <v>102</v>
      </c>
      <c r="AN38" s="10" t="s">
        <v>102</v>
      </c>
      <c r="AO38" s="10" t="s">
        <v>102</v>
      </c>
      <c r="AP38" s="10">
        <v>0</v>
      </c>
    </row>
    <row r="39" spans="1:42" ht="36" x14ac:dyDescent="0.25">
      <c r="A39" s="336">
        <v>0</v>
      </c>
      <c r="B39" s="336">
        <v>0</v>
      </c>
      <c r="C39" s="336">
        <v>0</v>
      </c>
      <c r="D39" s="336">
        <v>0</v>
      </c>
      <c r="E39" s="336">
        <v>0</v>
      </c>
      <c r="F39" s="336">
        <v>0</v>
      </c>
      <c r="G39" s="336">
        <v>0</v>
      </c>
      <c r="H39" s="338">
        <v>0</v>
      </c>
      <c r="I39" s="39"/>
      <c r="J39" s="39"/>
      <c r="K39" s="39"/>
      <c r="L39" s="39"/>
      <c r="M39" s="39"/>
      <c r="N39" s="338">
        <f t="shared" si="0"/>
        <v>0</v>
      </c>
      <c r="O39" s="338">
        <f t="shared" si="0"/>
        <v>0</v>
      </c>
      <c r="P39" s="338">
        <f t="shared" si="0"/>
        <v>0</v>
      </c>
      <c r="Q39" s="39"/>
      <c r="R39" s="39"/>
      <c r="S39" s="338">
        <f t="shared" si="1"/>
        <v>0</v>
      </c>
      <c r="T39" s="37" t="s">
        <v>3977</v>
      </c>
      <c r="U39" s="37" t="s">
        <v>941</v>
      </c>
      <c r="V39" s="37">
        <v>20</v>
      </c>
      <c r="W39" s="10">
        <v>20</v>
      </c>
      <c r="X39" s="10"/>
      <c r="Y39" s="10">
        <v>20</v>
      </c>
      <c r="Z39" s="10">
        <v>20</v>
      </c>
      <c r="AA39" s="336">
        <v>300</v>
      </c>
      <c r="AB39" s="10">
        <v>300</v>
      </c>
      <c r="AC39" s="10">
        <v>300</v>
      </c>
      <c r="AD39" s="10"/>
      <c r="AE39" s="10">
        <v>0</v>
      </c>
      <c r="AF39" s="10" t="s">
        <v>102</v>
      </c>
      <c r="AG39" s="10" t="s">
        <v>102</v>
      </c>
      <c r="AH39" s="10" t="s">
        <v>102</v>
      </c>
      <c r="AI39" s="10" t="s">
        <v>102</v>
      </c>
      <c r="AJ39" s="10" t="s">
        <v>102</v>
      </c>
      <c r="AK39" s="10" t="s">
        <v>102</v>
      </c>
      <c r="AL39" s="10" t="s">
        <v>102</v>
      </c>
      <c r="AM39" s="10" t="s">
        <v>102</v>
      </c>
      <c r="AN39" s="10" t="s">
        <v>102</v>
      </c>
      <c r="AO39" s="10" t="s">
        <v>102</v>
      </c>
      <c r="AP39" s="10" t="s">
        <v>102</v>
      </c>
    </row>
    <row r="40" spans="1:42" ht="36" x14ac:dyDescent="0.25">
      <c r="A40" s="336">
        <v>0</v>
      </c>
      <c r="B40" s="336">
        <v>0</v>
      </c>
      <c r="C40" s="336">
        <v>0</v>
      </c>
      <c r="D40" s="336">
        <v>0</v>
      </c>
      <c r="E40" s="336">
        <v>0</v>
      </c>
      <c r="F40" s="336">
        <v>0</v>
      </c>
      <c r="G40" s="336">
        <v>0</v>
      </c>
      <c r="H40" s="338">
        <v>0</v>
      </c>
      <c r="I40" s="39"/>
      <c r="J40" s="39"/>
      <c r="K40" s="39"/>
      <c r="L40" s="39"/>
      <c r="M40" s="39"/>
      <c r="N40" s="338">
        <f t="shared" si="0"/>
        <v>0</v>
      </c>
      <c r="O40" s="338">
        <f t="shared" si="0"/>
        <v>0</v>
      </c>
      <c r="P40" s="338">
        <f t="shared" si="0"/>
        <v>0</v>
      </c>
      <c r="Q40" s="39"/>
      <c r="R40" s="39"/>
      <c r="S40" s="338">
        <f t="shared" si="1"/>
        <v>0</v>
      </c>
      <c r="T40" s="37" t="s">
        <v>3978</v>
      </c>
      <c r="U40" s="37" t="s">
        <v>941</v>
      </c>
      <c r="V40" s="37">
        <v>5</v>
      </c>
      <c r="W40" s="10">
        <v>5</v>
      </c>
      <c r="X40" s="10"/>
      <c r="Y40" s="10">
        <v>5</v>
      </c>
      <c r="Z40" s="10">
        <v>5</v>
      </c>
      <c r="AA40" s="336">
        <v>300</v>
      </c>
      <c r="AB40" s="10">
        <v>300</v>
      </c>
      <c r="AC40" s="10">
        <v>300</v>
      </c>
      <c r="AD40" s="10"/>
      <c r="AE40" s="10">
        <v>0</v>
      </c>
      <c r="AF40" s="10" t="s">
        <v>102</v>
      </c>
      <c r="AG40" s="10" t="s">
        <v>102</v>
      </c>
      <c r="AH40" s="10" t="s">
        <v>102</v>
      </c>
      <c r="AI40" s="10" t="s">
        <v>102</v>
      </c>
      <c r="AJ40" s="10" t="s">
        <v>102</v>
      </c>
      <c r="AK40" s="10" t="s">
        <v>102</v>
      </c>
      <c r="AL40" s="10" t="s">
        <v>102</v>
      </c>
      <c r="AM40" s="10" t="s">
        <v>102</v>
      </c>
      <c r="AN40" s="10" t="s">
        <v>102</v>
      </c>
      <c r="AO40" s="10" t="s">
        <v>102</v>
      </c>
      <c r="AP40" s="10">
        <v>0</v>
      </c>
    </row>
    <row r="41" spans="1:42" ht="24" x14ac:dyDescent="0.25">
      <c r="A41" s="336">
        <v>0</v>
      </c>
      <c r="B41" s="336">
        <v>0</v>
      </c>
      <c r="C41" s="336">
        <v>0</v>
      </c>
      <c r="D41" s="336">
        <v>0</v>
      </c>
      <c r="E41" s="336">
        <v>0</v>
      </c>
      <c r="F41" s="336">
        <v>0</v>
      </c>
      <c r="G41" s="336">
        <v>0</v>
      </c>
      <c r="H41" s="338">
        <v>0</v>
      </c>
      <c r="I41" s="39"/>
      <c r="J41" s="39"/>
      <c r="K41" s="39"/>
      <c r="L41" s="39"/>
      <c r="M41" s="39"/>
      <c r="N41" s="338">
        <f t="shared" si="0"/>
        <v>0</v>
      </c>
      <c r="O41" s="338">
        <f t="shared" si="0"/>
        <v>0</v>
      </c>
      <c r="P41" s="338">
        <f t="shared" si="0"/>
        <v>0</v>
      </c>
      <c r="Q41" s="39"/>
      <c r="R41" s="39"/>
      <c r="S41" s="338">
        <f t="shared" si="1"/>
        <v>0</v>
      </c>
      <c r="T41" s="37" t="s">
        <v>3979</v>
      </c>
      <c r="U41" s="37" t="s">
        <v>316</v>
      </c>
      <c r="V41" s="37">
        <v>1</v>
      </c>
      <c r="W41" s="10">
        <v>1</v>
      </c>
      <c r="X41" s="10"/>
      <c r="Y41" s="10">
        <v>0.5</v>
      </c>
      <c r="Z41" s="10">
        <v>1</v>
      </c>
      <c r="AA41" s="336">
        <v>150</v>
      </c>
      <c r="AB41" s="10">
        <v>120</v>
      </c>
      <c r="AC41" s="10">
        <v>120</v>
      </c>
      <c r="AD41" s="10"/>
      <c r="AE41" s="10">
        <v>0</v>
      </c>
      <c r="AF41" s="10">
        <v>0</v>
      </c>
      <c r="AG41" s="10">
        <v>0</v>
      </c>
      <c r="AH41" s="10">
        <v>0</v>
      </c>
      <c r="AI41" s="10" t="s">
        <v>102</v>
      </c>
      <c r="AJ41" s="10" t="s">
        <v>102</v>
      </c>
      <c r="AK41" s="10" t="s">
        <v>102</v>
      </c>
      <c r="AL41" s="10" t="s">
        <v>102</v>
      </c>
      <c r="AM41" s="10" t="s">
        <v>102</v>
      </c>
      <c r="AN41" s="10">
        <v>0</v>
      </c>
      <c r="AO41" s="10">
        <v>0</v>
      </c>
      <c r="AP41" s="10">
        <v>0</v>
      </c>
    </row>
    <row r="42" spans="1:42" ht="24" x14ac:dyDescent="0.25">
      <c r="A42" s="336">
        <v>0</v>
      </c>
      <c r="B42" s="336">
        <v>0</v>
      </c>
      <c r="C42" s="336">
        <v>0</v>
      </c>
      <c r="D42" s="336">
        <v>0</v>
      </c>
      <c r="E42" s="336">
        <v>0</v>
      </c>
      <c r="F42" s="336">
        <v>0</v>
      </c>
      <c r="G42" s="336">
        <v>0</v>
      </c>
      <c r="H42" s="338">
        <v>0</v>
      </c>
      <c r="I42" s="39"/>
      <c r="J42" s="39"/>
      <c r="K42" s="39"/>
      <c r="L42" s="39"/>
      <c r="M42" s="39"/>
      <c r="N42" s="338">
        <f t="shared" si="0"/>
        <v>0</v>
      </c>
      <c r="O42" s="338">
        <f t="shared" si="0"/>
        <v>0</v>
      </c>
      <c r="P42" s="338">
        <f t="shared" si="0"/>
        <v>0</v>
      </c>
      <c r="Q42" s="39"/>
      <c r="R42" s="39"/>
      <c r="S42" s="338">
        <f t="shared" si="1"/>
        <v>0</v>
      </c>
      <c r="T42" s="37" t="s">
        <v>3980</v>
      </c>
      <c r="U42" s="37" t="s">
        <v>316</v>
      </c>
      <c r="V42" s="37">
        <v>1</v>
      </c>
      <c r="W42" s="10">
        <v>1</v>
      </c>
      <c r="X42" s="10"/>
      <c r="Y42" s="10">
        <v>0.5</v>
      </c>
      <c r="Z42" s="10">
        <v>1</v>
      </c>
      <c r="AA42" s="336">
        <v>150</v>
      </c>
      <c r="AB42" s="10">
        <v>120</v>
      </c>
      <c r="AC42" s="10">
        <v>120</v>
      </c>
      <c r="AD42" s="10"/>
      <c r="AE42" s="10">
        <v>0</v>
      </c>
      <c r="AF42" s="10">
        <v>0</v>
      </c>
      <c r="AG42" s="10">
        <v>0</v>
      </c>
      <c r="AH42" s="10">
        <v>0</v>
      </c>
      <c r="AI42" s="10">
        <v>0</v>
      </c>
      <c r="AJ42" s="10" t="s">
        <v>102</v>
      </c>
      <c r="AK42" s="10" t="s">
        <v>102</v>
      </c>
      <c r="AL42" s="10" t="s">
        <v>102</v>
      </c>
      <c r="AM42" s="10" t="s">
        <v>102</v>
      </c>
      <c r="AN42" s="10" t="s">
        <v>102</v>
      </c>
      <c r="AO42" s="10">
        <v>0</v>
      </c>
      <c r="AP42" s="10">
        <v>0</v>
      </c>
    </row>
    <row r="43" spans="1:42" ht="24" x14ac:dyDescent="0.25">
      <c r="A43" s="336">
        <v>0</v>
      </c>
      <c r="B43" s="336">
        <v>0</v>
      </c>
      <c r="C43" s="336">
        <v>0</v>
      </c>
      <c r="D43" s="336">
        <v>0</v>
      </c>
      <c r="E43" s="336">
        <v>0</v>
      </c>
      <c r="F43" s="336">
        <v>0</v>
      </c>
      <c r="G43" s="336">
        <v>0</v>
      </c>
      <c r="H43" s="338">
        <v>0</v>
      </c>
      <c r="I43" s="39"/>
      <c r="J43" s="39"/>
      <c r="K43" s="39"/>
      <c r="L43" s="39"/>
      <c r="M43" s="39"/>
      <c r="N43" s="338">
        <f t="shared" si="0"/>
        <v>0</v>
      </c>
      <c r="O43" s="338">
        <f t="shared" si="0"/>
        <v>0</v>
      </c>
      <c r="P43" s="338">
        <f t="shared" si="0"/>
        <v>0</v>
      </c>
      <c r="Q43" s="39"/>
      <c r="R43" s="39"/>
      <c r="S43" s="338">
        <f t="shared" si="1"/>
        <v>0</v>
      </c>
      <c r="T43" s="37" t="s">
        <v>3981</v>
      </c>
      <c r="U43" s="37" t="s">
        <v>941</v>
      </c>
      <c r="V43" s="37">
        <v>20</v>
      </c>
      <c r="W43" s="10">
        <v>20</v>
      </c>
      <c r="X43" s="10"/>
      <c r="Y43" s="10">
        <v>16</v>
      </c>
      <c r="Z43" s="10">
        <v>16</v>
      </c>
      <c r="AA43" s="336">
        <v>300</v>
      </c>
      <c r="AB43" s="10">
        <v>150</v>
      </c>
      <c r="AC43" s="10">
        <v>150</v>
      </c>
      <c r="AD43" s="10"/>
      <c r="AE43" s="10">
        <v>0</v>
      </c>
      <c r="AF43" s="10" t="s">
        <v>102</v>
      </c>
      <c r="AG43" s="10" t="s">
        <v>102</v>
      </c>
      <c r="AH43" s="10" t="s">
        <v>102</v>
      </c>
      <c r="AI43" s="10" t="s">
        <v>102</v>
      </c>
      <c r="AJ43" s="10" t="s">
        <v>102</v>
      </c>
      <c r="AK43" s="10" t="s">
        <v>102</v>
      </c>
      <c r="AL43" s="10" t="s">
        <v>102</v>
      </c>
      <c r="AM43" s="10" t="s">
        <v>102</v>
      </c>
      <c r="AN43" s="10" t="s">
        <v>102</v>
      </c>
      <c r="AO43" s="10" t="s">
        <v>102</v>
      </c>
      <c r="AP43" s="10">
        <v>0</v>
      </c>
    </row>
    <row r="44" spans="1:42" ht="36" x14ac:dyDescent="0.25">
      <c r="A44" s="336">
        <v>0</v>
      </c>
      <c r="B44" s="336">
        <v>0</v>
      </c>
      <c r="C44" s="336">
        <v>0</v>
      </c>
      <c r="D44" s="336">
        <v>0</v>
      </c>
      <c r="E44" s="336">
        <v>0</v>
      </c>
      <c r="F44" s="336">
        <v>0</v>
      </c>
      <c r="G44" s="336">
        <v>0</v>
      </c>
      <c r="H44" s="338">
        <v>0</v>
      </c>
      <c r="I44" s="39"/>
      <c r="J44" s="39"/>
      <c r="K44" s="39"/>
      <c r="L44" s="39"/>
      <c r="M44" s="39"/>
      <c r="N44" s="338">
        <f t="shared" si="0"/>
        <v>0</v>
      </c>
      <c r="O44" s="338">
        <f t="shared" si="0"/>
        <v>0</v>
      </c>
      <c r="P44" s="338">
        <f t="shared" si="0"/>
        <v>0</v>
      </c>
      <c r="Q44" s="39"/>
      <c r="R44" s="39"/>
      <c r="S44" s="338">
        <f t="shared" si="1"/>
        <v>0</v>
      </c>
      <c r="T44" s="37" t="s">
        <v>3982</v>
      </c>
      <c r="U44" s="37" t="s">
        <v>316</v>
      </c>
      <c r="V44" s="37">
        <v>1</v>
      </c>
      <c r="W44" s="10">
        <v>1</v>
      </c>
      <c r="X44" s="10"/>
      <c r="Y44" s="10">
        <v>0.3</v>
      </c>
      <c r="Z44" s="10">
        <v>1</v>
      </c>
      <c r="AA44" s="336">
        <v>210</v>
      </c>
      <c r="AB44" s="10">
        <v>150</v>
      </c>
      <c r="AC44" s="10">
        <v>150</v>
      </c>
      <c r="AD44" s="10"/>
      <c r="AE44" s="10">
        <v>0</v>
      </c>
      <c r="AF44" s="10">
        <v>0</v>
      </c>
      <c r="AG44" s="10">
        <v>0</v>
      </c>
      <c r="AH44" s="10" t="s">
        <v>102</v>
      </c>
      <c r="AI44" s="10" t="s">
        <v>102</v>
      </c>
      <c r="AJ44" s="10" t="s">
        <v>102</v>
      </c>
      <c r="AK44" s="10" t="s">
        <v>102</v>
      </c>
      <c r="AL44" s="10" t="s">
        <v>102</v>
      </c>
      <c r="AM44" s="10" t="s">
        <v>102</v>
      </c>
      <c r="AN44" s="10" t="s">
        <v>102</v>
      </c>
      <c r="AO44" s="10">
        <v>0</v>
      </c>
      <c r="AP44" s="10">
        <v>0</v>
      </c>
    </row>
    <row r="45" spans="1:42" ht="36" x14ac:dyDescent="0.25">
      <c r="A45" s="336">
        <v>0</v>
      </c>
      <c r="B45" s="336">
        <v>0</v>
      </c>
      <c r="C45" s="336">
        <v>0</v>
      </c>
      <c r="D45" s="336">
        <v>0</v>
      </c>
      <c r="E45" s="336">
        <v>0</v>
      </c>
      <c r="F45" s="336">
        <v>0</v>
      </c>
      <c r="G45" s="336">
        <v>0</v>
      </c>
      <c r="H45" s="338">
        <v>0</v>
      </c>
      <c r="I45" s="39"/>
      <c r="J45" s="39"/>
      <c r="K45" s="39"/>
      <c r="L45" s="39"/>
      <c r="M45" s="39"/>
      <c r="N45" s="338">
        <f t="shared" si="0"/>
        <v>0</v>
      </c>
      <c r="O45" s="338">
        <f t="shared" si="0"/>
        <v>0</v>
      </c>
      <c r="P45" s="338">
        <f t="shared" si="0"/>
        <v>0</v>
      </c>
      <c r="Q45" s="39"/>
      <c r="R45" s="39"/>
      <c r="S45" s="338">
        <f t="shared" si="1"/>
        <v>0</v>
      </c>
      <c r="T45" s="37" t="s">
        <v>3983</v>
      </c>
      <c r="U45" s="37" t="s">
        <v>316</v>
      </c>
      <c r="V45" s="37">
        <v>1</v>
      </c>
      <c r="W45" s="10">
        <v>1</v>
      </c>
      <c r="X45" s="10"/>
      <c r="Y45" s="10">
        <v>0.5</v>
      </c>
      <c r="Z45" s="10">
        <v>0.75</v>
      </c>
      <c r="AA45" s="336">
        <v>270</v>
      </c>
      <c r="AB45" s="10">
        <v>270</v>
      </c>
      <c r="AC45" s="10">
        <v>270</v>
      </c>
      <c r="AD45" s="10"/>
      <c r="AE45" s="10">
        <v>0</v>
      </c>
      <c r="AF45" s="10">
        <v>0</v>
      </c>
      <c r="AG45" s="10" t="s">
        <v>102</v>
      </c>
      <c r="AH45" s="10" t="s">
        <v>102</v>
      </c>
      <c r="AI45" s="10" t="s">
        <v>102</v>
      </c>
      <c r="AJ45" s="10" t="s">
        <v>102</v>
      </c>
      <c r="AK45" s="10" t="s">
        <v>102</v>
      </c>
      <c r="AL45" s="10" t="s">
        <v>102</v>
      </c>
      <c r="AM45" s="10" t="s">
        <v>102</v>
      </c>
      <c r="AN45" s="10" t="s">
        <v>102</v>
      </c>
      <c r="AO45" s="10" t="s">
        <v>102</v>
      </c>
      <c r="AP45" s="10">
        <v>0</v>
      </c>
    </row>
  </sheetData>
  <sheetProtection algorithmName="SHA-512" hashValue="xtveoyYku2jsYcyr9QGyoao7W9o3O0x6n4pXoq/QYh2hWbfwJHbDr6TSJEOEmsgFD3wRDYchFgNBGJ9RmGilFw==" saltValue="MrU3elGl3ge4vctJmfkAsQ==" spinCount="100000" sheet="1" objects="1" scenario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8"/>
  <sheetViews>
    <sheetView topLeftCell="A4" workbookViewId="0">
      <pane ySplit="5" topLeftCell="A9" activePane="bottomLeft" state="frozen"/>
      <selection activeCell="A4" sqref="A4"/>
      <selection pane="bottomLeft" activeCell="E10" sqref="E10"/>
    </sheetView>
  </sheetViews>
  <sheetFormatPr baseColWidth="10" defaultColWidth="11.42578125" defaultRowHeight="15" x14ac:dyDescent="0.25"/>
  <cols>
    <col min="1" max="1" width="15.7109375" style="1" customWidth="1"/>
    <col min="2" max="2" width="17.7109375" style="1" customWidth="1"/>
    <col min="3" max="3" width="18.7109375" style="1" customWidth="1"/>
    <col min="4" max="4" width="13.7109375" style="1" customWidth="1"/>
    <col min="5" max="5" width="15.28515625" style="1" customWidth="1"/>
    <col min="6" max="6" width="14.7109375" style="1" customWidth="1"/>
    <col min="7" max="7" width="10.7109375" style="1" customWidth="1"/>
    <col min="8" max="8" width="22.7109375" style="1" customWidth="1"/>
    <col min="9" max="10" width="14.7109375" style="1" customWidth="1"/>
    <col min="11" max="11" width="28.7109375" style="1" customWidth="1"/>
    <col min="12" max="12" width="13.5703125" style="1" customWidth="1"/>
    <col min="13" max="16" width="11.7109375" style="1" customWidth="1"/>
    <col min="17" max="17" width="24.7109375" style="1" customWidth="1"/>
    <col min="18" max="16384" width="11.42578125" style="1"/>
  </cols>
  <sheetData>
    <row r="1" spans="1:21" x14ac:dyDescent="0.25">
      <c r="A1" s="605" t="s">
        <v>0</v>
      </c>
      <c r="B1" s="605"/>
      <c r="C1" s="605"/>
      <c r="D1" s="605"/>
      <c r="E1" s="605"/>
      <c r="F1" s="605"/>
      <c r="G1" s="605"/>
      <c r="H1" s="605"/>
      <c r="I1" s="605"/>
      <c r="J1" s="605"/>
      <c r="K1" s="605"/>
      <c r="L1" s="605"/>
      <c r="M1" s="605"/>
      <c r="N1" s="605"/>
      <c r="O1" s="605"/>
    </row>
    <row r="2" spans="1:21" x14ac:dyDescent="0.25">
      <c r="A2" s="605" t="s">
        <v>1</v>
      </c>
      <c r="B2" s="605"/>
      <c r="C2" s="605"/>
      <c r="D2" s="605"/>
      <c r="E2" s="605"/>
      <c r="F2" s="605"/>
      <c r="G2" s="605"/>
      <c r="H2" s="605"/>
      <c r="I2" s="605"/>
      <c r="J2" s="605"/>
      <c r="K2" s="605"/>
      <c r="L2" s="605"/>
      <c r="M2" s="605"/>
      <c r="N2" s="605"/>
      <c r="O2" s="605"/>
    </row>
    <row r="3" spans="1:21" x14ac:dyDescent="0.25">
      <c r="A3" s="605" t="s">
        <v>2</v>
      </c>
      <c r="B3" s="605"/>
      <c r="C3" s="605"/>
      <c r="D3" s="605"/>
      <c r="E3" s="605"/>
      <c r="F3" s="605"/>
      <c r="G3" s="605"/>
      <c r="H3" s="605" t="s">
        <v>3</v>
      </c>
      <c r="I3" s="605"/>
      <c r="J3" s="605"/>
      <c r="K3" s="605"/>
      <c r="L3" s="605"/>
      <c r="M3" s="605"/>
      <c r="N3" s="605"/>
      <c r="O3" s="605"/>
    </row>
    <row r="4" spans="1:21" x14ac:dyDescent="0.25">
      <c r="A4" s="605">
        <v>2013</v>
      </c>
      <c r="B4" s="605"/>
      <c r="C4" s="605"/>
      <c r="D4" s="605"/>
      <c r="E4" s="605"/>
      <c r="F4" s="605"/>
      <c r="G4" s="605"/>
      <c r="H4" s="605"/>
      <c r="I4" s="605"/>
      <c r="J4" s="605"/>
      <c r="K4" s="605"/>
      <c r="L4" s="605"/>
      <c r="M4" s="605"/>
      <c r="N4" s="605"/>
      <c r="O4" s="605"/>
    </row>
    <row r="5" spans="1:21" x14ac:dyDescent="0.25">
      <c r="A5" s="271"/>
      <c r="B5" s="271"/>
      <c r="C5" s="271"/>
      <c r="D5" s="271"/>
      <c r="E5" s="271"/>
      <c r="F5" s="271"/>
      <c r="G5" s="271"/>
      <c r="H5" s="271"/>
      <c r="I5" s="271"/>
      <c r="J5" s="271"/>
      <c r="K5" s="271"/>
      <c r="L5" s="272"/>
      <c r="M5" s="5"/>
      <c r="N5" s="6"/>
      <c r="O5" s="5"/>
    </row>
    <row r="6" spans="1:21" x14ac:dyDescent="0.25">
      <c r="A6" s="7" t="s">
        <v>4</v>
      </c>
      <c r="B6" s="606"/>
      <c r="C6" s="606"/>
      <c r="D6" s="606"/>
      <c r="E6" s="606"/>
      <c r="F6" s="606"/>
      <c r="G6" s="606"/>
      <c r="H6" s="606"/>
      <c r="I6" s="606"/>
      <c r="J6" s="606"/>
      <c r="K6" s="606"/>
      <c r="L6" s="606"/>
      <c r="M6" s="606"/>
      <c r="N6" s="606"/>
      <c r="O6" s="606"/>
    </row>
    <row r="7" spans="1:21" ht="15" customHeight="1" x14ac:dyDescent="0.25">
      <c r="A7" s="633" t="s">
        <v>6</v>
      </c>
      <c r="B7" s="633" t="s">
        <v>7</v>
      </c>
      <c r="C7" s="633" t="s">
        <v>8</v>
      </c>
      <c r="D7" s="633" t="s">
        <v>9</v>
      </c>
      <c r="E7" s="633" t="s">
        <v>10</v>
      </c>
      <c r="F7" s="633" t="s">
        <v>11</v>
      </c>
      <c r="G7" s="633" t="s">
        <v>12</v>
      </c>
      <c r="H7" s="633" t="s">
        <v>13</v>
      </c>
      <c r="I7" s="646" t="s">
        <v>14</v>
      </c>
      <c r="J7" s="646" t="s">
        <v>15</v>
      </c>
      <c r="K7" s="633" t="s">
        <v>16</v>
      </c>
      <c r="L7" s="633" t="s">
        <v>17</v>
      </c>
      <c r="M7" s="633" t="s">
        <v>18</v>
      </c>
      <c r="N7" s="635" t="s">
        <v>19</v>
      </c>
      <c r="O7" s="635" t="s">
        <v>20</v>
      </c>
      <c r="P7" s="635" t="s">
        <v>21</v>
      </c>
      <c r="Q7" s="640" t="s">
        <v>22</v>
      </c>
    </row>
    <row r="8" spans="1:21" ht="32.25" customHeight="1" x14ac:dyDescent="0.25">
      <c r="A8" s="645"/>
      <c r="B8" s="645"/>
      <c r="C8" s="645"/>
      <c r="D8" s="645"/>
      <c r="E8" s="645"/>
      <c r="F8" s="645"/>
      <c r="G8" s="645"/>
      <c r="H8" s="645"/>
      <c r="I8" s="647"/>
      <c r="J8" s="647"/>
      <c r="K8" s="645"/>
      <c r="L8" s="645"/>
      <c r="M8" s="645"/>
      <c r="N8" s="648"/>
      <c r="O8" s="648"/>
      <c r="P8" s="648"/>
      <c r="Q8" s="641"/>
      <c r="S8" s="8"/>
      <c r="T8" s="8"/>
      <c r="U8" s="8"/>
    </row>
    <row r="9" spans="1:21" ht="120" x14ac:dyDescent="0.25">
      <c r="A9" s="10" t="s">
        <v>55</v>
      </c>
      <c r="B9" s="10" t="s">
        <v>3900</v>
      </c>
      <c r="C9" s="10" t="s">
        <v>3901</v>
      </c>
      <c r="D9" s="10">
        <v>244110004</v>
      </c>
      <c r="E9" s="10" t="s">
        <v>3902</v>
      </c>
      <c r="F9" s="50" t="s">
        <v>3903</v>
      </c>
      <c r="G9" s="10" t="s">
        <v>3904</v>
      </c>
      <c r="H9" s="10" t="s">
        <v>3905</v>
      </c>
      <c r="I9" s="39">
        <f>'[7]FORMATO FINANCIERO'!I9-'[7]FORMATO FINANCIERO'!H9</f>
        <v>-392000000</v>
      </c>
      <c r="J9" s="276">
        <f>'[7]FORMATO FINANCIERO'!J9-'[7]FORMATO FINANCIERO'!H9</f>
        <v>-414899355</v>
      </c>
      <c r="K9" s="10" t="s">
        <v>3906</v>
      </c>
      <c r="L9" s="514">
        <v>20</v>
      </c>
      <c r="M9" s="514">
        <v>20</v>
      </c>
      <c r="N9" s="10"/>
      <c r="O9" s="514">
        <v>15</v>
      </c>
      <c r="P9" s="514">
        <v>20</v>
      </c>
      <c r="Q9" s="10"/>
      <c r="R9" s="16"/>
      <c r="U9" s="17"/>
    </row>
    <row r="10" spans="1:21" ht="30" x14ac:dyDescent="0.25">
      <c r="A10" s="10"/>
      <c r="B10" s="10"/>
      <c r="C10" s="10"/>
      <c r="D10" s="10"/>
      <c r="E10" s="10"/>
      <c r="F10" s="50"/>
      <c r="G10" s="10"/>
      <c r="H10" s="10"/>
      <c r="I10" s="10"/>
      <c r="J10" s="10"/>
      <c r="K10" s="10" t="s">
        <v>3907</v>
      </c>
      <c r="L10" s="514">
        <v>2</v>
      </c>
      <c r="M10" s="514">
        <v>2</v>
      </c>
      <c r="N10" s="10"/>
      <c r="O10" s="514">
        <v>2</v>
      </c>
      <c r="P10" s="514">
        <v>2</v>
      </c>
      <c r="Q10" s="10"/>
      <c r="R10" s="16"/>
      <c r="U10" s="17"/>
    </row>
    <row r="11" spans="1:21" ht="30" x14ac:dyDescent="0.25">
      <c r="A11" s="10"/>
      <c r="B11" s="10"/>
      <c r="C11" s="10"/>
      <c r="D11" s="10"/>
      <c r="E11" s="10"/>
      <c r="F11" s="50"/>
      <c r="G11" s="10"/>
      <c r="H11" s="10"/>
      <c r="I11" s="10"/>
      <c r="J11" s="10"/>
      <c r="K11" s="10" t="s">
        <v>3908</v>
      </c>
      <c r="L11" s="514">
        <v>3</v>
      </c>
      <c r="M11" s="514">
        <v>3</v>
      </c>
      <c r="N11" s="10"/>
      <c r="O11" s="514">
        <v>2</v>
      </c>
      <c r="P11" s="514">
        <v>3</v>
      </c>
      <c r="Q11" s="10"/>
      <c r="R11" s="16"/>
      <c r="U11" s="17"/>
    </row>
    <row r="12" spans="1:21" ht="30" x14ac:dyDescent="0.25">
      <c r="A12" s="10"/>
      <c r="B12" s="10"/>
      <c r="C12" s="10"/>
      <c r="D12" s="10"/>
      <c r="E12" s="10"/>
      <c r="F12" s="50"/>
      <c r="G12" s="10"/>
      <c r="H12" s="10"/>
      <c r="I12" s="10"/>
      <c r="J12" s="10"/>
      <c r="K12" s="10" t="s">
        <v>3909</v>
      </c>
      <c r="L12" s="514">
        <v>4</v>
      </c>
      <c r="M12" s="514">
        <v>4</v>
      </c>
      <c r="N12" s="10"/>
      <c r="O12" s="514">
        <v>2</v>
      </c>
      <c r="P12" s="514">
        <v>4</v>
      </c>
      <c r="Q12" s="10"/>
      <c r="R12" s="16"/>
      <c r="U12" s="17"/>
    </row>
    <row r="13" spans="1:21" ht="45" x14ac:dyDescent="0.25">
      <c r="A13" s="10"/>
      <c r="B13" s="10"/>
      <c r="C13" s="10"/>
      <c r="D13" s="10"/>
      <c r="E13" s="10"/>
      <c r="F13" s="50"/>
      <c r="G13" s="10"/>
      <c r="H13" s="10"/>
      <c r="I13" s="10"/>
      <c r="J13" s="10"/>
      <c r="K13" s="10" t="s">
        <v>3910</v>
      </c>
      <c r="L13" s="514">
        <v>1</v>
      </c>
      <c r="M13" s="514">
        <v>2</v>
      </c>
      <c r="N13" s="10"/>
      <c r="O13" s="514">
        <v>0</v>
      </c>
      <c r="P13" s="514">
        <v>0.5</v>
      </c>
      <c r="Q13" s="10"/>
      <c r="R13" s="16"/>
      <c r="U13" s="17"/>
    </row>
    <row r="14" spans="1:21" ht="45" x14ac:dyDescent="0.25">
      <c r="A14" s="10"/>
      <c r="B14" s="10"/>
      <c r="C14" s="10"/>
      <c r="D14" s="10"/>
      <c r="E14" s="10"/>
      <c r="F14" s="50"/>
      <c r="G14" s="10"/>
      <c r="H14" s="10"/>
      <c r="I14" s="10"/>
      <c r="J14" s="10"/>
      <c r="K14" s="10" t="s">
        <v>3911</v>
      </c>
      <c r="L14" s="514">
        <v>1</v>
      </c>
      <c r="M14" s="514">
        <v>1</v>
      </c>
      <c r="N14" s="10"/>
      <c r="O14" s="514">
        <v>0.5</v>
      </c>
      <c r="P14" s="514">
        <v>1</v>
      </c>
      <c r="Q14" s="10"/>
      <c r="R14" s="16"/>
      <c r="U14" s="17"/>
    </row>
    <row r="15" spans="1:21" ht="30" x14ac:dyDescent="0.25">
      <c r="A15" s="10"/>
      <c r="B15" s="10"/>
      <c r="C15" s="10"/>
      <c r="D15" s="10"/>
      <c r="E15" s="10"/>
      <c r="F15" s="50"/>
      <c r="G15" s="10"/>
      <c r="H15" s="10"/>
      <c r="I15" s="10"/>
      <c r="J15" s="10"/>
      <c r="K15" s="10" t="s">
        <v>3912</v>
      </c>
      <c r="L15" s="514">
        <v>30000</v>
      </c>
      <c r="M15" s="514">
        <v>30000</v>
      </c>
      <c r="N15" s="10"/>
      <c r="O15" s="514">
        <v>48355</v>
      </c>
      <c r="P15" s="514">
        <v>48355</v>
      </c>
      <c r="Q15" s="10"/>
      <c r="R15" s="16"/>
      <c r="U15" s="17"/>
    </row>
    <row r="16" spans="1:21" ht="60" x14ac:dyDescent="0.25">
      <c r="A16" s="10" t="s">
        <v>55</v>
      </c>
      <c r="B16" s="10" t="s">
        <v>3900</v>
      </c>
      <c r="C16" s="10" t="s">
        <v>3901</v>
      </c>
      <c r="D16" s="10">
        <v>244340004</v>
      </c>
      <c r="E16" s="10" t="s">
        <v>3913</v>
      </c>
      <c r="F16" s="50" t="s">
        <v>3914</v>
      </c>
      <c r="G16" s="10" t="s">
        <v>3915</v>
      </c>
      <c r="H16" s="273" t="s">
        <v>3916</v>
      </c>
      <c r="I16" s="39">
        <f>'[7]FORMATO FINANCIERO'!I19-'[7]FORMATO FINANCIERO'!H19</f>
        <v>-13263750</v>
      </c>
      <c r="J16" s="43">
        <f>'[7]FORMATO FINANCIERO'!J19-'[7]FORMATO FINANCIERO'!H19</f>
        <v>450000000</v>
      </c>
      <c r="K16" s="49" t="s">
        <v>3917</v>
      </c>
      <c r="L16" s="514">
        <v>4</v>
      </c>
      <c r="M16" s="514">
        <v>4</v>
      </c>
      <c r="N16" s="10"/>
      <c r="O16" s="514">
        <v>10</v>
      </c>
      <c r="P16" s="514">
        <v>10</v>
      </c>
      <c r="Q16" s="10"/>
      <c r="R16" s="16"/>
      <c r="U16" s="17"/>
    </row>
    <row r="17" spans="1:21" ht="51" x14ac:dyDescent="0.25">
      <c r="A17" s="10"/>
      <c r="B17" s="10"/>
      <c r="C17" s="10"/>
      <c r="D17" s="10"/>
      <c r="E17" s="10"/>
      <c r="F17" s="50"/>
      <c r="G17" s="10"/>
      <c r="H17" s="10"/>
      <c r="I17" s="10"/>
      <c r="J17" s="10"/>
      <c r="K17" s="49" t="s">
        <v>3918</v>
      </c>
      <c r="L17" s="514">
        <v>23</v>
      </c>
      <c r="M17" s="514">
        <v>23</v>
      </c>
      <c r="N17" s="10"/>
      <c r="O17" s="514">
        <v>0</v>
      </c>
      <c r="P17" s="514">
        <v>0</v>
      </c>
      <c r="Q17" s="10"/>
      <c r="R17" s="16"/>
      <c r="U17" s="17"/>
    </row>
    <row r="18" spans="1:21" ht="60" x14ac:dyDescent="0.25">
      <c r="A18" s="10" t="s">
        <v>55</v>
      </c>
      <c r="B18" s="10" t="s">
        <v>3900</v>
      </c>
      <c r="C18" s="10" t="s">
        <v>3919</v>
      </c>
      <c r="D18" s="10">
        <v>244310004</v>
      </c>
      <c r="E18" s="10" t="s">
        <v>3920</v>
      </c>
      <c r="F18" s="50" t="s">
        <v>3921</v>
      </c>
      <c r="G18" s="10" t="s">
        <v>3922</v>
      </c>
      <c r="H18" s="10" t="s">
        <v>3923</v>
      </c>
      <c r="I18" s="39">
        <f>'[7]FORMATO FINANCIERO'!I22-'[7]FORMATO FINANCIERO'!H22</f>
        <v>-100000000</v>
      </c>
      <c r="J18" s="43">
        <f>'[7]FORMATO FINANCIERO'!J22-'[7]FORMATO FINANCIERO'!H22</f>
        <v>-100000000</v>
      </c>
      <c r="K18" s="10" t="s">
        <v>3924</v>
      </c>
      <c r="L18" s="514">
        <v>600</v>
      </c>
      <c r="M18" s="514">
        <v>600</v>
      </c>
      <c r="N18" s="10"/>
      <c r="O18" s="514">
        <v>0</v>
      </c>
      <c r="P18" s="514">
        <v>865</v>
      </c>
      <c r="Q18" s="10"/>
      <c r="R18" s="16"/>
      <c r="U18" s="17"/>
    </row>
    <row r="19" spans="1:21" ht="60" x14ac:dyDescent="0.25">
      <c r="A19" s="10" t="s">
        <v>55</v>
      </c>
      <c r="B19" s="10" t="s">
        <v>3900</v>
      </c>
      <c r="C19" s="10" t="s">
        <v>3919</v>
      </c>
      <c r="D19" s="10">
        <v>244330004</v>
      </c>
      <c r="E19" s="10" t="s">
        <v>3925</v>
      </c>
      <c r="F19" s="50" t="s">
        <v>3926</v>
      </c>
      <c r="G19" s="10" t="s">
        <v>3927</v>
      </c>
      <c r="H19" s="273" t="s">
        <v>3928</v>
      </c>
      <c r="I19" s="39">
        <f>'[7]FORMATO FINANCIERO'!I27-'[7]FORMATO FINANCIERO'!H27</f>
        <v>0</v>
      </c>
      <c r="J19" s="39">
        <f>'[7]FORMATO FINANCIERO'!J27-'[7]FORMATO FINANCIERO'!H27</f>
        <v>0</v>
      </c>
      <c r="K19" s="49" t="s">
        <v>3929</v>
      </c>
      <c r="L19" s="514">
        <v>300</v>
      </c>
      <c r="M19" s="514">
        <v>300</v>
      </c>
      <c r="N19" s="10"/>
      <c r="O19" s="514">
        <v>0</v>
      </c>
      <c r="P19" s="514">
        <v>150</v>
      </c>
      <c r="Q19" s="10"/>
      <c r="R19" s="16"/>
      <c r="U19" s="17"/>
    </row>
    <row r="20" spans="1:21" ht="90" x14ac:dyDescent="0.25">
      <c r="A20" s="10" t="s">
        <v>55</v>
      </c>
      <c r="B20" s="10" t="s">
        <v>3900</v>
      </c>
      <c r="C20" s="10" t="s">
        <v>3919</v>
      </c>
      <c r="D20" s="10">
        <v>244320004</v>
      </c>
      <c r="E20" s="10" t="s">
        <v>3930</v>
      </c>
      <c r="F20" s="50" t="s">
        <v>3931</v>
      </c>
      <c r="G20" s="10" t="s">
        <v>3932</v>
      </c>
      <c r="H20" s="10" t="s">
        <v>3933</v>
      </c>
      <c r="I20" s="39">
        <f>'[7]FORMATO FINANCIERO'!I29-'[7]FORMATO FINANCIERO'!H29</f>
        <v>0</v>
      </c>
      <c r="J20" s="39">
        <f>'[7]FORMATO FINANCIERO'!J29-'[7]FORMATO FINANCIERO'!H29</f>
        <v>0</v>
      </c>
      <c r="K20" s="10" t="s">
        <v>3934</v>
      </c>
      <c r="L20" s="514">
        <v>21</v>
      </c>
      <c r="M20" s="514">
        <v>21</v>
      </c>
      <c r="N20" s="10"/>
      <c r="O20" s="514">
        <v>15</v>
      </c>
      <c r="P20" s="514">
        <v>21</v>
      </c>
      <c r="Q20" s="10"/>
      <c r="R20" s="16"/>
      <c r="U20" s="17"/>
    </row>
    <row r="21" spans="1:21" ht="38.25" x14ac:dyDescent="0.25">
      <c r="A21" s="10"/>
      <c r="B21" s="10"/>
      <c r="C21" s="10"/>
      <c r="D21" s="10"/>
      <c r="E21" s="10"/>
      <c r="F21" s="50"/>
      <c r="G21" s="10"/>
      <c r="H21" s="10"/>
      <c r="I21" s="10"/>
      <c r="J21" s="10"/>
      <c r="K21" s="49" t="s">
        <v>3935</v>
      </c>
      <c r="L21" s="514">
        <v>15</v>
      </c>
      <c r="M21" s="514">
        <v>15</v>
      </c>
      <c r="N21" s="10"/>
      <c r="O21" s="514">
        <v>7</v>
      </c>
      <c r="P21" s="514">
        <v>96</v>
      </c>
      <c r="Q21" s="10"/>
      <c r="R21" s="16"/>
      <c r="U21" s="17"/>
    </row>
    <row r="22" spans="1:21" ht="75" x14ac:dyDescent="0.25">
      <c r="A22" s="10" t="s">
        <v>55</v>
      </c>
      <c r="B22" s="10" t="s">
        <v>3900</v>
      </c>
      <c r="C22" s="10" t="s">
        <v>3919</v>
      </c>
      <c r="D22" s="10">
        <v>244210004</v>
      </c>
      <c r="E22" s="10" t="s">
        <v>3936</v>
      </c>
      <c r="F22" s="50" t="s">
        <v>3937</v>
      </c>
      <c r="G22" s="10" t="s">
        <v>3938</v>
      </c>
      <c r="H22" s="273" t="s">
        <v>3939</v>
      </c>
      <c r="I22" s="39">
        <f>'[7]FORMATO FINANCIERO'!I36-'[7]FORMATO FINANCIERO'!H36</f>
        <v>95000000</v>
      </c>
      <c r="J22" s="43">
        <f>'[7]FORMATO FINANCIERO'!J36-'[7]FORMATO FINANCIERO'!H36</f>
        <v>-9000000</v>
      </c>
      <c r="K22" s="49" t="s">
        <v>3940</v>
      </c>
      <c r="L22" s="514">
        <v>70</v>
      </c>
      <c r="M22" s="514">
        <v>70</v>
      </c>
      <c r="N22" s="10"/>
      <c r="O22" s="514">
        <v>69</v>
      </c>
      <c r="P22" s="514">
        <v>70</v>
      </c>
      <c r="Q22" s="10"/>
      <c r="R22" s="16"/>
      <c r="U22" s="17"/>
    </row>
    <row r="23" spans="1:21" ht="38.25" x14ac:dyDescent="0.25">
      <c r="A23" s="10"/>
      <c r="B23" s="10"/>
      <c r="C23" s="10"/>
      <c r="D23" s="10"/>
      <c r="E23" s="10"/>
      <c r="F23" s="10"/>
      <c r="G23" s="10"/>
      <c r="H23" s="10"/>
      <c r="I23" s="10"/>
      <c r="J23" s="10"/>
      <c r="K23" s="49" t="s">
        <v>3941</v>
      </c>
      <c r="L23" s="514">
        <v>5</v>
      </c>
      <c r="M23" s="514">
        <v>5</v>
      </c>
      <c r="N23" s="10"/>
      <c r="O23" s="514">
        <v>5</v>
      </c>
      <c r="P23" s="514">
        <v>5</v>
      </c>
      <c r="Q23" s="10"/>
      <c r="R23" s="16"/>
      <c r="U23" s="17"/>
    </row>
    <row r="24" spans="1:21" ht="25.5" x14ac:dyDescent="0.25">
      <c r="A24" s="10"/>
      <c r="B24" s="10"/>
      <c r="C24" s="10"/>
      <c r="D24" s="10"/>
      <c r="E24" s="10"/>
      <c r="F24" s="10"/>
      <c r="G24" s="10"/>
      <c r="H24" s="10"/>
      <c r="I24" s="10"/>
      <c r="J24" s="10"/>
      <c r="K24" s="49" t="s">
        <v>3942</v>
      </c>
      <c r="L24" s="514">
        <v>60</v>
      </c>
      <c r="M24" s="514">
        <v>60</v>
      </c>
      <c r="N24" s="10"/>
      <c r="O24" s="514">
        <v>0</v>
      </c>
      <c r="P24" s="514">
        <v>135</v>
      </c>
      <c r="Q24" s="10"/>
      <c r="R24" s="16"/>
      <c r="U24" s="17"/>
    </row>
    <row r="25" spans="1:21" ht="38.25" x14ac:dyDescent="0.25">
      <c r="A25" s="10"/>
      <c r="B25" s="10"/>
      <c r="C25" s="10"/>
      <c r="D25" s="10"/>
      <c r="E25" s="10"/>
      <c r="F25" s="10"/>
      <c r="G25" s="10"/>
      <c r="H25" s="10"/>
      <c r="I25" s="10"/>
      <c r="J25" s="10"/>
      <c r="K25" s="49" t="s">
        <v>3943</v>
      </c>
      <c r="L25" s="514">
        <v>20</v>
      </c>
      <c r="M25" s="514">
        <v>20</v>
      </c>
      <c r="N25" s="10"/>
      <c r="O25" s="514">
        <v>10</v>
      </c>
      <c r="P25" s="514">
        <v>13</v>
      </c>
      <c r="Q25" s="10"/>
      <c r="R25" s="16"/>
      <c r="U25" s="17"/>
    </row>
    <row r="26" spans="1:21" ht="63.75" x14ac:dyDescent="0.25">
      <c r="A26" s="10"/>
      <c r="B26" s="10"/>
      <c r="C26" s="10"/>
      <c r="D26" s="10"/>
      <c r="E26" s="10"/>
      <c r="F26" s="10"/>
      <c r="G26" s="10"/>
      <c r="H26" s="10"/>
      <c r="I26" s="10"/>
      <c r="J26" s="10"/>
      <c r="K26" s="49" t="s">
        <v>3944</v>
      </c>
      <c r="L26" s="514">
        <v>6</v>
      </c>
      <c r="M26" s="514">
        <v>6</v>
      </c>
      <c r="N26" s="10"/>
      <c r="O26" s="514">
        <v>0</v>
      </c>
      <c r="P26" s="514">
        <v>0</v>
      </c>
      <c r="Q26" s="49" t="s">
        <v>3945</v>
      </c>
      <c r="R26" s="16"/>
      <c r="U26" s="17"/>
    </row>
    <row r="27" spans="1:21" ht="25.5" x14ac:dyDescent="0.25">
      <c r="A27" s="10"/>
      <c r="B27" s="10"/>
      <c r="C27" s="10"/>
      <c r="D27" s="10"/>
      <c r="E27" s="10"/>
      <c r="F27" s="10"/>
      <c r="G27" s="10"/>
      <c r="H27" s="10"/>
      <c r="I27" s="10"/>
      <c r="J27" s="10"/>
      <c r="K27" s="49" t="s">
        <v>3946</v>
      </c>
      <c r="L27" s="514">
        <v>12</v>
      </c>
      <c r="M27" s="514">
        <v>12</v>
      </c>
      <c r="N27" s="10"/>
      <c r="O27" s="514">
        <v>16</v>
      </c>
      <c r="P27" s="514">
        <v>16</v>
      </c>
      <c r="Q27" s="10"/>
      <c r="R27" s="16"/>
      <c r="U27" s="17"/>
    </row>
    <row r="28" spans="1:21" ht="38.25" x14ac:dyDescent="0.25">
      <c r="A28" s="10"/>
      <c r="B28" s="10"/>
      <c r="C28" s="10"/>
      <c r="D28" s="10"/>
      <c r="E28" s="10"/>
      <c r="F28" s="10"/>
      <c r="G28" s="10"/>
      <c r="H28" s="10"/>
      <c r="I28" s="10"/>
      <c r="J28" s="10"/>
      <c r="K28" s="49" t="s">
        <v>3947</v>
      </c>
      <c r="L28" s="514">
        <v>100</v>
      </c>
      <c r="M28" s="514">
        <v>100</v>
      </c>
      <c r="N28" s="10"/>
      <c r="O28" s="514">
        <v>0</v>
      </c>
      <c r="P28" s="514">
        <v>100</v>
      </c>
      <c r="Q28" s="10"/>
      <c r="R28" s="16"/>
      <c r="U28" s="17"/>
    </row>
  </sheetData>
  <sheetProtection algorithmName="SHA-512" hashValue="RKbfH8stNNWwhAkq4l7EaIA7ne82XZztUf5FiAserOXOuKgYB8wZChSyxKlIOa33di9m3j5i/B7K95bS1JyK5A==" saltValue="StJLNCCmllNBvaFtYAh7tQ=="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48" bottom="0.6" header="0.3" footer="0.3"/>
  <pageSetup orientation="portrait" horizontalDpi="4294967295" verticalDpi="4294967295"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207"/>
  <sheetViews>
    <sheetView topLeftCell="U7" zoomScale="90" zoomScaleNormal="90" workbookViewId="0">
      <pane ySplit="2" topLeftCell="A140" activePane="bottomLeft" state="frozen"/>
      <selection activeCell="A7" sqref="A7"/>
      <selection pane="bottomLeft" activeCell="W141" sqref="W141"/>
    </sheetView>
  </sheetViews>
  <sheetFormatPr baseColWidth="10" defaultColWidth="19.85546875" defaultRowHeight="15" x14ac:dyDescent="0.25"/>
  <cols>
    <col min="1" max="7" width="19.85546875" style="1"/>
    <col min="8" max="18" width="19.85546875" style="1" customWidth="1"/>
    <col min="19" max="20" width="19.85546875" style="1"/>
    <col min="21" max="21" width="22" style="1" bestFit="1" customWidth="1"/>
    <col min="22" max="22" width="13" style="1" customWidth="1"/>
    <col min="23" max="24" width="17.140625" style="1" customWidth="1"/>
    <col min="25" max="25" width="17.85546875" style="1" customWidth="1"/>
    <col min="26" max="29" width="19.85546875" style="1"/>
    <col min="30" max="30" width="25.14062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9.85546875" style="1"/>
  </cols>
  <sheetData>
    <row r="1" spans="1:43" x14ac:dyDescent="0.25">
      <c r="A1" s="605" t="s">
        <v>0</v>
      </c>
      <c r="B1" s="605"/>
      <c r="C1" s="605"/>
      <c r="D1" s="605"/>
      <c r="E1" s="605"/>
      <c r="F1" s="605"/>
      <c r="G1" s="605"/>
      <c r="H1" s="605"/>
      <c r="I1" s="605"/>
      <c r="J1" s="605"/>
      <c r="K1" s="605"/>
      <c r="L1" s="605"/>
      <c r="M1" s="605"/>
      <c r="N1" s="605"/>
      <c r="O1" s="605"/>
      <c r="P1" s="605"/>
    </row>
    <row r="2" spans="1:43" x14ac:dyDescent="0.25">
      <c r="A2" s="605" t="s">
        <v>1</v>
      </c>
      <c r="B2" s="605"/>
      <c r="C2" s="605"/>
      <c r="D2" s="605"/>
      <c r="E2" s="605"/>
      <c r="F2" s="605"/>
      <c r="G2" s="605"/>
      <c r="H2" s="605"/>
      <c r="I2" s="605"/>
      <c r="J2" s="605"/>
      <c r="K2" s="605"/>
      <c r="L2" s="605"/>
      <c r="M2" s="605"/>
      <c r="N2" s="605"/>
      <c r="O2" s="605"/>
      <c r="P2" s="605"/>
    </row>
    <row r="3" spans="1:43" x14ac:dyDescent="0.25">
      <c r="A3" s="605" t="s">
        <v>61</v>
      </c>
      <c r="B3" s="605"/>
      <c r="C3" s="605"/>
      <c r="D3" s="605"/>
      <c r="E3" s="605"/>
      <c r="F3" s="605"/>
      <c r="G3" s="605"/>
      <c r="H3" s="605"/>
      <c r="I3" s="605"/>
      <c r="J3" s="605"/>
      <c r="K3" s="605"/>
      <c r="L3" s="605"/>
      <c r="M3" s="605"/>
      <c r="N3" s="605"/>
      <c r="O3" s="605"/>
      <c r="P3" s="605"/>
    </row>
    <row r="4" spans="1:43" x14ac:dyDescent="0.25">
      <c r="A4" s="605">
        <v>2013</v>
      </c>
      <c r="B4" s="605"/>
      <c r="C4" s="605"/>
      <c r="D4" s="605"/>
      <c r="E4" s="605"/>
      <c r="F4" s="605"/>
      <c r="G4" s="605"/>
      <c r="H4" s="605"/>
      <c r="I4" s="605"/>
      <c r="J4" s="605"/>
      <c r="K4" s="605"/>
      <c r="L4" s="605"/>
      <c r="M4" s="605"/>
      <c r="N4" s="605"/>
      <c r="O4" s="605"/>
      <c r="P4" s="605"/>
    </row>
    <row r="5" spans="1:43" x14ac:dyDescent="0.25">
      <c r="A5" s="606" t="s">
        <v>4</v>
      </c>
      <c r="B5" s="606"/>
      <c r="C5" s="24" t="s">
        <v>3255</v>
      </c>
      <c r="D5" s="24"/>
      <c r="E5" s="24"/>
      <c r="F5" s="24"/>
      <c r="G5" s="24"/>
      <c r="H5" s="24"/>
      <c r="I5" s="25"/>
      <c r="J5" s="25"/>
      <c r="K5" s="24"/>
      <c r="L5" s="25"/>
      <c r="M5" s="25"/>
      <c r="N5" s="25"/>
      <c r="O5" s="25"/>
      <c r="P5" s="25"/>
      <c r="Q5" s="27"/>
      <c r="R5" s="27"/>
      <c r="S5" s="27"/>
      <c r="T5" s="27"/>
      <c r="U5" s="27"/>
      <c r="V5" s="27"/>
      <c r="W5" s="27"/>
      <c r="X5" s="27"/>
      <c r="Y5" s="27"/>
      <c r="Z5" s="27"/>
      <c r="AA5" s="27"/>
      <c r="AB5" s="27"/>
      <c r="AC5" s="27"/>
      <c r="AD5" s="27"/>
    </row>
    <row r="7" spans="1:43" s="29" customFormat="1" ht="14.25" customHeight="1" x14ac:dyDescent="0.2">
      <c r="A7" s="603" t="s">
        <v>6</v>
      </c>
      <c r="B7" s="603" t="s">
        <v>7</v>
      </c>
      <c r="C7" s="603" t="s">
        <v>8</v>
      </c>
      <c r="D7" s="603" t="s">
        <v>9</v>
      </c>
      <c r="E7" s="603" t="s">
        <v>11</v>
      </c>
      <c r="F7" s="603" t="s">
        <v>12</v>
      </c>
      <c r="G7" s="603" t="s">
        <v>13</v>
      </c>
      <c r="H7" s="603" t="s">
        <v>62</v>
      </c>
      <c r="I7" s="607" t="s">
        <v>3576</v>
      </c>
      <c r="J7" s="607" t="s">
        <v>64</v>
      </c>
      <c r="K7" s="603" t="s">
        <v>65</v>
      </c>
      <c r="L7" s="603" t="s">
        <v>66</v>
      </c>
      <c r="M7" s="607" t="s">
        <v>67</v>
      </c>
      <c r="N7" s="603" t="s">
        <v>68</v>
      </c>
      <c r="O7" s="607" t="s">
        <v>69</v>
      </c>
      <c r="P7" s="607" t="s">
        <v>70</v>
      </c>
      <c r="Q7" s="603" t="s">
        <v>71</v>
      </c>
      <c r="R7" s="603" t="s">
        <v>72</v>
      </c>
      <c r="S7" s="603" t="s">
        <v>73</v>
      </c>
      <c r="T7" s="610" t="s">
        <v>74</v>
      </c>
      <c r="U7" s="611"/>
      <c r="V7" s="611"/>
      <c r="W7" s="611"/>
      <c r="X7" s="611"/>
      <c r="Y7" s="611"/>
      <c r="Z7" s="611"/>
      <c r="AA7" s="611"/>
      <c r="AB7" s="611"/>
      <c r="AC7" s="611"/>
      <c r="AD7" s="30" t="s">
        <v>22</v>
      </c>
      <c r="AE7" s="614" t="s">
        <v>75</v>
      </c>
      <c r="AF7" s="615"/>
      <c r="AG7" s="615"/>
      <c r="AH7" s="615"/>
      <c r="AI7" s="615"/>
      <c r="AJ7" s="615"/>
      <c r="AK7" s="615"/>
      <c r="AL7" s="615"/>
      <c r="AM7" s="615"/>
      <c r="AN7" s="615"/>
      <c r="AO7" s="615"/>
      <c r="AP7" s="616"/>
    </row>
    <row r="8" spans="1:43" ht="36" x14ac:dyDescent="0.25">
      <c r="A8" s="604"/>
      <c r="B8" s="604"/>
      <c r="C8" s="604"/>
      <c r="D8" s="604"/>
      <c r="E8" s="604"/>
      <c r="F8" s="604"/>
      <c r="G8" s="604"/>
      <c r="H8" s="604"/>
      <c r="I8" s="608"/>
      <c r="J8" s="608"/>
      <c r="K8" s="604"/>
      <c r="L8" s="604"/>
      <c r="M8" s="608"/>
      <c r="N8" s="604"/>
      <c r="O8" s="608"/>
      <c r="P8" s="608"/>
      <c r="Q8" s="604"/>
      <c r="R8" s="604"/>
      <c r="S8" s="609"/>
      <c r="T8" s="30" t="s">
        <v>76</v>
      </c>
      <c r="U8" s="30" t="s">
        <v>77</v>
      </c>
      <c r="V8" s="30" t="s">
        <v>78</v>
      </c>
      <c r="W8" s="30" t="s">
        <v>79</v>
      </c>
      <c r="X8" s="30" t="s">
        <v>80</v>
      </c>
      <c r="Y8" s="30" t="s">
        <v>81</v>
      </c>
      <c r="Z8" s="31" t="s">
        <v>82</v>
      </c>
      <c r="AA8" s="32" t="s">
        <v>83</v>
      </c>
      <c r="AB8" s="30" t="s">
        <v>84</v>
      </c>
      <c r="AC8" s="31" t="s">
        <v>85</v>
      </c>
      <c r="AD8" s="30"/>
      <c r="AE8" s="33" t="s">
        <v>86</v>
      </c>
      <c r="AF8" s="33" t="s">
        <v>87</v>
      </c>
      <c r="AG8" s="33" t="s">
        <v>88</v>
      </c>
      <c r="AH8" s="33" t="s">
        <v>89</v>
      </c>
      <c r="AI8" s="33" t="s">
        <v>90</v>
      </c>
      <c r="AJ8" s="33" t="s">
        <v>91</v>
      </c>
      <c r="AK8" s="33" t="s">
        <v>92</v>
      </c>
      <c r="AL8" s="33" t="s">
        <v>93</v>
      </c>
      <c r="AM8" s="33" t="s">
        <v>94</v>
      </c>
      <c r="AN8" s="33" t="s">
        <v>95</v>
      </c>
      <c r="AO8" s="33" t="s">
        <v>96</v>
      </c>
      <c r="AP8" s="33" t="s">
        <v>97</v>
      </c>
    </row>
    <row r="9" spans="1:43" ht="72" x14ac:dyDescent="0.25">
      <c r="A9" s="10" t="s">
        <v>23</v>
      </c>
      <c r="B9" s="10" t="s">
        <v>142</v>
      </c>
      <c r="C9" s="10" t="s">
        <v>150</v>
      </c>
      <c r="D9" s="10">
        <v>212360000</v>
      </c>
      <c r="E9" s="74" t="s">
        <v>3257</v>
      </c>
      <c r="F9" s="34">
        <v>22329001</v>
      </c>
      <c r="G9" s="34" t="s">
        <v>3258</v>
      </c>
      <c r="H9" s="36">
        <v>200000000</v>
      </c>
      <c r="I9" s="36">
        <v>200000000</v>
      </c>
      <c r="J9" s="36">
        <v>135000000</v>
      </c>
      <c r="K9" s="36">
        <v>0</v>
      </c>
      <c r="L9" s="36"/>
      <c r="M9" s="36"/>
      <c r="N9" s="36">
        <f t="shared" ref="N9:P40" si="0">H9+K9</f>
        <v>200000000</v>
      </c>
      <c r="O9" s="36">
        <f t="shared" si="0"/>
        <v>200000000</v>
      </c>
      <c r="P9" s="36">
        <f t="shared" si="0"/>
        <v>135000000</v>
      </c>
      <c r="Q9" s="36">
        <v>135000000</v>
      </c>
      <c r="R9" s="36"/>
      <c r="S9" s="36">
        <f t="shared" ref="S9:S72" si="1">Q9+R9</f>
        <v>135000000</v>
      </c>
      <c r="T9" s="37">
        <v>0</v>
      </c>
      <c r="U9" s="37">
        <v>0</v>
      </c>
      <c r="V9" s="37">
        <v>0</v>
      </c>
      <c r="W9" s="34"/>
      <c r="X9" s="34"/>
      <c r="Y9" s="34"/>
      <c r="Z9" s="34"/>
      <c r="AA9" s="34">
        <v>0</v>
      </c>
      <c r="AB9" s="34"/>
      <c r="AC9" s="510"/>
      <c r="AD9" s="10"/>
      <c r="AE9" s="10"/>
      <c r="AF9" s="10"/>
      <c r="AG9" s="124"/>
      <c r="AH9" s="124"/>
      <c r="AI9" s="124"/>
      <c r="AJ9" s="124"/>
      <c r="AK9" s="124"/>
      <c r="AL9" s="124"/>
      <c r="AM9" s="124"/>
      <c r="AN9" s="124"/>
      <c r="AO9" s="124"/>
      <c r="AP9" s="124"/>
      <c r="AQ9" s="155"/>
    </row>
    <row r="10" spans="1:43" ht="105" x14ac:dyDescent="0.25">
      <c r="A10" s="34"/>
      <c r="B10" s="34"/>
      <c r="C10" s="34"/>
      <c r="D10" s="34"/>
      <c r="E10" s="74"/>
      <c r="F10" s="34"/>
      <c r="G10" s="34"/>
      <c r="H10" s="36"/>
      <c r="I10" s="39"/>
      <c r="J10" s="39"/>
      <c r="K10" s="39"/>
      <c r="L10" s="39"/>
      <c r="M10" s="39"/>
      <c r="N10" s="36">
        <f t="shared" si="0"/>
        <v>0</v>
      </c>
      <c r="O10" s="36">
        <f t="shared" si="0"/>
        <v>0</v>
      </c>
      <c r="P10" s="36">
        <f t="shared" si="0"/>
        <v>0</v>
      </c>
      <c r="Q10" s="39"/>
      <c r="R10" s="39"/>
      <c r="S10" s="36">
        <f t="shared" si="1"/>
        <v>0</v>
      </c>
      <c r="T10" s="37" t="s">
        <v>3577</v>
      </c>
      <c r="U10" s="37" t="s">
        <v>3578</v>
      </c>
      <c r="V10" s="37">
        <v>12</v>
      </c>
      <c r="W10" s="10">
        <v>0</v>
      </c>
      <c r="X10" s="10"/>
      <c r="Y10" s="10">
        <v>0</v>
      </c>
      <c r="Z10" s="34">
        <v>0</v>
      </c>
      <c r="AA10" s="34">
        <v>36</v>
      </c>
      <c r="AB10" s="10">
        <v>0</v>
      </c>
      <c r="AC10" s="10">
        <v>0</v>
      </c>
      <c r="AD10" s="10" t="s">
        <v>3579</v>
      </c>
      <c r="AE10" s="10"/>
      <c r="AF10" s="10"/>
      <c r="AG10" s="124" t="s">
        <v>218</v>
      </c>
      <c r="AH10" s="124" t="s">
        <v>218</v>
      </c>
      <c r="AI10" s="124" t="s">
        <v>218</v>
      </c>
      <c r="AJ10" s="124" t="s">
        <v>218</v>
      </c>
      <c r="AK10" s="124"/>
      <c r="AL10" s="124"/>
      <c r="AM10" s="124"/>
      <c r="AN10" s="124"/>
      <c r="AO10" s="124"/>
      <c r="AP10" s="124"/>
    </row>
    <row r="11" spans="1:43" ht="120" x14ac:dyDescent="0.25">
      <c r="A11" s="34"/>
      <c r="B11" s="34"/>
      <c r="C11" s="34"/>
      <c r="D11" s="34"/>
      <c r="E11" s="74"/>
      <c r="F11" s="34"/>
      <c r="G11" s="34"/>
      <c r="H11" s="36"/>
      <c r="I11" s="39"/>
      <c r="J11" s="39"/>
      <c r="K11" s="39"/>
      <c r="L11" s="39"/>
      <c r="M11" s="39"/>
      <c r="N11" s="36">
        <f t="shared" si="0"/>
        <v>0</v>
      </c>
      <c r="O11" s="36">
        <f t="shared" si="0"/>
        <v>0</v>
      </c>
      <c r="P11" s="36">
        <f t="shared" si="0"/>
        <v>0</v>
      </c>
      <c r="Q11" s="39"/>
      <c r="R11" s="39"/>
      <c r="S11" s="36">
        <f t="shared" si="1"/>
        <v>0</v>
      </c>
      <c r="T11" s="37" t="s">
        <v>3580</v>
      </c>
      <c r="U11" s="37" t="s">
        <v>3578</v>
      </c>
      <c r="V11" s="37">
        <v>2</v>
      </c>
      <c r="W11" s="10">
        <v>5</v>
      </c>
      <c r="X11" s="10"/>
      <c r="Y11" s="10">
        <v>2</v>
      </c>
      <c r="Z11" s="34">
        <v>2</v>
      </c>
      <c r="AA11" s="34">
        <v>10</v>
      </c>
      <c r="AB11" s="10">
        <v>10</v>
      </c>
      <c r="AC11" s="10">
        <v>30</v>
      </c>
      <c r="AD11" s="10" t="s">
        <v>3581</v>
      </c>
      <c r="AE11" s="10" t="s">
        <v>218</v>
      </c>
      <c r="AF11" s="10" t="s">
        <v>218</v>
      </c>
      <c r="AG11" s="124" t="s">
        <v>218</v>
      </c>
      <c r="AH11" s="124"/>
      <c r="AI11" s="124"/>
      <c r="AJ11" s="124"/>
      <c r="AK11" s="124"/>
      <c r="AL11" s="124"/>
      <c r="AM11" s="124"/>
      <c r="AN11" s="124"/>
      <c r="AO11" s="124"/>
      <c r="AP11" s="124"/>
    </row>
    <row r="12" spans="1:43" ht="108" x14ac:dyDescent="0.25">
      <c r="A12" s="10" t="s">
        <v>23</v>
      </c>
      <c r="B12" s="10" t="s">
        <v>3261</v>
      </c>
      <c r="C12" s="10" t="s">
        <v>3262</v>
      </c>
      <c r="D12" s="10">
        <v>213110007</v>
      </c>
      <c r="E12" s="74" t="s">
        <v>3264</v>
      </c>
      <c r="F12" s="34">
        <v>22137001</v>
      </c>
      <c r="G12" s="34" t="s">
        <v>3265</v>
      </c>
      <c r="H12" s="36">
        <v>300000000</v>
      </c>
      <c r="I12" s="255">
        <v>517241379</v>
      </c>
      <c r="J12" s="39">
        <v>511741379</v>
      </c>
      <c r="K12" s="39"/>
      <c r="L12" s="39"/>
      <c r="M12" s="39"/>
      <c r="N12" s="36">
        <f t="shared" si="0"/>
        <v>300000000</v>
      </c>
      <c r="O12" s="36">
        <f t="shared" si="0"/>
        <v>517241379</v>
      </c>
      <c r="P12" s="36">
        <f t="shared" si="0"/>
        <v>511741379</v>
      </c>
      <c r="Q12" s="39">
        <v>436560353</v>
      </c>
      <c r="R12" s="39"/>
      <c r="S12" s="36">
        <f t="shared" si="1"/>
        <v>436560353</v>
      </c>
      <c r="T12" s="37">
        <v>0</v>
      </c>
      <c r="U12" s="37">
        <v>0</v>
      </c>
      <c r="V12" s="37">
        <v>0</v>
      </c>
      <c r="W12" s="10"/>
      <c r="X12" s="10"/>
      <c r="Y12" s="10"/>
      <c r="Z12" s="10"/>
      <c r="AA12" s="34"/>
      <c r="AB12" s="10"/>
      <c r="AC12" s="10"/>
      <c r="AD12" s="10"/>
      <c r="AE12" s="10"/>
      <c r="AF12" s="10"/>
      <c r="AG12" s="124"/>
      <c r="AH12" s="124"/>
      <c r="AI12" s="124"/>
      <c r="AJ12" s="124"/>
      <c r="AK12" s="124"/>
      <c r="AL12" s="124"/>
      <c r="AM12" s="124"/>
      <c r="AN12" s="124"/>
      <c r="AO12" s="124"/>
      <c r="AP12" s="124"/>
      <c r="AQ12" s="155"/>
    </row>
    <row r="13" spans="1:43" ht="36" x14ac:dyDescent="0.25">
      <c r="A13" s="34"/>
      <c r="B13" s="34"/>
      <c r="C13" s="34"/>
      <c r="D13" s="34"/>
      <c r="E13" s="74"/>
      <c r="F13" s="34"/>
      <c r="G13" s="34"/>
      <c r="H13" s="36"/>
      <c r="I13" s="255"/>
      <c r="J13" s="39"/>
      <c r="K13" s="39"/>
      <c r="L13" s="39"/>
      <c r="M13" s="39"/>
      <c r="N13" s="36">
        <f t="shared" si="0"/>
        <v>0</v>
      </c>
      <c r="O13" s="36">
        <f t="shared" si="0"/>
        <v>0</v>
      </c>
      <c r="P13" s="36">
        <f t="shared" si="0"/>
        <v>0</v>
      </c>
      <c r="Q13" s="39"/>
      <c r="R13" s="39"/>
      <c r="S13" s="36">
        <f t="shared" si="1"/>
        <v>0</v>
      </c>
      <c r="T13" s="37" t="s">
        <v>3582</v>
      </c>
      <c r="U13" s="37" t="s">
        <v>1116</v>
      </c>
      <c r="V13" s="37">
        <v>24</v>
      </c>
      <c r="W13" s="10">
        <v>24</v>
      </c>
      <c r="X13" s="10"/>
      <c r="Y13" s="10">
        <v>0</v>
      </c>
      <c r="Z13" s="10">
        <v>32</v>
      </c>
      <c r="AA13" s="34">
        <v>270</v>
      </c>
      <c r="AB13" s="10">
        <v>0</v>
      </c>
      <c r="AC13" s="10">
        <v>120</v>
      </c>
      <c r="AD13" s="10"/>
      <c r="AE13" s="10"/>
      <c r="AF13" s="10"/>
      <c r="AG13" s="124" t="s">
        <v>218</v>
      </c>
      <c r="AH13" s="124" t="s">
        <v>218</v>
      </c>
      <c r="AI13" s="124" t="s">
        <v>218</v>
      </c>
      <c r="AJ13" s="124" t="s">
        <v>218</v>
      </c>
      <c r="AK13" s="124" t="s">
        <v>218</v>
      </c>
      <c r="AL13" s="124" t="s">
        <v>218</v>
      </c>
      <c r="AM13" s="124" t="s">
        <v>218</v>
      </c>
      <c r="AN13" s="124" t="s">
        <v>218</v>
      </c>
      <c r="AO13" s="124" t="s">
        <v>218</v>
      </c>
      <c r="AP13" s="124"/>
    </row>
    <row r="14" spans="1:43" ht="36" x14ac:dyDescent="0.25">
      <c r="A14" s="34"/>
      <c r="B14" s="34"/>
      <c r="C14" s="34"/>
      <c r="D14" s="34"/>
      <c r="E14" s="74"/>
      <c r="F14" s="34"/>
      <c r="G14" s="34"/>
      <c r="H14" s="36"/>
      <c r="I14" s="255"/>
      <c r="J14" s="39"/>
      <c r="K14" s="39"/>
      <c r="L14" s="39"/>
      <c r="M14" s="39"/>
      <c r="N14" s="36">
        <f t="shared" si="0"/>
        <v>0</v>
      </c>
      <c r="O14" s="36">
        <f t="shared" si="0"/>
        <v>0</v>
      </c>
      <c r="P14" s="36">
        <f t="shared" si="0"/>
        <v>0</v>
      </c>
      <c r="Q14" s="39"/>
      <c r="R14" s="39"/>
      <c r="S14" s="36">
        <f t="shared" si="1"/>
        <v>0</v>
      </c>
      <c r="T14" s="37" t="s">
        <v>3583</v>
      </c>
      <c r="U14" s="37" t="s">
        <v>3584</v>
      </c>
      <c r="V14" s="37">
        <v>4</v>
      </c>
      <c r="W14" s="10">
        <v>4</v>
      </c>
      <c r="X14" s="10"/>
      <c r="Y14" s="10">
        <v>0</v>
      </c>
      <c r="Z14" s="10">
        <v>8</v>
      </c>
      <c r="AA14" s="34">
        <v>270</v>
      </c>
      <c r="AB14" s="10">
        <v>0</v>
      </c>
      <c r="AC14" s="10">
        <v>120</v>
      </c>
      <c r="AD14" s="10"/>
      <c r="AE14" s="10"/>
      <c r="AF14" s="10"/>
      <c r="AG14" s="124" t="s">
        <v>218</v>
      </c>
      <c r="AH14" s="124" t="s">
        <v>218</v>
      </c>
      <c r="AI14" s="124" t="s">
        <v>218</v>
      </c>
      <c r="AJ14" s="124" t="s">
        <v>218</v>
      </c>
      <c r="AK14" s="124" t="s">
        <v>218</v>
      </c>
      <c r="AL14" s="124" t="s">
        <v>218</v>
      </c>
      <c r="AM14" s="124" t="s">
        <v>218</v>
      </c>
      <c r="AN14" s="124" t="s">
        <v>218</v>
      </c>
      <c r="AO14" s="124" t="s">
        <v>218</v>
      </c>
      <c r="AP14" s="124"/>
    </row>
    <row r="15" spans="1:43" ht="60" x14ac:dyDescent="0.25">
      <c r="A15" s="34"/>
      <c r="B15" s="34"/>
      <c r="C15" s="34"/>
      <c r="D15" s="34"/>
      <c r="E15" s="74"/>
      <c r="F15" s="34"/>
      <c r="G15" s="34"/>
      <c r="H15" s="36"/>
      <c r="I15" s="255"/>
      <c r="J15" s="39"/>
      <c r="K15" s="39"/>
      <c r="L15" s="39"/>
      <c r="M15" s="39"/>
      <c r="N15" s="36">
        <f t="shared" si="0"/>
        <v>0</v>
      </c>
      <c r="O15" s="36">
        <f t="shared" si="0"/>
        <v>0</v>
      </c>
      <c r="P15" s="36">
        <f t="shared" si="0"/>
        <v>0</v>
      </c>
      <c r="Q15" s="39"/>
      <c r="R15" s="39"/>
      <c r="S15" s="36">
        <f t="shared" si="1"/>
        <v>0</v>
      </c>
      <c r="T15" s="37" t="s">
        <v>3585</v>
      </c>
      <c r="U15" s="37" t="s">
        <v>3584</v>
      </c>
      <c r="V15" s="37">
        <v>8</v>
      </c>
      <c r="W15" s="10">
        <v>30</v>
      </c>
      <c r="X15" s="10"/>
      <c r="Y15" s="10">
        <v>0</v>
      </c>
      <c r="Z15" s="10">
        <v>38</v>
      </c>
      <c r="AA15" s="34">
        <v>270</v>
      </c>
      <c r="AB15" s="10">
        <v>0</v>
      </c>
      <c r="AC15" s="10">
        <v>120</v>
      </c>
      <c r="AD15" s="10" t="s">
        <v>3586</v>
      </c>
      <c r="AE15" s="10"/>
      <c r="AF15" s="10"/>
      <c r="AG15" s="124" t="s">
        <v>218</v>
      </c>
      <c r="AH15" s="124" t="s">
        <v>218</v>
      </c>
      <c r="AI15" s="124" t="s">
        <v>218</v>
      </c>
      <c r="AJ15" s="124" t="s">
        <v>218</v>
      </c>
      <c r="AK15" s="124" t="s">
        <v>218</v>
      </c>
      <c r="AL15" s="124" t="s">
        <v>218</v>
      </c>
      <c r="AM15" s="124" t="s">
        <v>218</v>
      </c>
      <c r="AN15" s="124" t="s">
        <v>218</v>
      </c>
      <c r="AO15" s="124" t="s">
        <v>218</v>
      </c>
      <c r="AP15" s="124"/>
    </row>
    <row r="16" spans="1:43" ht="72" x14ac:dyDescent="0.25">
      <c r="A16" s="10" t="s">
        <v>23</v>
      </c>
      <c r="B16" s="10" t="s">
        <v>3261</v>
      </c>
      <c r="C16" s="10" t="s">
        <v>3262</v>
      </c>
      <c r="D16" s="10">
        <v>213120007</v>
      </c>
      <c r="E16" s="74" t="s">
        <v>3272</v>
      </c>
      <c r="F16" s="34">
        <v>22138001</v>
      </c>
      <c r="G16" s="34" t="s">
        <v>3273</v>
      </c>
      <c r="H16" s="36">
        <v>150000000</v>
      </c>
      <c r="I16" s="255">
        <v>258620690</v>
      </c>
      <c r="J16" s="39">
        <v>258620690</v>
      </c>
      <c r="K16" s="39"/>
      <c r="L16" s="39"/>
      <c r="M16" s="39"/>
      <c r="N16" s="36">
        <f t="shared" si="0"/>
        <v>150000000</v>
      </c>
      <c r="O16" s="36">
        <f t="shared" si="0"/>
        <v>258620690</v>
      </c>
      <c r="P16" s="36">
        <f t="shared" si="0"/>
        <v>258620690</v>
      </c>
      <c r="Q16" s="39">
        <v>150000000</v>
      </c>
      <c r="R16" s="39">
        <v>150000000</v>
      </c>
      <c r="S16" s="36">
        <f t="shared" si="1"/>
        <v>300000000</v>
      </c>
      <c r="T16" s="37">
        <v>0</v>
      </c>
      <c r="U16" s="37">
        <v>0</v>
      </c>
      <c r="V16" s="37">
        <v>0</v>
      </c>
      <c r="W16" s="10"/>
      <c r="X16" s="10"/>
      <c r="Y16" s="10"/>
      <c r="Z16" s="10"/>
      <c r="AA16" s="34">
        <v>0</v>
      </c>
      <c r="AB16" s="10"/>
      <c r="AC16" s="10"/>
      <c r="AD16" s="10"/>
      <c r="AE16" s="10"/>
      <c r="AF16" s="10"/>
      <c r="AG16" s="124"/>
      <c r="AH16" s="124"/>
      <c r="AI16" s="124"/>
      <c r="AJ16" s="124"/>
      <c r="AK16" s="124"/>
      <c r="AL16" s="124"/>
      <c r="AM16" s="124"/>
      <c r="AN16" s="124"/>
      <c r="AO16" s="124"/>
      <c r="AP16" s="124"/>
      <c r="AQ16" s="155"/>
    </row>
    <row r="17" spans="1:43" ht="48" x14ac:dyDescent="0.25">
      <c r="A17" s="34"/>
      <c r="B17" s="34"/>
      <c r="C17" s="34"/>
      <c r="D17" s="34"/>
      <c r="E17" s="74"/>
      <c r="F17" s="34"/>
      <c r="G17" s="34"/>
      <c r="H17" s="36"/>
      <c r="I17" s="255"/>
      <c r="J17" s="39"/>
      <c r="K17" s="39"/>
      <c r="L17" s="39"/>
      <c r="M17" s="39"/>
      <c r="N17" s="36">
        <f t="shared" si="0"/>
        <v>0</v>
      </c>
      <c r="O17" s="36">
        <f t="shared" si="0"/>
        <v>0</v>
      </c>
      <c r="P17" s="36">
        <f t="shared" si="0"/>
        <v>0</v>
      </c>
      <c r="Q17" s="39"/>
      <c r="R17" s="39"/>
      <c r="S17" s="36">
        <f t="shared" si="1"/>
        <v>0</v>
      </c>
      <c r="T17" s="37" t="s">
        <v>3587</v>
      </c>
      <c r="U17" s="37" t="s">
        <v>1116</v>
      </c>
      <c r="V17" s="37">
        <v>8</v>
      </c>
      <c r="W17" s="10">
        <v>8</v>
      </c>
      <c r="X17" s="10"/>
      <c r="Y17" s="10">
        <v>0</v>
      </c>
      <c r="Z17" s="10">
        <v>13</v>
      </c>
      <c r="AA17" s="34">
        <v>270</v>
      </c>
      <c r="AB17" s="10">
        <v>0</v>
      </c>
      <c r="AC17" s="10">
        <v>120</v>
      </c>
      <c r="AD17" s="10"/>
      <c r="AE17" s="10"/>
      <c r="AF17" s="10"/>
      <c r="AG17" s="124" t="s">
        <v>218</v>
      </c>
      <c r="AH17" s="124" t="s">
        <v>218</v>
      </c>
      <c r="AI17" s="124" t="s">
        <v>218</v>
      </c>
      <c r="AJ17" s="124" t="s">
        <v>218</v>
      </c>
      <c r="AK17" s="124" t="s">
        <v>218</v>
      </c>
      <c r="AL17" s="124" t="s">
        <v>218</v>
      </c>
      <c r="AM17" s="124" t="s">
        <v>218</v>
      </c>
      <c r="AN17" s="124" t="s">
        <v>218</v>
      </c>
      <c r="AO17" s="124" t="s">
        <v>218</v>
      </c>
      <c r="AP17" s="124"/>
    </row>
    <row r="18" spans="1:43" ht="48" x14ac:dyDescent="0.25">
      <c r="A18" s="34"/>
      <c r="B18" s="34"/>
      <c r="C18" s="34"/>
      <c r="D18" s="34"/>
      <c r="E18" s="74"/>
      <c r="F18" s="34"/>
      <c r="G18" s="34"/>
      <c r="H18" s="36"/>
      <c r="I18" s="255"/>
      <c r="J18" s="39"/>
      <c r="K18" s="39"/>
      <c r="L18" s="39"/>
      <c r="M18" s="39"/>
      <c r="N18" s="36">
        <f t="shared" si="0"/>
        <v>0</v>
      </c>
      <c r="O18" s="36">
        <f t="shared" si="0"/>
        <v>0</v>
      </c>
      <c r="P18" s="36">
        <f t="shared" si="0"/>
        <v>0</v>
      </c>
      <c r="Q18" s="39"/>
      <c r="R18" s="39"/>
      <c r="S18" s="36">
        <f t="shared" si="1"/>
        <v>0</v>
      </c>
      <c r="T18" s="37" t="s">
        <v>3588</v>
      </c>
      <c r="U18" s="37" t="s">
        <v>3589</v>
      </c>
      <c r="V18" s="37">
        <v>8</v>
      </c>
      <c r="W18" s="10">
        <v>8</v>
      </c>
      <c r="X18" s="10"/>
      <c r="Y18" s="10">
        <v>0</v>
      </c>
      <c r="Z18" s="10">
        <v>13</v>
      </c>
      <c r="AA18" s="34">
        <v>270</v>
      </c>
      <c r="AB18" s="10">
        <v>0</v>
      </c>
      <c r="AC18" s="10">
        <v>120</v>
      </c>
      <c r="AD18" s="10"/>
      <c r="AE18" s="10"/>
      <c r="AF18" s="10"/>
      <c r="AG18" s="124" t="s">
        <v>218</v>
      </c>
      <c r="AH18" s="124" t="s">
        <v>218</v>
      </c>
      <c r="AI18" s="124" t="s">
        <v>218</v>
      </c>
      <c r="AJ18" s="124" t="s">
        <v>218</v>
      </c>
      <c r="AK18" s="124" t="s">
        <v>218</v>
      </c>
      <c r="AL18" s="124" t="s">
        <v>218</v>
      </c>
      <c r="AM18" s="124" t="s">
        <v>218</v>
      </c>
      <c r="AN18" s="124" t="s">
        <v>218</v>
      </c>
      <c r="AO18" s="124" t="s">
        <v>218</v>
      </c>
      <c r="AP18" s="124"/>
    </row>
    <row r="19" spans="1:43" ht="165" x14ac:dyDescent="0.25">
      <c r="A19" s="34"/>
      <c r="B19" s="34"/>
      <c r="C19" s="34"/>
      <c r="D19" s="34"/>
      <c r="E19" s="74"/>
      <c r="F19" s="34"/>
      <c r="G19" s="34"/>
      <c r="H19" s="36"/>
      <c r="I19" s="255"/>
      <c r="J19" s="39"/>
      <c r="K19" s="39"/>
      <c r="L19" s="39"/>
      <c r="M19" s="39"/>
      <c r="N19" s="36">
        <f t="shared" si="0"/>
        <v>0</v>
      </c>
      <c r="O19" s="36">
        <f t="shared" si="0"/>
        <v>0</v>
      </c>
      <c r="P19" s="36">
        <f t="shared" si="0"/>
        <v>0</v>
      </c>
      <c r="Q19" s="39"/>
      <c r="R19" s="39"/>
      <c r="S19" s="36">
        <f t="shared" si="1"/>
        <v>0</v>
      </c>
      <c r="T19" s="37" t="s">
        <v>3590</v>
      </c>
      <c r="U19" s="37" t="s">
        <v>3591</v>
      </c>
      <c r="V19" s="37">
        <v>500</v>
      </c>
      <c r="W19" s="10">
        <v>0</v>
      </c>
      <c r="X19" s="10"/>
      <c r="Y19" s="10">
        <v>0</v>
      </c>
      <c r="Z19" s="10">
        <v>450</v>
      </c>
      <c r="AA19" s="34">
        <v>270</v>
      </c>
      <c r="AB19" s="10">
        <v>0</v>
      </c>
      <c r="AC19" s="10">
        <v>60</v>
      </c>
      <c r="AD19" s="10" t="s">
        <v>3592</v>
      </c>
      <c r="AE19" s="10"/>
      <c r="AF19" s="10"/>
      <c r="AG19" s="124" t="s">
        <v>218</v>
      </c>
      <c r="AH19" s="124" t="s">
        <v>218</v>
      </c>
      <c r="AI19" s="124" t="s">
        <v>218</v>
      </c>
      <c r="AJ19" s="124" t="s">
        <v>218</v>
      </c>
      <c r="AK19" s="124" t="s">
        <v>218</v>
      </c>
      <c r="AL19" s="124" t="s">
        <v>218</v>
      </c>
      <c r="AM19" s="124" t="s">
        <v>218</v>
      </c>
      <c r="AN19" s="124" t="s">
        <v>218</v>
      </c>
      <c r="AO19" s="124" t="s">
        <v>218</v>
      </c>
      <c r="AP19" s="124"/>
    </row>
    <row r="20" spans="1:43" ht="96" x14ac:dyDescent="0.25">
      <c r="A20" s="10" t="s">
        <v>23</v>
      </c>
      <c r="B20" s="10" t="s">
        <v>3261</v>
      </c>
      <c r="C20" s="10" t="s">
        <v>3262</v>
      </c>
      <c r="D20" s="10">
        <v>213130007</v>
      </c>
      <c r="E20" s="74" t="s">
        <v>3277</v>
      </c>
      <c r="F20" s="34">
        <v>22139001</v>
      </c>
      <c r="G20" s="34" t="s">
        <v>3278</v>
      </c>
      <c r="H20" s="36">
        <v>130000000</v>
      </c>
      <c r="I20" s="255">
        <v>224137931</v>
      </c>
      <c r="J20" s="39">
        <v>224137931</v>
      </c>
      <c r="K20" s="39"/>
      <c r="L20" s="39"/>
      <c r="M20" s="39"/>
      <c r="N20" s="36">
        <f t="shared" si="0"/>
        <v>130000000</v>
      </c>
      <c r="O20" s="36">
        <f t="shared" si="0"/>
        <v>224137931</v>
      </c>
      <c r="P20" s="36">
        <f t="shared" si="0"/>
        <v>224137931</v>
      </c>
      <c r="Q20" s="39">
        <v>214375000</v>
      </c>
      <c r="R20" s="39"/>
      <c r="S20" s="36">
        <f t="shared" si="1"/>
        <v>214375000</v>
      </c>
      <c r="T20" s="37">
        <v>0</v>
      </c>
      <c r="U20" s="37">
        <v>0</v>
      </c>
      <c r="V20" s="37">
        <v>0</v>
      </c>
      <c r="W20" s="10"/>
      <c r="X20" s="10"/>
      <c r="Y20" s="10"/>
      <c r="Z20" s="10"/>
      <c r="AA20" s="34">
        <v>0</v>
      </c>
      <c r="AB20" s="10"/>
      <c r="AC20" s="10"/>
      <c r="AD20" s="10"/>
      <c r="AE20" s="10"/>
      <c r="AF20" s="10"/>
      <c r="AG20" s="124"/>
      <c r="AH20" s="124"/>
      <c r="AI20" s="124"/>
      <c r="AJ20" s="124"/>
      <c r="AK20" s="124"/>
      <c r="AL20" s="124"/>
      <c r="AM20" s="124"/>
      <c r="AN20" s="124"/>
      <c r="AO20" s="124"/>
      <c r="AP20" s="124"/>
      <c r="AQ20" s="155"/>
    </row>
    <row r="21" spans="1:43" ht="48" x14ac:dyDescent="0.25">
      <c r="A21" s="34"/>
      <c r="B21" s="34"/>
      <c r="C21" s="34"/>
      <c r="D21" s="34"/>
      <c r="E21" s="74"/>
      <c r="F21" s="34"/>
      <c r="G21" s="34"/>
      <c r="H21" s="36"/>
      <c r="I21" s="255"/>
      <c r="J21" s="39"/>
      <c r="K21" s="39"/>
      <c r="L21" s="39"/>
      <c r="M21" s="39"/>
      <c r="N21" s="36">
        <f t="shared" si="0"/>
        <v>0</v>
      </c>
      <c r="O21" s="36">
        <f t="shared" si="0"/>
        <v>0</v>
      </c>
      <c r="P21" s="36">
        <f t="shared" si="0"/>
        <v>0</v>
      </c>
      <c r="Q21" s="39"/>
      <c r="R21" s="39"/>
      <c r="S21" s="36">
        <f t="shared" si="1"/>
        <v>0</v>
      </c>
      <c r="T21" s="37" t="s">
        <v>3593</v>
      </c>
      <c r="U21" s="37" t="s">
        <v>1116</v>
      </c>
      <c r="V21" s="37">
        <v>16</v>
      </c>
      <c r="W21" s="10">
        <v>104</v>
      </c>
      <c r="X21" s="10"/>
      <c r="Y21" s="10">
        <v>104</v>
      </c>
      <c r="Z21" s="10">
        <v>117</v>
      </c>
      <c r="AA21" s="34">
        <v>270</v>
      </c>
      <c r="AB21" s="10">
        <v>150</v>
      </c>
      <c r="AC21" s="10">
        <v>120</v>
      </c>
      <c r="AD21" s="10" t="s">
        <v>3594</v>
      </c>
      <c r="AE21" s="10"/>
      <c r="AF21" s="10"/>
      <c r="AG21" s="124" t="s">
        <v>218</v>
      </c>
      <c r="AH21" s="124" t="s">
        <v>218</v>
      </c>
      <c r="AI21" s="124" t="s">
        <v>218</v>
      </c>
      <c r="AJ21" s="124" t="s">
        <v>218</v>
      </c>
      <c r="AK21" s="124" t="s">
        <v>218</v>
      </c>
      <c r="AL21" s="124" t="s">
        <v>218</v>
      </c>
      <c r="AM21" s="124" t="s">
        <v>218</v>
      </c>
      <c r="AN21" s="124" t="s">
        <v>218</v>
      </c>
      <c r="AO21" s="124" t="s">
        <v>218</v>
      </c>
      <c r="AP21" s="124"/>
    </row>
    <row r="22" spans="1:43" ht="36" x14ac:dyDescent="0.25">
      <c r="A22" s="34"/>
      <c r="B22" s="34"/>
      <c r="C22" s="34"/>
      <c r="D22" s="34"/>
      <c r="E22" s="74"/>
      <c r="F22" s="34"/>
      <c r="G22" s="34"/>
      <c r="H22" s="36"/>
      <c r="I22" s="255"/>
      <c r="J22" s="39"/>
      <c r="K22" s="39"/>
      <c r="L22" s="39"/>
      <c r="M22" s="39"/>
      <c r="N22" s="36">
        <f t="shared" si="0"/>
        <v>0</v>
      </c>
      <c r="O22" s="36">
        <f t="shared" si="0"/>
        <v>0</v>
      </c>
      <c r="P22" s="36">
        <f t="shared" si="0"/>
        <v>0</v>
      </c>
      <c r="Q22" s="39"/>
      <c r="R22" s="39"/>
      <c r="S22" s="36">
        <f t="shared" si="1"/>
        <v>0</v>
      </c>
      <c r="T22" s="37" t="s">
        <v>3595</v>
      </c>
      <c r="U22" s="37" t="s">
        <v>3584</v>
      </c>
      <c r="V22" s="37">
        <v>16</v>
      </c>
      <c r="W22" s="10">
        <v>15</v>
      </c>
      <c r="X22" s="10"/>
      <c r="Y22" s="10">
        <v>0</v>
      </c>
      <c r="Z22" s="10">
        <v>35</v>
      </c>
      <c r="AA22" s="34">
        <v>270</v>
      </c>
      <c r="AB22" s="10">
        <v>0</v>
      </c>
      <c r="AC22" s="10">
        <v>120</v>
      </c>
      <c r="AD22" s="10"/>
      <c r="AE22" s="10"/>
      <c r="AF22" s="10"/>
      <c r="AG22" s="124" t="s">
        <v>218</v>
      </c>
      <c r="AH22" s="124" t="s">
        <v>218</v>
      </c>
      <c r="AI22" s="124" t="s">
        <v>218</v>
      </c>
      <c r="AJ22" s="124" t="s">
        <v>218</v>
      </c>
      <c r="AK22" s="124" t="s">
        <v>218</v>
      </c>
      <c r="AL22" s="124" t="s">
        <v>218</v>
      </c>
      <c r="AM22" s="124" t="s">
        <v>218</v>
      </c>
      <c r="AN22" s="124" t="s">
        <v>218</v>
      </c>
      <c r="AO22" s="124" t="s">
        <v>218</v>
      </c>
      <c r="AP22" s="124"/>
    </row>
    <row r="23" spans="1:43" ht="60" x14ac:dyDescent="0.25">
      <c r="A23" s="10" t="s">
        <v>23</v>
      </c>
      <c r="B23" s="10" t="s">
        <v>3261</v>
      </c>
      <c r="C23" s="10" t="s">
        <v>3283</v>
      </c>
      <c r="D23" s="10">
        <v>213210007</v>
      </c>
      <c r="E23" s="74" t="s">
        <v>3285</v>
      </c>
      <c r="F23" s="34">
        <v>29154001</v>
      </c>
      <c r="G23" s="34" t="s">
        <v>3286</v>
      </c>
      <c r="H23" s="36">
        <v>80000000</v>
      </c>
      <c r="I23" s="255">
        <v>80000000</v>
      </c>
      <c r="J23" s="39">
        <v>0</v>
      </c>
      <c r="K23" s="39"/>
      <c r="L23" s="39"/>
      <c r="M23" s="39"/>
      <c r="N23" s="36">
        <f t="shared" si="0"/>
        <v>80000000</v>
      </c>
      <c r="O23" s="36">
        <f t="shared" si="0"/>
        <v>80000000</v>
      </c>
      <c r="P23" s="36">
        <f t="shared" si="0"/>
        <v>0</v>
      </c>
      <c r="Q23" s="39">
        <v>0</v>
      </c>
      <c r="R23" s="39"/>
      <c r="S23" s="36">
        <f t="shared" si="1"/>
        <v>0</v>
      </c>
      <c r="T23" s="37">
        <v>0</v>
      </c>
      <c r="U23" s="37">
        <v>0</v>
      </c>
      <c r="V23" s="37">
        <v>0</v>
      </c>
      <c r="W23" s="10"/>
      <c r="X23" s="10"/>
      <c r="Y23" s="10"/>
      <c r="Z23" s="10"/>
      <c r="AA23" s="34">
        <v>0</v>
      </c>
      <c r="AB23" s="10"/>
      <c r="AC23" s="10"/>
      <c r="AD23" s="10"/>
      <c r="AE23" s="10"/>
      <c r="AF23" s="10"/>
      <c r="AG23" s="124"/>
      <c r="AH23" s="124"/>
      <c r="AI23" s="124"/>
      <c r="AJ23" s="124"/>
      <c r="AK23" s="124"/>
      <c r="AL23" s="124"/>
      <c r="AM23" s="124"/>
      <c r="AN23" s="124"/>
      <c r="AO23" s="124"/>
      <c r="AP23" s="124"/>
      <c r="AQ23" s="155"/>
    </row>
    <row r="24" spans="1:43" ht="60" x14ac:dyDescent="0.25">
      <c r="A24" s="34"/>
      <c r="B24" s="34"/>
      <c r="C24" s="34"/>
      <c r="D24" s="34"/>
      <c r="E24" s="74"/>
      <c r="F24" s="34"/>
      <c r="G24" s="34"/>
      <c r="H24" s="36"/>
      <c r="I24" s="255"/>
      <c r="J24" s="39"/>
      <c r="K24" s="39"/>
      <c r="L24" s="39"/>
      <c r="M24" s="39"/>
      <c r="N24" s="36">
        <f t="shared" si="0"/>
        <v>0</v>
      </c>
      <c r="O24" s="36">
        <f t="shared" si="0"/>
        <v>0</v>
      </c>
      <c r="P24" s="36">
        <f t="shared" si="0"/>
        <v>0</v>
      </c>
      <c r="Q24" s="39"/>
      <c r="R24" s="39"/>
      <c r="S24" s="36">
        <f t="shared" si="1"/>
        <v>0</v>
      </c>
      <c r="T24" s="37" t="s">
        <v>3596</v>
      </c>
      <c r="U24" s="37" t="s">
        <v>3584</v>
      </c>
      <c r="V24" s="37">
        <v>3</v>
      </c>
      <c r="W24" s="10">
        <v>3</v>
      </c>
      <c r="X24" s="10"/>
      <c r="Y24" s="10">
        <v>2</v>
      </c>
      <c r="Z24" s="10">
        <v>2</v>
      </c>
      <c r="AA24" s="34">
        <v>180</v>
      </c>
      <c r="AB24" s="10">
        <v>0</v>
      </c>
      <c r="AC24" s="10">
        <v>180</v>
      </c>
      <c r="AD24" s="10" t="s">
        <v>3597</v>
      </c>
      <c r="AE24" s="10"/>
      <c r="AF24" s="10" t="s">
        <v>218</v>
      </c>
      <c r="AG24" s="124" t="s">
        <v>218</v>
      </c>
      <c r="AH24" s="124" t="s">
        <v>218</v>
      </c>
      <c r="AI24" s="124" t="s">
        <v>218</v>
      </c>
      <c r="AJ24" s="124"/>
      <c r="AK24" s="124" t="s">
        <v>218</v>
      </c>
      <c r="AL24" s="124" t="s">
        <v>218</v>
      </c>
      <c r="AM24" s="124"/>
      <c r="AN24" s="124"/>
      <c r="AO24" s="124"/>
      <c r="AP24" s="124"/>
    </row>
    <row r="25" spans="1:43" ht="24" x14ac:dyDescent="0.25">
      <c r="A25" s="34"/>
      <c r="B25" s="34"/>
      <c r="C25" s="34"/>
      <c r="D25" s="34"/>
      <c r="E25" s="74"/>
      <c r="F25" s="34"/>
      <c r="G25" s="34"/>
      <c r="H25" s="36"/>
      <c r="I25" s="255"/>
      <c r="J25" s="39"/>
      <c r="K25" s="39"/>
      <c r="L25" s="39"/>
      <c r="M25" s="39"/>
      <c r="N25" s="36">
        <f t="shared" si="0"/>
        <v>0</v>
      </c>
      <c r="O25" s="36">
        <f t="shared" si="0"/>
        <v>0</v>
      </c>
      <c r="P25" s="36">
        <f t="shared" si="0"/>
        <v>0</v>
      </c>
      <c r="Q25" s="39"/>
      <c r="R25" s="39"/>
      <c r="S25" s="36">
        <f t="shared" si="1"/>
        <v>0</v>
      </c>
      <c r="T25" s="37" t="s">
        <v>3598</v>
      </c>
      <c r="U25" s="37" t="s">
        <v>1116</v>
      </c>
      <c r="V25" s="37">
        <v>5</v>
      </c>
      <c r="W25" s="10">
        <v>5</v>
      </c>
      <c r="X25" s="10"/>
      <c r="Y25" s="10">
        <v>2</v>
      </c>
      <c r="Z25" s="10">
        <v>2</v>
      </c>
      <c r="AA25" s="34">
        <v>180</v>
      </c>
      <c r="AB25" s="10">
        <v>0</v>
      </c>
      <c r="AC25" s="10">
        <v>0</v>
      </c>
      <c r="AD25" s="10"/>
      <c r="AE25" s="10"/>
      <c r="AF25" s="10" t="s">
        <v>218</v>
      </c>
      <c r="AG25" s="124" t="s">
        <v>218</v>
      </c>
      <c r="AH25" s="124" t="s">
        <v>218</v>
      </c>
      <c r="AI25" s="124" t="s">
        <v>218</v>
      </c>
      <c r="AJ25" s="124"/>
      <c r="AK25" s="124" t="s">
        <v>218</v>
      </c>
      <c r="AL25" s="124" t="s">
        <v>218</v>
      </c>
      <c r="AM25" s="124"/>
      <c r="AN25" s="124"/>
      <c r="AO25" s="124"/>
      <c r="AP25" s="124"/>
    </row>
    <row r="26" spans="1:43" ht="108" x14ac:dyDescent="0.25">
      <c r="A26" s="10" t="s">
        <v>23</v>
      </c>
      <c r="B26" s="10" t="s">
        <v>142</v>
      </c>
      <c r="C26" s="10" t="s">
        <v>1274</v>
      </c>
      <c r="D26" s="10">
        <v>212110000</v>
      </c>
      <c r="E26" s="74" t="s">
        <v>3289</v>
      </c>
      <c r="F26" s="34">
        <v>22325001</v>
      </c>
      <c r="G26" s="34" t="s">
        <v>3290</v>
      </c>
      <c r="H26" s="36">
        <v>150000000</v>
      </c>
      <c r="I26" s="255">
        <v>285850052</v>
      </c>
      <c r="J26" s="39">
        <v>285850052</v>
      </c>
      <c r="K26" s="39"/>
      <c r="L26" s="39"/>
      <c r="M26" s="39"/>
      <c r="N26" s="36">
        <f t="shared" si="0"/>
        <v>150000000</v>
      </c>
      <c r="O26" s="36">
        <f t="shared" si="0"/>
        <v>285850052</v>
      </c>
      <c r="P26" s="36">
        <f t="shared" si="0"/>
        <v>285850052</v>
      </c>
      <c r="Q26" s="39">
        <v>108950000</v>
      </c>
      <c r="R26" s="39"/>
      <c r="S26" s="36">
        <f t="shared" si="1"/>
        <v>108950000</v>
      </c>
      <c r="T26" s="37">
        <v>0</v>
      </c>
      <c r="U26" s="37">
        <v>0</v>
      </c>
      <c r="V26" s="37">
        <v>0</v>
      </c>
      <c r="W26" s="10"/>
      <c r="X26" s="10"/>
      <c r="Y26" s="10"/>
      <c r="Z26" s="10"/>
      <c r="AA26" s="34">
        <v>0</v>
      </c>
      <c r="AB26" s="10"/>
      <c r="AC26" s="10"/>
      <c r="AD26" s="10"/>
      <c r="AE26" s="10"/>
      <c r="AF26" s="10"/>
      <c r="AG26" s="124"/>
      <c r="AH26" s="124"/>
      <c r="AI26" s="124"/>
      <c r="AJ26" s="124"/>
      <c r="AK26" s="124"/>
      <c r="AL26" s="124"/>
      <c r="AM26" s="124"/>
      <c r="AN26" s="124"/>
      <c r="AO26" s="124"/>
      <c r="AP26" s="124"/>
      <c r="AQ26" s="155"/>
    </row>
    <row r="27" spans="1:43" ht="84" x14ac:dyDescent="0.25">
      <c r="A27" s="34"/>
      <c r="B27" s="34"/>
      <c r="C27" s="34"/>
      <c r="D27" s="34"/>
      <c r="E27" s="74"/>
      <c r="F27" s="34"/>
      <c r="G27" s="34"/>
      <c r="H27" s="36"/>
      <c r="I27" s="255"/>
      <c r="J27" s="39"/>
      <c r="K27" s="39"/>
      <c r="L27" s="39"/>
      <c r="M27" s="39"/>
      <c r="N27" s="36">
        <f t="shared" si="0"/>
        <v>0</v>
      </c>
      <c r="O27" s="36">
        <f t="shared" si="0"/>
        <v>0</v>
      </c>
      <c r="P27" s="36">
        <f t="shared" si="0"/>
        <v>0</v>
      </c>
      <c r="Q27" s="39"/>
      <c r="R27" s="39"/>
      <c r="S27" s="36">
        <f t="shared" si="1"/>
        <v>0</v>
      </c>
      <c r="T27" s="37" t="s">
        <v>3599</v>
      </c>
      <c r="U27" s="37" t="s">
        <v>3600</v>
      </c>
      <c r="V27" s="37">
        <v>4</v>
      </c>
      <c r="W27" s="10">
        <v>4</v>
      </c>
      <c r="X27" s="10"/>
      <c r="Y27" s="10">
        <v>1</v>
      </c>
      <c r="Z27" s="10">
        <v>2</v>
      </c>
      <c r="AA27" s="34">
        <v>360</v>
      </c>
      <c r="AB27" s="10">
        <v>180</v>
      </c>
      <c r="AC27" s="10">
        <v>210</v>
      </c>
      <c r="AD27" s="10" t="s">
        <v>3601</v>
      </c>
      <c r="AE27" s="10"/>
      <c r="AF27" s="10"/>
      <c r="AG27" s="124" t="s">
        <v>218</v>
      </c>
      <c r="AH27" s="124"/>
      <c r="AI27" s="124"/>
      <c r="AJ27" s="124" t="s">
        <v>218</v>
      </c>
      <c r="AK27" s="124"/>
      <c r="AL27" s="124" t="s">
        <v>218</v>
      </c>
      <c r="AM27" s="124"/>
      <c r="AN27" s="124"/>
      <c r="AO27" s="124" t="s">
        <v>218</v>
      </c>
      <c r="AP27" s="124"/>
    </row>
    <row r="28" spans="1:43" ht="72" x14ac:dyDescent="0.25">
      <c r="A28" s="10" t="s">
        <v>23</v>
      </c>
      <c r="B28" s="10" t="s">
        <v>136</v>
      </c>
      <c r="C28" s="10" t="s">
        <v>137</v>
      </c>
      <c r="D28" s="10">
        <v>211180000</v>
      </c>
      <c r="E28" s="74" t="s">
        <v>3293</v>
      </c>
      <c r="F28" s="34">
        <v>222206001</v>
      </c>
      <c r="G28" s="34" t="s">
        <v>3602</v>
      </c>
      <c r="H28" s="36">
        <v>1500000000</v>
      </c>
      <c r="I28" s="255">
        <v>2374253278</v>
      </c>
      <c r="J28" s="39">
        <v>1474253278</v>
      </c>
      <c r="K28" s="39"/>
      <c r="L28" s="39"/>
      <c r="M28" s="39"/>
      <c r="N28" s="36">
        <f t="shared" si="0"/>
        <v>1500000000</v>
      </c>
      <c r="O28" s="36">
        <f t="shared" si="0"/>
        <v>2374253278</v>
      </c>
      <c r="P28" s="36">
        <f t="shared" si="0"/>
        <v>1474253278</v>
      </c>
      <c r="Q28" s="39">
        <v>1366027194</v>
      </c>
      <c r="R28" s="39"/>
      <c r="S28" s="36">
        <f t="shared" si="1"/>
        <v>1366027194</v>
      </c>
      <c r="T28" s="37">
        <v>0</v>
      </c>
      <c r="U28" s="37">
        <v>0</v>
      </c>
      <c r="V28" s="37">
        <v>0</v>
      </c>
      <c r="W28" s="10"/>
      <c r="X28" s="10"/>
      <c r="Y28" s="10"/>
      <c r="Z28" s="10"/>
      <c r="AA28" s="34">
        <v>0</v>
      </c>
      <c r="AB28" s="10"/>
      <c r="AC28" s="10"/>
      <c r="AD28" s="10"/>
      <c r="AE28" s="10"/>
      <c r="AF28" s="10"/>
      <c r="AG28" s="124"/>
      <c r="AH28" s="124"/>
      <c r="AI28" s="124"/>
      <c r="AJ28" s="124"/>
      <c r="AK28" s="124"/>
      <c r="AL28" s="124"/>
      <c r="AM28" s="124"/>
      <c r="AN28" s="124"/>
      <c r="AO28" s="124"/>
      <c r="AP28" s="124"/>
      <c r="AQ28" s="155"/>
    </row>
    <row r="29" spans="1:43" ht="135" x14ac:dyDescent="0.25">
      <c r="A29" s="34"/>
      <c r="B29" s="34"/>
      <c r="C29" s="34"/>
      <c r="D29" s="34"/>
      <c r="E29" s="74"/>
      <c r="F29" s="34"/>
      <c r="G29" s="34"/>
      <c r="H29" s="36"/>
      <c r="I29" s="255"/>
      <c r="J29" s="39"/>
      <c r="K29" s="39"/>
      <c r="L29" s="39"/>
      <c r="M29" s="39"/>
      <c r="N29" s="36">
        <f t="shared" si="0"/>
        <v>0</v>
      </c>
      <c r="O29" s="36">
        <f t="shared" si="0"/>
        <v>0</v>
      </c>
      <c r="P29" s="36">
        <f t="shared" si="0"/>
        <v>0</v>
      </c>
      <c r="Q29" s="39"/>
      <c r="R29" s="39"/>
      <c r="S29" s="36">
        <f t="shared" si="1"/>
        <v>0</v>
      </c>
      <c r="T29" s="37" t="s">
        <v>3603</v>
      </c>
      <c r="U29" s="37" t="s">
        <v>1116</v>
      </c>
      <c r="V29" s="37">
        <v>30</v>
      </c>
      <c r="W29" s="10">
        <v>12</v>
      </c>
      <c r="X29" s="10"/>
      <c r="Y29" s="10">
        <v>2</v>
      </c>
      <c r="Z29" s="10">
        <v>12</v>
      </c>
      <c r="AA29" s="34">
        <v>180</v>
      </c>
      <c r="AB29" s="10">
        <v>60</v>
      </c>
      <c r="AC29" s="10">
        <v>180</v>
      </c>
      <c r="AD29" s="10" t="s">
        <v>3604</v>
      </c>
      <c r="AE29" s="10"/>
      <c r="AF29" s="10"/>
      <c r="AG29" s="124"/>
      <c r="AH29" s="124" t="s">
        <v>218</v>
      </c>
      <c r="AI29" s="124" t="s">
        <v>218</v>
      </c>
      <c r="AJ29" s="124" t="s">
        <v>218</v>
      </c>
      <c r="AK29" s="124" t="s">
        <v>218</v>
      </c>
      <c r="AL29" s="124" t="s">
        <v>218</v>
      </c>
      <c r="AM29" s="124" t="s">
        <v>218</v>
      </c>
      <c r="AN29" s="124" t="s">
        <v>218</v>
      </c>
      <c r="AO29" s="124"/>
      <c r="AP29" s="124"/>
    </row>
    <row r="30" spans="1:43" ht="45" x14ac:dyDescent="0.25">
      <c r="A30" s="34"/>
      <c r="B30" s="34"/>
      <c r="C30" s="34"/>
      <c r="D30" s="34"/>
      <c r="E30" s="74"/>
      <c r="F30" s="34"/>
      <c r="G30" s="34"/>
      <c r="H30" s="36"/>
      <c r="I30" s="255"/>
      <c r="J30" s="39"/>
      <c r="K30" s="39"/>
      <c r="L30" s="39"/>
      <c r="M30" s="39"/>
      <c r="N30" s="36">
        <f t="shared" si="0"/>
        <v>0</v>
      </c>
      <c r="O30" s="36">
        <f t="shared" si="0"/>
        <v>0</v>
      </c>
      <c r="P30" s="36">
        <f t="shared" si="0"/>
        <v>0</v>
      </c>
      <c r="Q30" s="39"/>
      <c r="R30" s="39"/>
      <c r="S30" s="36">
        <f t="shared" si="1"/>
        <v>0</v>
      </c>
      <c r="T30" s="37" t="s">
        <v>3605</v>
      </c>
      <c r="U30" s="37" t="s">
        <v>225</v>
      </c>
      <c r="V30" s="37">
        <v>52</v>
      </c>
      <c r="W30" s="10">
        <v>114</v>
      </c>
      <c r="X30" s="10"/>
      <c r="Y30" s="10">
        <v>0</v>
      </c>
      <c r="Z30" s="10">
        <v>78</v>
      </c>
      <c r="AA30" s="34">
        <v>90</v>
      </c>
      <c r="AB30" s="10">
        <v>0</v>
      </c>
      <c r="AC30" s="10">
        <v>180</v>
      </c>
      <c r="AD30" s="10" t="s">
        <v>3606</v>
      </c>
      <c r="AE30" s="10"/>
      <c r="AF30" s="10"/>
      <c r="AG30" s="124"/>
      <c r="AH30" s="124" t="s">
        <v>218</v>
      </c>
      <c r="AI30" s="124" t="s">
        <v>218</v>
      </c>
      <c r="AJ30" s="124" t="s">
        <v>218</v>
      </c>
      <c r="AK30" s="124"/>
      <c r="AL30" s="124"/>
      <c r="AM30" s="124"/>
      <c r="AN30" s="124"/>
      <c r="AO30" s="124"/>
      <c r="AP30" s="124"/>
    </row>
    <row r="31" spans="1:43" ht="36" x14ac:dyDescent="0.25">
      <c r="A31" s="34"/>
      <c r="B31" s="34"/>
      <c r="C31" s="34"/>
      <c r="D31" s="34"/>
      <c r="E31" s="74"/>
      <c r="F31" s="34"/>
      <c r="G31" s="34"/>
      <c r="H31" s="36"/>
      <c r="I31" s="255"/>
      <c r="J31" s="39"/>
      <c r="K31" s="39"/>
      <c r="L31" s="39"/>
      <c r="M31" s="39"/>
      <c r="N31" s="36">
        <f t="shared" si="0"/>
        <v>0</v>
      </c>
      <c r="O31" s="36">
        <f t="shared" si="0"/>
        <v>0</v>
      </c>
      <c r="P31" s="36">
        <f t="shared" si="0"/>
        <v>0</v>
      </c>
      <c r="Q31" s="39"/>
      <c r="R31" s="39"/>
      <c r="S31" s="36">
        <f t="shared" si="1"/>
        <v>0</v>
      </c>
      <c r="T31" s="37" t="s">
        <v>3607</v>
      </c>
      <c r="U31" s="37" t="s">
        <v>225</v>
      </c>
      <c r="V31" s="37">
        <v>1</v>
      </c>
      <c r="W31" s="10">
        <v>1</v>
      </c>
      <c r="X31" s="10"/>
      <c r="Y31" s="10">
        <v>1</v>
      </c>
      <c r="Z31" s="10">
        <v>1</v>
      </c>
      <c r="AA31" s="34">
        <v>270</v>
      </c>
      <c r="AB31" s="10">
        <v>130</v>
      </c>
      <c r="AC31" s="10">
        <v>130</v>
      </c>
      <c r="AD31" s="10"/>
      <c r="AE31" s="10"/>
      <c r="AF31" s="10" t="s">
        <v>218</v>
      </c>
      <c r="AG31" s="124" t="s">
        <v>218</v>
      </c>
      <c r="AH31" s="124" t="s">
        <v>218</v>
      </c>
      <c r="AI31" s="124" t="s">
        <v>218</v>
      </c>
      <c r="AJ31" s="124" t="s">
        <v>218</v>
      </c>
      <c r="AK31" s="124" t="s">
        <v>218</v>
      </c>
      <c r="AL31" s="124" t="s">
        <v>218</v>
      </c>
      <c r="AM31" s="124" t="s">
        <v>218</v>
      </c>
      <c r="AN31" s="124" t="s">
        <v>218</v>
      </c>
      <c r="AO31" s="124"/>
      <c r="AP31" s="124"/>
    </row>
    <row r="32" spans="1:43" ht="72" x14ac:dyDescent="0.25">
      <c r="A32" s="34"/>
      <c r="B32" s="34"/>
      <c r="C32" s="34"/>
      <c r="D32" s="34"/>
      <c r="E32" s="74"/>
      <c r="F32" s="34"/>
      <c r="G32" s="34"/>
      <c r="H32" s="36"/>
      <c r="I32" s="255"/>
      <c r="J32" s="39"/>
      <c r="K32" s="39"/>
      <c r="L32" s="39"/>
      <c r="M32" s="39"/>
      <c r="N32" s="36">
        <f t="shared" si="0"/>
        <v>0</v>
      </c>
      <c r="O32" s="36">
        <f t="shared" si="0"/>
        <v>0</v>
      </c>
      <c r="P32" s="36">
        <f t="shared" si="0"/>
        <v>0</v>
      </c>
      <c r="Q32" s="39"/>
      <c r="R32" s="39"/>
      <c r="S32" s="36">
        <f t="shared" si="1"/>
        <v>0</v>
      </c>
      <c r="T32" s="37" t="s">
        <v>3608</v>
      </c>
      <c r="U32" s="37" t="s">
        <v>225</v>
      </c>
      <c r="V32" s="37">
        <v>1</v>
      </c>
      <c r="W32" s="10">
        <v>1</v>
      </c>
      <c r="X32" s="10"/>
      <c r="Y32" s="10">
        <v>1</v>
      </c>
      <c r="Z32" s="10">
        <v>2</v>
      </c>
      <c r="AA32" s="34">
        <v>300</v>
      </c>
      <c r="AB32" s="10">
        <v>60</v>
      </c>
      <c r="AC32" s="10">
        <v>180</v>
      </c>
      <c r="AD32" s="10" t="s">
        <v>3609</v>
      </c>
      <c r="AE32" s="10"/>
      <c r="AF32" s="10"/>
      <c r="AG32" s="124" t="s">
        <v>218</v>
      </c>
      <c r="AH32" s="124" t="s">
        <v>218</v>
      </c>
      <c r="AI32" s="124" t="s">
        <v>218</v>
      </c>
      <c r="AJ32" s="124" t="s">
        <v>218</v>
      </c>
      <c r="AK32" s="124" t="s">
        <v>218</v>
      </c>
      <c r="AL32" s="124" t="s">
        <v>218</v>
      </c>
      <c r="AM32" s="124" t="s">
        <v>218</v>
      </c>
      <c r="AN32" s="124" t="s">
        <v>218</v>
      </c>
      <c r="AO32" s="124" t="s">
        <v>218</v>
      </c>
      <c r="AP32" s="124"/>
    </row>
    <row r="33" spans="1:43" ht="105" x14ac:dyDescent="0.25">
      <c r="A33" s="10" t="s">
        <v>23</v>
      </c>
      <c r="B33" s="10" t="s">
        <v>142</v>
      </c>
      <c r="C33" s="10" t="s">
        <v>1274</v>
      </c>
      <c r="D33" s="10">
        <v>212110000</v>
      </c>
      <c r="E33" s="74" t="s">
        <v>3297</v>
      </c>
      <c r="F33" s="34">
        <v>29142001</v>
      </c>
      <c r="G33" s="34" t="s">
        <v>3298</v>
      </c>
      <c r="H33" s="36">
        <v>1200000000</v>
      </c>
      <c r="I33" s="255">
        <v>1200000000</v>
      </c>
      <c r="J33" s="39">
        <v>1200000000</v>
      </c>
      <c r="K33" s="39"/>
      <c r="L33" s="39"/>
      <c r="M33" s="39"/>
      <c r="N33" s="36">
        <f t="shared" si="0"/>
        <v>1200000000</v>
      </c>
      <c r="O33" s="36">
        <f t="shared" si="0"/>
        <v>1200000000</v>
      </c>
      <c r="P33" s="36">
        <f t="shared" si="0"/>
        <v>1200000000</v>
      </c>
      <c r="Q33" s="39">
        <v>1115750640</v>
      </c>
      <c r="R33" s="39"/>
      <c r="S33" s="36">
        <f t="shared" si="1"/>
        <v>1115750640</v>
      </c>
      <c r="T33" s="37">
        <v>0</v>
      </c>
      <c r="U33" s="37">
        <v>0</v>
      </c>
      <c r="V33" s="37">
        <v>0</v>
      </c>
      <c r="W33" s="10"/>
      <c r="X33" s="10"/>
      <c r="Y33" s="10"/>
      <c r="Z33" s="10"/>
      <c r="AA33" s="34">
        <v>0</v>
      </c>
      <c r="AB33" s="10"/>
      <c r="AC33" s="10"/>
      <c r="AD33" s="10"/>
      <c r="AE33" s="10"/>
      <c r="AF33" s="10"/>
      <c r="AG33" s="124"/>
      <c r="AH33" s="124"/>
      <c r="AI33" s="124"/>
      <c r="AJ33" s="124"/>
      <c r="AK33" s="124"/>
      <c r="AL33" s="124"/>
      <c r="AM33" s="124"/>
      <c r="AN33" s="124"/>
      <c r="AO33" s="124"/>
      <c r="AP33" s="124"/>
      <c r="AQ33" s="155"/>
    </row>
    <row r="34" spans="1:43" ht="75" x14ac:dyDescent="0.25">
      <c r="A34" s="34"/>
      <c r="B34" s="34"/>
      <c r="C34" s="34"/>
      <c r="D34" s="34"/>
      <c r="E34" s="74"/>
      <c r="F34" s="34"/>
      <c r="G34" s="34"/>
      <c r="H34" s="36"/>
      <c r="I34" s="255"/>
      <c r="J34" s="39"/>
      <c r="K34" s="39"/>
      <c r="L34" s="39"/>
      <c r="M34" s="39"/>
      <c r="N34" s="36">
        <f t="shared" si="0"/>
        <v>0</v>
      </c>
      <c r="O34" s="36">
        <f t="shared" si="0"/>
        <v>0</v>
      </c>
      <c r="P34" s="36">
        <f t="shared" si="0"/>
        <v>0</v>
      </c>
      <c r="Q34" s="39"/>
      <c r="R34" s="39"/>
      <c r="S34" s="36">
        <f t="shared" si="1"/>
        <v>0</v>
      </c>
      <c r="T34" s="37" t="s">
        <v>3610</v>
      </c>
      <c r="U34" s="37" t="s">
        <v>3611</v>
      </c>
      <c r="V34" s="37">
        <v>1</v>
      </c>
      <c r="W34" s="10">
        <v>1</v>
      </c>
      <c r="X34" s="10"/>
      <c r="Y34" s="10">
        <v>1</v>
      </c>
      <c r="Z34" s="10">
        <v>1</v>
      </c>
      <c r="AA34" s="34">
        <v>90</v>
      </c>
      <c r="AB34" s="10">
        <v>90</v>
      </c>
      <c r="AC34" s="10">
        <v>90</v>
      </c>
      <c r="AD34" s="10" t="s">
        <v>3612</v>
      </c>
      <c r="AE34" s="10"/>
      <c r="AF34" s="10" t="s">
        <v>218</v>
      </c>
      <c r="AG34" s="124" t="s">
        <v>218</v>
      </c>
      <c r="AH34" s="124" t="s">
        <v>218</v>
      </c>
      <c r="AI34" s="124"/>
      <c r="AJ34" s="124"/>
      <c r="AK34" s="124"/>
      <c r="AL34" s="124"/>
      <c r="AM34" s="124"/>
      <c r="AN34" s="124"/>
      <c r="AO34" s="124"/>
      <c r="AP34" s="124"/>
    </row>
    <row r="35" spans="1:43" ht="24" x14ac:dyDescent="0.25">
      <c r="A35" s="34"/>
      <c r="B35" s="34"/>
      <c r="C35" s="34"/>
      <c r="D35" s="34"/>
      <c r="E35" s="74"/>
      <c r="F35" s="34"/>
      <c r="G35" s="34"/>
      <c r="H35" s="36"/>
      <c r="I35" s="255"/>
      <c r="J35" s="39"/>
      <c r="K35" s="39"/>
      <c r="L35" s="39"/>
      <c r="M35" s="39"/>
      <c r="N35" s="36">
        <f t="shared" si="0"/>
        <v>0</v>
      </c>
      <c r="O35" s="36">
        <f t="shared" si="0"/>
        <v>0</v>
      </c>
      <c r="P35" s="36">
        <f t="shared" si="0"/>
        <v>0</v>
      </c>
      <c r="Q35" s="39"/>
      <c r="R35" s="39"/>
      <c r="S35" s="36">
        <f t="shared" si="1"/>
        <v>0</v>
      </c>
      <c r="T35" s="37" t="s">
        <v>3613</v>
      </c>
      <c r="U35" s="37" t="s">
        <v>3611</v>
      </c>
      <c r="V35" s="37">
        <v>1</v>
      </c>
      <c r="W35" s="10">
        <v>1</v>
      </c>
      <c r="X35" s="10"/>
      <c r="Y35" s="10">
        <v>1</v>
      </c>
      <c r="Z35" s="10">
        <v>1</v>
      </c>
      <c r="AA35" s="34">
        <v>30</v>
      </c>
      <c r="AB35" s="10">
        <v>30</v>
      </c>
      <c r="AC35" s="10">
        <v>30</v>
      </c>
      <c r="AD35" s="10" t="s">
        <v>3614</v>
      </c>
      <c r="AE35" s="10"/>
      <c r="AF35" s="10" t="s">
        <v>218</v>
      </c>
      <c r="AG35" s="124" t="s">
        <v>218</v>
      </c>
      <c r="AH35" s="124" t="s">
        <v>218</v>
      </c>
      <c r="AI35" s="124"/>
      <c r="AJ35" s="124"/>
      <c r="AK35" s="124"/>
      <c r="AL35" s="124"/>
      <c r="AM35" s="124"/>
      <c r="AN35" s="124"/>
      <c r="AO35" s="124"/>
      <c r="AP35" s="124"/>
    </row>
    <row r="36" spans="1:43" ht="36" x14ac:dyDescent="0.25">
      <c r="A36" s="34"/>
      <c r="B36" s="34"/>
      <c r="C36" s="34"/>
      <c r="D36" s="34"/>
      <c r="E36" s="74"/>
      <c r="F36" s="34"/>
      <c r="G36" s="34"/>
      <c r="H36" s="36"/>
      <c r="I36" s="255"/>
      <c r="J36" s="39"/>
      <c r="K36" s="39"/>
      <c r="L36" s="39"/>
      <c r="M36" s="39"/>
      <c r="N36" s="36">
        <f t="shared" si="0"/>
        <v>0</v>
      </c>
      <c r="O36" s="36">
        <f t="shared" si="0"/>
        <v>0</v>
      </c>
      <c r="P36" s="36">
        <f t="shared" si="0"/>
        <v>0</v>
      </c>
      <c r="Q36" s="39"/>
      <c r="R36" s="39"/>
      <c r="S36" s="36">
        <f t="shared" si="1"/>
        <v>0</v>
      </c>
      <c r="T36" s="37" t="s">
        <v>3615</v>
      </c>
      <c r="U36" s="37" t="s">
        <v>3611</v>
      </c>
      <c r="V36" s="37">
        <v>1</v>
      </c>
      <c r="W36" s="10">
        <v>1</v>
      </c>
      <c r="X36" s="10"/>
      <c r="Y36" s="10">
        <v>0</v>
      </c>
      <c r="Z36" s="10">
        <v>1</v>
      </c>
      <c r="AA36" s="34">
        <v>90</v>
      </c>
      <c r="AB36" s="10">
        <v>0</v>
      </c>
      <c r="AC36" s="10">
        <v>90</v>
      </c>
      <c r="AD36" s="10" t="s">
        <v>3616</v>
      </c>
      <c r="AE36" s="10"/>
      <c r="AF36" s="10" t="s">
        <v>218</v>
      </c>
      <c r="AG36" s="124" t="s">
        <v>218</v>
      </c>
      <c r="AH36" s="124" t="s">
        <v>218</v>
      </c>
      <c r="AI36" s="124"/>
      <c r="AJ36" s="124"/>
      <c r="AK36" s="124"/>
      <c r="AL36" s="124"/>
      <c r="AM36" s="124"/>
      <c r="AN36" s="124"/>
      <c r="AO36" s="124"/>
      <c r="AP36" s="124"/>
    </row>
    <row r="37" spans="1:43" ht="96" x14ac:dyDescent="0.25">
      <c r="A37" s="10" t="s">
        <v>156</v>
      </c>
      <c r="B37" s="10" t="s">
        <v>3299</v>
      </c>
      <c r="C37" s="10" t="s">
        <v>3300</v>
      </c>
      <c r="D37" s="10">
        <v>221120008</v>
      </c>
      <c r="E37" s="74" t="s">
        <v>3302</v>
      </c>
      <c r="F37" s="34">
        <v>22219001</v>
      </c>
      <c r="G37" s="34" t="s">
        <v>3303</v>
      </c>
      <c r="H37" s="36">
        <v>5100000000</v>
      </c>
      <c r="I37" s="255">
        <v>5100000000</v>
      </c>
      <c r="J37" s="39">
        <v>5100000000</v>
      </c>
      <c r="K37" s="39"/>
      <c r="L37" s="39"/>
      <c r="M37" s="39"/>
      <c r="N37" s="36">
        <f t="shared" si="0"/>
        <v>5100000000</v>
      </c>
      <c r="O37" s="36">
        <f t="shared" si="0"/>
        <v>5100000000</v>
      </c>
      <c r="P37" s="36">
        <f t="shared" si="0"/>
        <v>5100000000</v>
      </c>
      <c r="Q37" s="39">
        <v>5100000000</v>
      </c>
      <c r="R37" s="39"/>
      <c r="S37" s="36">
        <f t="shared" si="1"/>
        <v>5100000000</v>
      </c>
      <c r="T37" s="37">
        <v>0</v>
      </c>
      <c r="U37" s="37">
        <v>0</v>
      </c>
      <c r="V37" s="37">
        <v>0</v>
      </c>
      <c r="W37" s="10"/>
      <c r="X37" s="10"/>
      <c r="Y37" s="10"/>
      <c r="Z37" s="10"/>
      <c r="AA37" s="34">
        <v>0</v>
      </c>
      <c r="AB37" s="10"/>
      <c r="AC37" s="10"/>
      <c r="AD37" s="10"/>
      <c r="AE37" s="10"/>
      <c r="AF37" s="10"/>
      <c r="AG37" s="124"/>
      <c r="AH37" s="124"/>
      <c r="AI37" s="124"/>
      <c r="AJ37" s="124"/>
      <c r="AK37" s="124"/>
      <c r="AL37" s="124"/>
      <c r="AM37" s="124"/>
      <c r="AN37" s="124"/>
      <c r="AO37" s="124"/>
      <c r="AP37" s="124"/>
      <c r="AQ37" s="155"/>
    </row>
    <row r="38" spans="1:43" ht="195" x14ac:dyDescent="0.25">
      <c r="A38" s="34"/>
      <c r="B38" s="34"/>
      <c r="C38" s="34"/>
      <c r="D38" s="34"/>
      <c r="E38" s="74"/>
      <c r="F38" s="34"/>
      <c r="G38" s="34"/>
      <c r="H38" s="36"/>
      <c r="I38" s="255"/>
      <c r="J38" s="39"/>
      <c r="K38" s="39"/>
      <c r="L38" s="39"/>
      <c r="M38" s="39"/>
      <c r="N38" s="36">
        <f t="shared" si="0"/>
        <v>0</v>
      </c>
      <c r="O38" s="36">
        <f t="shared" si="0"/>
        <v>0</v>
      </c>
      <c r="P38" s="36">
        <f t="shared" si="0"/>
        <v>0</v>
      </c>
      <c r="Q38" s="39"/>
      <c r="R38" s="39"/>
      <c r="S38" s="36">
        <f t="shared" si="1"/>
        <v>0</v>
      </c>
      <c r="T38" s="37" t="s">
        <v>3617</v>
      </c>
      <c r="U38" s="37" t="s">
        <v>3618</v>
      </c>
      <c r="V38" s="37">
        <v>1</v>
      </c>
      <c r="W38" s="10">
        <v>1</v>
      </c>
      <c r="X38" s="10"/>
      <c r="Y38" s="10">
        <v>0</v>
      </c>
      <c r="Z38" s="10">
        <v>0</v>
      </c>
      <c r="AA38" s="34">
        <v>150</v>
      </c>
      <c r="AB38" s="10">
        <v>0</v>
      </c>
      <c r="AC38" s="10">
        <v>0</v>
      </c>
      <c r="AD38" s="10" t="s">
        <v>3619</v>
      </c>
      <c r="AE38" s="10"/>
      <c r="AF38" s="10"/>
      <c r="AG38" s="124"/>
      <c r="AH38" s="124"/>
      <c r="AI38" s="124"/>
      <c r="AJ38" s="124"/>
      <c r="AK38" s="124" t="s">
        <v>218</v>
      </c>
      <c r="AL38" s="124" t="s">
        <v>218</v>
      </c>
      <c r="AM38" s="124" t="s">
        <v>218</v>
      </c>
      <c r="AN38" s="124" t="s">
        <v>218</v>
      </c>
      <c r="AO38" s="124" t="s">
        <v>218</v>
      </c>
      <c r="AP38" s="124" t="s">
        <v>218</v>
      </c>
    </row>
    <row r="39" spans="1:43" ht="132" x14ac:dyDescent="0.25">
      <c r="A39" s="10" t="s">
        <v>156</v>
      </c>
      <c r="B39" s="10" t="s">
        <v>3299</v>
      </c>
      <c r="C39" s="10" t="s">
        <v>3300</v>
      </c>
      <c r="D39" s="10">
        <v>221140008</v>
      </c>
      <c r="E39" s="74" t="s">
        <v>1372</v>
      </c>
      <c r="F39" s="34">
        <v>22200001</v>
      </c>
      <c r="G39" s="34" t="s">
        <v>3306</v>
      </c>
      <c r="H39" s="36">
        <v>1000000000</v>
      </c>
      <c r="I39" s="255">
        <v>300000000</v>
      </c>
      <c r="J39" s="39">
        <v>1704703392</v>
      </c>
      <c r="K39" s="39"/>
      <c r="L39" s="39"/>
      <c r="M39" s="39"/>
      <c r="N39" s="36">
        <f t="shared" si="0"/>
        <v>1000000000</v>
      </c>
      <c r="O39" s="36">
        <f t="shared" si="0"/>
        <v>300000000</v>
      </c>
      <c r="P39" s="36">
        <f t="shared" si="0"/>
        <v>1704703392</v>
      </c>
      <c r="Q39" s="39">
        <v>1704102992</v>
      </c>
      <c r="R39" s="39"/>
      <c r="S39" s="36">
        <f t="shared" si="1"/>
        <v>1704102992</v>
      </c>
      <c r="T39" s="37">
        <v>0</v>
      </c>
      <c r="U39" s="37">
        <v>0</v>
      </c>
      <c r="V39" s="37">
        <v>0</v>
      </c>
      <c r="W39" s="10"/>
      <c r="X39" s="10"/>
      <c r="Y39" s="10"/>
      <c r="Z39" s="10"/>
      <c r="AA39" s="34">
        <v>0</v>
      </c>
      <c r="AB39" s="10"/>
      <c r="AC39" s="10"/>
      <c r="AD39" s="10"/>
      <c r="AE39" s="10"/>
      <c r="AF39" s="10"/>
      <c r="AG39" s="124"/>
      <c r="AH39" s="124"/>
      <c r="AI39" s="124"/>
      <c r="AJ39" s="124"/>
      <c r="AK39" s="124"/>
      <c r="AL39" s="124"/>
      <c r="AM39" s="124"/>
      <c r="AN39" s="124"/>
      <c r="AO39" s="124"/>
      <c r="AP39" s="124"/>
      <c r="AQ39" s="155"/>
    </row>
    <row r="40" spans="1:43" ht="60" x14ac:dyDescent="0.25">
      <c r="A40" s="34"/>
      <c r="B40" s="34"/>
      <c r="C40" s="34"/>
      <c r="D40" s="34"/>
      <c r="E40" s="74"/>
      <c r="F40" s="34"/>
      <c r="G40" s="34"/>
      <c r="H40" s="36"/>
      <c r="I40" s="255"/>
      <c r="J40" s="39"/>
      <c r="K40" s="39"/>
      <c r="L40" s="39"/>
      <c r="M40" s="39"/>
      <c r="N40" s="36">
        <f t="shared" si="0"/>
        <v>0</v>
      </c>
      <c r="O40" s="36">
        <f t="shared" si="0"/>
        <v>0</v>
      </c>
      <c r="P40" s="36">
        <f t="shared" si="0"/>
        <v>0</v>
      </c>
      <c r="Q40" s="39"/>
      <c r="R40" s="39"/>
      <c r="S40" s="36">
        <f t="shared" si="1"/>
        <v>0</v>
      </c>
      <c r="T40" s="37" t="s">
        <v>3620</v>
      </c>
      <c r="U40" s="37" t="s">
        <v>3621</v>
      </c>
      <c r="V40" s="37">
        <v>1</v>
      </c>
      <c r="W40" s="10">
        <v>1</v>
      </c>
      <c r="X40" s="10"/>
      <c r="Y40" s="10">
        <v>1</v>
      </c>
      <c r="Z40" s="10">
        <v>1</v>
      </c>
      <c r="AA40" s="34">
        <v>300</v>
      </c>
      <c r="AB40" s="10">
        <v>180</v>
      </c>
      <c r="AC40" s="10">
        <v>180</v>
      </c>
      <c r="AD40" s="10"/>
      <c r="AE40" s="10" t="s">
        <v>218</v>
      </c>
      <c r="AF40" s="10" t="s">
        <v>218</v>
      </c>
      <c r="AG40" s="124" t="s">
        <v>218</v>
      </c>
      <c r="AH40" s="124" t="s">
        <v>218</v>
      </c>
      <c r="AI40" s="124" t="s">
        <v>218</v>
      </c>
      <c r="AJ40" s="124" t="s">
        <v>218</v>
      </c>
      <c r="AK40" s="124" t="s">
        <v>218</v>
      </c>
      <c r="AL40" s="124" t="s">
        <v>218</v>
      </c>
      <c r="AM40" s="124" t="s">
        <v>218</v>
      </c>
      <c r="AN40" s="124" t="s">
        <v>218</v>
      </c>
      <c r="AO40" s="124" t="s">
        <v>218</v>
      </c>
      <c r="AP40" s="124" t="s">
        <v>218</v>
      </c>
    </row>
    <row r="41" spans="1:43" ht="48" x14ac:dyDescent="0.25">
      <c r="A41" s="34"/>
      <c r="B41" s="34"/>
      <c r="C41" s="34"/>
      <c r="D41" s="34"/>
      <c r="E41" s="74"/>
      <c r="F41" s="34"/>
      <c r="G41" s="34"/>
      <c r="H41" s="36"/>
      <c r="I41" s="255"/>
      <c r="J41" s="39"/>
      <c r="K41" s="39"/>
      <c r="L41" s="39"/>
      <c r="M41" s="39"/>
      <c r="N41" s="36">
        <f t="shared" ref="N41:P72" si="2">H41+K41</f>
        <v>0</v>
      </c>
      <c r="O41" s="36">
        <f t="shared" si="2"/>
        <v>0</v>
      </c>
      <c r="P41" s="36">
        <f t="shared" si="2"/>
        <v>0</v>
      </c>
      <c r="Q41" s="39"/>
      <c r="R41" s="39"/>
      <c r="S41" s="36">
        <f t="shared" si="1"/>
        <v>0</v>
      </c>
      <c r="T41" s="37" t="s">
        <v>3622</v>
      </c>
      <c r="U41" s="37" t="s">
        <v>3621</v>
      </c>
      <c r="V41" s="37">
        <v>43</v>
      </c>
      <c r="W41" s="10">
        <v>43</v>
      </c>
      <c r="X41" s="10"/>
      <c r="Y41" s="10">
        <v>22</v>
      </c>
      <c r="Z41" s="10">
        <v>43</v>
      </c>
      <c r="AA41" s="34">
        <v>330</v>
      </c>
      <c r="AB41" s="10">
        <v>150</v>
      </c>
      <c r="AC41" s="10">
        <v>300</v>
      </c>
      <c r="AD41" s="10"/>
      <c r="AE41" s="10"/>
      <c r="AF41" s="10" t="s">
        <v>218</v>
      </c>
      <c r="AG41" s="124" t="s">
        <v>218</v>
      </c>
      <c r="AH41" s="124" t="s">
        <v>218</v>
      </c>
      <c r="AI41" s="124" t="s">
        <v>218</v>
      </c>
      <c r="AJ41" s="124" t="s">
        <v>218</v>
      </c>
      <c r="AK41" s="124" t="s">
        <v>218</v>
      </c>
      <c r="AL41" s="124" t="s">
        <v>218</v>
      </c>
      <c r="AM41" s="124" t="s">
        <v>218</v>
      </c>
      <c r="AN41" s="124" t="s">
        <v>218</v>
      </c>
      <c r="AO41" s="124" t="s">
        <v>218</v>
      </c>
      <c r="AP41" s="124" t="s">
        <v>218</v>
      </c>
    </row>
    <row r="42" spans="1:43" ht="270" x14ac:dyDescent="0.25">
      <c r="A42" s="34"/>
      <c r="B42" s="34"/>
      <c r="C42" s="34"/>
      <c r="D42" s="34"/>
      <c r="E42" s="74"/>
      <c r="F42" s="34"/>
      <c r="G42" s="34"/>
      <c r="H42" s="36"/>
      <c r="I42" s="255"/>
      <c r="J42" s="39"/>
      <c r="K42" s="39"/>
      <c r="L42" s="39"/>
      <c r="M42" s="39"/>
      <c r="N42" s="36">
        <f t="shared" si="2"/>
        <v>0</v>
      </c>
      <c r="O42" s="36">
        <f t="shared" si="2"/>
        <v>0</v>
      </c>
      <c r="P42" s="36">
        <f t="shared" si="2"/>
        <v>0</v>
      </c>
      <c r="Q42" s="39"/>
      <c r="R42" s="39"/>
      <c r="S42" s="36">
        <f t="shared" si="1"/>
        <v>0</v>
      </c>
      <c r="T42" s="37" t="s">
        <v>3623</v>
      </c>
      <c r="U42" s="37" t="s">
        <v>3624</v>
      </c>
      <c r="V42" s="37">
        <v>2</v>
      </c>
      <c r="W42" s="10">
        <v>4</v>
      </c>
      <c r="X42" s="10"/>
      <c r="Y42" s="10">
        <v>2</v>
      </c>
      <c r="Z42" s="10">
        <v>3</v>
      </c>
      <c r="AA42" s="34">
        <v>30</v>
      </c>
      <c r="AB42" s="10">
        <v>30</v>
      </c>
      <c r="AC42" s="10">
        <v>30</v>
      </c>
      <c r="AD42" s="10" t="s">
        <v>3625</v>
      </c>
      <c r="AE42" s="10"/>
      <c r="AF42" s="10"/>
      <c r="AG42" s="124" t="s">
        <v>218</v>
      </c>
      <c r="AH42" s="124"/>
      <c r="AI42" s="124"/>
      <c r="AJ42" s="124"/>
      <c r="AK42" s="124"/>
      <c r="AL42" s="124"/>
      <c r="AM42" s="124" t="s">
        <v>218</v>
      </c>
      <c r="AN42" s="124"/>
      <c r="AO42" s="124"/>
      <c r="AP42" s="124"/>
    </row>
    <row r="43" spans="1:43" ht="36" x14ac:dyDescent="0.25">
      <c r="A43" s="34"/>
      <c r="B43" s="34"/>
      <c r="C43" s="34"/>
      <c r="D43" s="34"/>
      <c r="E43" s="74"/>
      <c r="F43" s="34"/>
      <c r="G43" s="34"/>
      <c r="H43" s="36"/>
      <c r="I43" s="255"/>
      <c r="J43" s="39"/>
      <c r="K43" s="39"/>
      <c r="L43" s="39"/>
      <c r="M43" s="39"/>
      <c r="N43" s="36">
        <f t="shared" si="2"/>
        <v>0</v>
      </c>
      <c r="O43" s="36">
        <f t="shared" si="2"/>
        <v>0</v>
      </c>
      <c r="P43" s="36">
        <f t="shared" si="2"/>
        <v>0</v>
      </c>
      <c r="Q43" s="39"/>
      <c r="R43" s="39"/>
      <c r="S43" s="36">
        <f t="shared" si="1"/>
        <v>0</v>
      </c>
      <c r="T43" s="37" t="s">
        <v>3626</v>
      </c>
      <c r="U43" s="37" t="s">
        <v>3621</v>
      </c>
      <c r="V43" s="37">
        <v>1</v>
      </c>
      <c r="W43" s="10">
        <v>1</v>
      </c>
      <c r="X43" s="10"/>
      <c r="Y43" s="10">
        <v>1</v>
      </c>
      <c r="Z43" s="10">
        <v>1</v>
      </c>
      <c r="AA43" s="34">
        <v>360</v>
      </c>
      <c r="AB43" s="10">
        <v>180</v>
      </c>
      <c r="AC43" s="10">
        <v>180</v>
      </c>
      <c r="AD43" s="10"/>
      <c r="AE43" s="10" t="s">
        <v>218</v>
      </c>
      <c r="AF43" s="10" t="s">
        <v>218</v>
      </c>
      <c r="AG43" s="124" t="s">
        <v>218</v>
      </c>
      <c r="AH43" s="124" t="s">
        <v>218</v>
      </c>
      <c r="AI43" s="124" t="s">
        <v>218</v>
      </c>
      <c r="AJ43" s="124" t="s">
        <v>218</v>
      </c>
      <c r="AK43" s="124" t="s">
        <v>218</v>
      </c>
      <c r="AL43" s="124" t="s">
        <v>218</v>
      </c>
      <c r="AM43" s="124" t="s">
        <v>218</v>
      </c>
      <c r="AN43" s="124" t="s">
        <v>218</v>
      </c>
      <c r="AO43" s="124" t="s">
        <v>218</v>
      </c>
      <c r="AP43" s="124" t="s">
        <v>218</v>
      </c>
    </row>
    <row r="44" spans="1:43" ht="72" x14ac:dyDescent="0.25">
      <c r="A44" s="10" t="s">
        <v>156</v>
      </c>
      <c r="B44" s="10" t="s">
        <v>3299</v>
      </c>
      <c r="C44" s="10" t="s">
        <v>3309</v>
      </c>
      <c r="D44" s="10">
        <v>221210007</v>
      </c>
      <c r="E44" s="74" t="s">
        <v>3311</v>
      </c>
      <c r="F44" s="34">
        <v>22208001</v>
      </c>
      <c r="G44" s="34" t="s">
        <v>3312</v>
      </c>
      <c r="H44" s="36">
        <v>10270675000</v>
      </c>
      <c r="I44" s="255">
        <v>17522175000</v>
      </c>
      <c r="J44" s="39">
        <v>15047175000</v>
      </c>
      <c r="K44" s="39"/>
      <c r="L44" s="39"/>
      <c r="M44" s="39"/>
      <c r="N44" s="36">
        <f t="shared" si="2"/>
        <v>10270675000</v>
      </c>
      <c r="O44" s="36">
        <f t="shared" si="2"/>
        <v>17522175000</v>
      </c>
      <c r="P44" s="36">
        <f t="shared" si="2"/>
        <v>15047175000</v>
      </c>
      <c r="Q44" s="39">
        <v>11459720165</v>
      </c>
      <c r="R44" s="39"/>
      <c r="S44" s="36">
        <f t="shared" si="1"/>
        <v>11459720165</v>
      </c>
      <c r="T44" s="37" t="s">
        <v>3627</v>
      </c>
      <c r="U44" s="37">
        <v>0</v>
      </c>
      <c r="V44" s="37">
        <v>0</v>
      </c>
      <c r="W44" s="10">
        <v>0</v>
      </c>
      <c r="X44" s="10"/>
      <c r="Y44" s="10"/>
      <c r="Z44" s="10"/>
      <c r="AA44" s="34">
        <v>0</v>
      </c>
      <c r="AB44" s="27"/>
      <c r="AC44" s="10"/>
      <c r="AD44" s="10"/>
      <c r="AE44" s="10"/>
      <c r="AF44" s="10"/>
      <c r="AG44" s="124"/>
      <c r="AH44" s="124"/>
      <c r="AI44" s="124"/>
      <c r="AJ44" s="124"/>
      <c r="AK44" s="124"/>
      <c r="AL44" s="124"/>
      <c r="AM44" s="124"/>
      <c r="AN44" s="124"/>
      <c r="AO44" s="124"/>
      <c r="AP44" s="124"/>
      <c r="AQ44" s="155"/>
    </row>
    <row r="45" spans="1:43" ht="150" x14ac:dyDescent="0.25">
      <c r="A45" s="34"/>
      <c r="B45" s="34"/>
      <c r="C45" s="34"/>
      <c r="D45" s="34"/>
      <c r="E45" s="74"/>
      <c r="F45" s="34"/>
      <c r="G45" s="34"/>
      <c r="H45" s="36"/>
      <c r="I45" s="255"/>
      <c r="J45" s="39"/>
      <c r="K45" s="39"/>
      <c r="L45" s="39"/>
      <c r="M45" s="39"/>
      <c r="N45" s="36">
        <f t="shared" si="2"/>
        <v>0</v>
      </c>
      <c r="O45" s="36">
        <f t="shared" si="2"/>
        <v>0</v>
      </c>
      <c r="P45" s="36">
        <f t="shared" si="2"/>
        <v>0</v>
      </c>
      <c r="Q45" s="39"/>
      <c r="R45" s="39"/>
      <c r="S45" s="36">
        <f t="shared" si="1"/>
        <v>0</v>
      </c>
      <c r="T45" s="37" t="s">
        <v>3628</v>
      </c>
      <c r="U45" s="37" t="s">
        <v>3629</v>
      </c>
      <c r="V45" s="37">
        <v>12</v>
      </c>
      <c r="W45" s="10">
        <v>20</v>
      </c>
      <c r="X45" s="10"/>
      <c r="Y45" s="10">
        <v>0</v>
      </c>
      <c r="Z45" s="10">
        <v>20</v>
      </c>
      <c r="AA45" s="34">
        <v>300</v>
      </c>
      <c r="AB45" s="10">
        <v>120</v>
      </c>
      <c r="AC45" s="10">
        <v>210</v>
      </c>
      <c r="AD45" s="10" t="s">
        <v>3630</v>
      </c>
      <c r="AE45" s="10"/>
      <c r="AF45" s="10"/>
      <c r="AG45" s="124" t="s">
        <v>102</v>
      </c>
      <c r="AH45" s="124" t="s">
        <v>102</v>
      </c>
      <c r="AI45" s="124" t="s">
        <v>102</v>
      </c>
      <c r="AJ45" s="124" t="s">
        <v>102</v>
      </c>
      <c r="AK45" s="124" t="s">
        <v>102</v>
      </c>
      <c r="AL45" s="124" t="s">
        <v>102</v>
      </c>
      <c r="AM45" s="124" t="s">
        <v>102</v>
      </c>
      <c r="AN45" s="124" t="s">
        <v>102</v>
      </c>
      <c r="AO45" s="124" t="s">
        <v>102</v>
      </c>
      <c r="AP45" s="124" t="s">
        <v>102</v>
      </c>
    </row>
    <row r="46" spans="1:43" ht="105" x14ac:dyDescent="0.25">
      <c r="A46" s="34"/>
      <c r="B46" s="34"/>
      <c r="C46" s="34"/>
      <c r="D46" s="34"/>
      <c r="E46" s="74"/>
      <c r="F46" s="34"/>
      <c r="G46" s="34"/>
      <c r="H46" s="36"/>
      <c r="I46" s="255"/>
      <c r="J46" s="39"/>
      <c r="K46" s="39"/>
      <c r="L46" s="39"/>
      <c r="M46" s="39"/>
      <c r="N46" s="36">
        <f t="shared" si="2"/>
        <v>0</v>
      </c>
      <c r="O46" s="36">
        <f t="shared" si="2"/>
        <v>0</v>
      </c>
      <c r="P46" s="36">
        <f t="shared" si="2"/>
        <v>0</v>
      </c>
      <c r="Q46" s="39"/>
      <c r="R46" s="39"/>
      <c r="S46" s="36">
        <f t="shared" si="1"/>
        <v>0</v>
      </c>
      <c r="T46" s="37" t="s">
        <v>3631</v>
      </c>
      <c r="U46" s="37" t="s">
        <v>3632</v>
      </c>
      <c r="V46" s="37">
        <v>5000</v>
      </c>
      <c r="W46" s="10">
        <v>5000</v>
      </c>
      <c r="X46" s="10"/>
      <c r="Y46" s="10">
        <v>3484</v>
      </c>
      <c r="Z46" s="10">
        <v>5110</v>
      </c>
      <c r="AA46" s="34">
        <v>300</v>
      </c>
      <c r="AB46" s="10">
        <v>150</v>
      </c>
      <c r="AC46" s="10">
        <v>300</v>
      </c>
      <c r="AD46" s="10" t="s">
        <v>3319</v>
      </c>
      <c r="AE46" s="10"/>
      <c r="AF46" s="10"/>
      <c r="AG46" s="124" t="s">
        <v>102</v>
      </c>
      <c r="AH46" s="124" t="s">
        <v>102</v>
      </c>
      <c r="AI46" s="124" t="s">
        <v>102</v>
      </c>
      <c r="AJ46" s="124" t="s">
        <v>102</v>
      </c>
      <c r="AK46" s="124" t="s">
        <v>102</v>
      </c>
      <c r="AL46" s="124" t="s">
        <v>102</v>
      </c>
      <c r="AM46" s="124" t="s">
        <v>102</v>
      </c>
      <c r="AN46" s="124" t="s">
        <v>102</v>
      </c>
      <c r="AO46" s="124" t="s">
        <v>102</v>
      </c>
      <c r="AP46" s="124" t="s">
        <v>102</v>
      </c>
    </row>
    <row r="47" spans="1:43" ht="120" x14ac:dyDescent="0.25">
      <c r="A47" s="34"/>
      <c r="B47" s="34"/>
      <c r="C47" s="34"/>
      <c r="D47" s="34"/>
      <c r="E47" s="74"/>
      <c r="F47" s="34"/>
      <c r="G47" s="34"/>
      <c r="H47" s="36"/>
      <c r="I47" s="255"/>
      <c r="J47" s="39"/>
      <c r="K47" s="39"/>
      <c r="L47" s="39"/>
      <c r="M47" s="39"/>
      <c r="N47" s="36">
        <f t="shared" si="2"/>
        <v>0</v>
      </c>
      <c r="O47" s="36">
        <f t="shared" si="2"/>
        <v>0</v>
      </c>
      <c r="P47" s="36">
        <f t="shared" si="2"/>
        <v>0</v>
      </c>
      <c r="Q47" s="39"/>
      <c r="R47" s="39"/>
      <c r="S47" s="36">
        <f t="shared" si="1"/>
        <v>0</v>
      </c>
      <c r="T47" s="37" t="s">
        <v>3633</v>
      </c>
      <c r="U47" s="37" t="s">
        <v>3634</v>
      </c>
      <c r="V47" s="37">
        <v>2000</v>
      </c>
      <c r="W47" s="10">
        <v>2000</v>
      </c>
      <c r="X47" s="10"/>
      <c r="Y47" s="10">
        <v>0</v>
      </c>
      <c r="Z47" s="10">
        <v>2593</v>
      </c>
      <c r="AA47" s="34">
        <v>300</v>
      </c>
      <c r="AB47" s="10">
        <v>120</v>
      </c>
      <c r="AC47" s="10">
        <v>210</v>
      </c>
      <c r="AD47" s="10" t="s">
        <v>3635</v>
      </c>
      <c r="AE47" s="10"/>
      <c r="AF47" s="10"/>
      <c r="AG47" s="124" t="s">
        <v>102</v>
      </c>
      <c r="AH47" s="124" t="s">
        <v>102</v>
      </c>
      <c r="AI47" s="124" t="s">
        <v>102</v>
      </c>
      <c r="AJ47" s="124" t="s">
        <v>102</v>
      </c>
      <c r="AK47" s="124" t="s">
        <v>102</v>
      </c>
      <c r="AL47" s="124" t="s">
        <v>102</v>
      </c>
      <c r="AM47" s="124" t="s">
        <v>102</v>
      </c>
      <c r="AN47" s="124" t="s">
        <v>102</v>
      </c>
      <c r="AO47" s="124" t="s">
        <v>102</v>
      </c>
      <c r="AP47" s="124" t="s">
        <v>102</v>
      </c>
    </row>
    <row r="48" spans="1:43" ht="75" x14ac:dyDescent="0.25">
      <c r="A48" s="34"/>
      <c r="B48" s="34"/>
      <c r="C48" s="34"/>
      <c r="D48" s="34"/>
      <c r="E48" s="74"/>
      <c r="F48" s="34"/>
      <c r="G48" s="34"/>
      <c r="H48" s="36"/>
      <c r="I48" s="255"/>
      <c r="J48" s="39"/>
      <c r="K48" s="39"/>
      <c r="L48" s="39"/>
      <c r="M48" s="39"/>
      <c r="N48" s="36">
        <f t="shared" si="2"/>
        <v>0</v>
      </c>
      <c r="O48" s="36">
        <f t="shared" si="2"/>
        <v>0</v>
      </c>
      <c r="P48" s="36">
        <f t="shared" si="2"/>
        <v>0</v>
      </c>
      <c r="Q48" s="39"/>
      <c r="R48" s="39"/>
      <c r="S48" s="36">
        <f t="shared" si="1"/>
        <v>0</v>
      </c>
      <c r="T48" s="37" t="s">
        <v>3636</v>
      </c>
      <c r="U48" s="37" t="s">
        <v>3637</v>
      </c>
      <c r="V48" s="37">
        <v>20000</v>
      </c>
      <c r="W48" s="10">
        <v>16000</v>
      </c>
      <c r="X48" s="10"/>
      <c r="Y48" s="10">
        <v>0</v>
      </c>
      <c r="Z48" s="10">
        <v>11103</v>
      </c>
      <c r="AA48" s="34">
        <v>300</v>
      </c>
      <c r="AB48" s="10">
        <v>0</v>
      </c>
      <c r="AC48" s="10">
        <v>120</v>
      </c>
      <c r="AD48" s="10" t="s">
        <v>3638</v>
      </c>
      <c r="AE48" s="10"/>
      <c r="AF48" s="10"/>
      <c r="AG48" s="124" t="s">
        <v>102</v>
      </c>
      <c r="AH48" s="124" t="s">
        <v>102</v>
      </c>
      <c r="AI48" s="124" t="s">
        <v>102</v>
      </c>
      <c r="AJ48" s="124" t="s">
        <v>102</v>
      </c>
      <c r="AK48" s="124" t="s">
        <v>102</v>
      </c>
      <c r="AL48" s="124" t="s">
        <v>102</v>
      </c>
      <c r="AM48" s="124" t="s">
        <v>102</v>
      </c>
      <c r="AN48" s="124" t="s">
        <v>102</v>
      </c>
      <c r="AO48" s="124" t="s">
        <v>102</v>
      </c>
      <c r="AP48" s="124" t="s">
        <v>102</v>
      </c>
    </row>
    <row r="49" spans="1:43" ht="90" x14ac:dyDescent="0.25">
      <c r="A49" s="34"/>
      <c r="B49" s="34"/>
      <c r="C49" s="34"/>
      <c r="D49" s="34"/>
      <c r="E49" s="74"/>
      <c r="F49" s="34"/>
      <c r="G49" s="34"/>
      <c r="H49" s="36"/>
      <c r="I49" s="255"/>
      <c r="J49" s="39"/>
      <c r="K49" s="39"/>
      <c r="L49" s="39"/>
      <c r="M49" s="39"/>
      <c r="N49" s="36">
        <f t="shared" si="2"/>
        <v>0</v>
      </c>
      <c r="O49" s="36">
        <f t="shared" si="2"/>
        <v>0</v>
      </c>
      <c r="P49" s="36">
        <f t="shared" si="2"/>
        <v>0</v>
      </c>
      <c r="Q49" s="39"/>
      <c r="R49" s="39"/>
      <c r="S49" s="36">
        <f t="shared" si="1"/>
        <v>0</v>
      </c>
      <c r="T49" s="37" t="s">
        <v>3639</v>
      </c>
      <c r="U49" s="37" t="s">
        <v>3640</v>
      </c>
      <c r="V49" s="37">
        <v>4</v>
      </c>
      <c r="W49" s="10">
        <v>5</v>
      </c>
      <c r="X49" s="10"/>
      <c r="Y49" s="10">
        <v>0</v>
      </c>
      <c r="Z49" s="10">
        <v>5</v>
      </c>
      <c r="AA49" s="34">
        <v>90</v>
      </c>
      <c r="AB49" s="10">
        <v>0</v>
      </c>
      <c r="AC49" s="10">
        <v>60</v>
      </c>
      <c r="AD49" s="10" t="s">
        <v>3641</v>
      </c>
      <c r="AE49" s="10"/>
      <c r="AF49" s="10"/>
      <c r="AG49" s="124"/>
      <c r="AH49" s="124"/>
      <c r="AI49" s="124"/>
      <c r="AJ49" s="124"/>
      <c r="AK49" s="124"/>
      <c r="AL49" s="124"/>
      <c r="AM49" s="124"/>
      <c r="AN49" s="124"/>
      <c r="AO49" s="124"/>
      <c r="AP49" s="124"/>
    </row>
    <row r="50" spans="1:43" ht="30" x14ac:dyDescent="0.25">
      <c r="A50" s="34"/>
      <c r="B50" s="34"/>
      <c r="C50" s="34"/>
      <c r="D50" s="34"/>
      <c r="E50" s="74"/>
      <c r="F50" s="34"/>
      <c r="G50" s="34"/>
      <c r="H50" s="36"/>
      <c r="I50" s="255"/>
      <c r="J50" s="39"/>
      <c r="K50" s="39"/>
      <c r="L50" s="39"/>
      <c r="M50" s="39"/>
      <c r="N50" s="36">
        <f t="shared" si="2"/>
        <v>0</v>
      </c>
      <c r="O50" s="36">
        <f t="shared" si="2"/>
        <v>0</v>
      </c>
      <c r="P50" s="36">
        <f t="shared" si="2"/>
        <v>0</v>
      </c>
      <c r="Q50" s="39"/>
      <c r="R50" s="39"/>
      <c r="S50" s="36">
        <f t="shared" si="1"/>
        <v>0</v>
      </c>
      <c r="T50" s="37" t="s">
        <v>3642</v>
      </c>
      <c r="U50" s="37" t="s">
        <v>3643</v>
      </c>
      <c r="V50" s="37">
        <v>1</v>
      </c>
      <c r="W50" s="10">
        <v>1</v>
      </c>
      <c r="X50" s="10"/>
      <c r="Y50" s="10">
        <v>0</v>
      </c>
      <c r="Z50" s="10">
        <v>0</v>
      </c>
      <c r="AA50" s="34">
        <v>120</v>
      </c>
      <c r="AB50" s="10">
        <v>0</v>
      </c>
      <c r="AC50" s="10">
        <v>0</v>
      </c>
      <c r="AD50" s="10" t="s">
        <v>3644</v>
      </c>
      <c r="AE50" s="10"/>
      <c r="AF50" s="10"/>
      <c r="AG50" s="124" t="s">
        <v>102</v>
      </c>
      <c r="AH50" s="124" t="s">
        <v>102</v>
      </c>
      <c r="AI50" s="124" t="s">
        <v>102</v>
      </c>
      <c r="AJ50" s="124" t="s">
        <v>102</v>
      </c>
      <c r="AK50" s="124"/>
      <c r="AL50" s="124"/>
      <c r="AM50" s="124"/>
      <c r="AN50" s="124"/>
      <c r="AO50" s="124"/>
      <c r="AP50" s="124"/>
    </row>
    <row r="51" spans="1:43" ht="90" x14ac:dyDescent="0.25">
      <c r="A51" s="34"/>
      <c r="B51" s="34"/>
      <c r="C51" s="34"/>
      <c r="D51" s="34"/>
      <c r="E51" s="74"/>
      <c r="F51" s="34"/>
      <c r="G51" s="34"/>
      <c r="H51" s="36"/>
      <c r="I51" s="255"/>
      <c r="J51" s="39"/>
      <c r="K51" s="39"/>
      <c r="L51" s="39"/>
      <c r="M51" s="39"/>
      <c r="N51" s="36">
        <f t="shared" si="2"/>
        <v>0</v>
      </c>
      <c r="O51" s="36">
        <f t="shared" si="2"/>
        <v>0</v>
      </c>
      <c r="P51" s="36">
        <f t="shared" si="2"/>
        <v>0</v>
      </c>
      <c r="Q51" s="39"/>
      <c r="R51" s="39"/>
      <c r="S51" s="36">
        <f t="shared" si="1"/>
        <v>0</v>
      </c>
      <c r="T51" s="37" t="s">
        <v>3645</v>
      </c>
      <c r="U51" s="37" t="s">
        <v>3637</v>
      </c>
      <c r="V51" s="37">
        <v>200</v>
      </c>
      <c r="W51" s="10">
        <v>0</v>
      </c>
      <c r="X51" s="10"/>
      <c r="Y51" s="10">
        <v>0</v>
      </c>
      <c r="Z51" s="10">
        <v>0</v>
      </c>
      <c r="AA51" s="34">
        <v>90</v>
      </c>
      <c r="AB51" s="10">
        <v>0</v>
      </c>
      <c r="AC51" s="10">
        <v>0</v>
      </c>
      <c r="AD51" s="10" t="s">
        <v>3646</v>
      </c>
      <c r="AE51" s="10"/>
      <c r="AF51" s="10"/>
      <c r="AG51" s="124"/>
      <c r="AH51" s="124"/>
      <c r="AI51" s="124"/>
      <c r="AJ51" s="124"/>
      <c r="AK51" s="124"/>
      <c r="AL51" s="124"/>
      <c r="AM51" s="124"/>
      <c r="AN51" s="124" t="s">
        <v>102</v>
      </c>
      <c r="AO51" s="124" t="s">
        <v>102</v>
      </c>
      <c r="AP51" s="124" t="s">
        <v>102</v>
      </c>
    </row>
    <row r="52" spans="1:43" ht="72" x14ac:dyDescent="0.25">
      <c r="A52" s="34"/>
      <c r="B52" s="34"/>
      <c r="C52" s="34"/>
      <c r="D52" s="34"/>
      <c r="E52" s="74"/>
      <c r="F52" s="34"/>
      <c r="G52" s="34"/>
      <c r="H52" s="36"/>
      <c r="I52" s="255"/>
      <c r="J52" s="39"/>
      <c r="K52" s="39"/>
      <c r="L52" s="39"/>
      <c r="M52" s="39"/>
      <c r="N52" s="36">
        <f t="shared" si="2"/>
        <v>0</v>
      </c>
      <c r="O52" s="36">
        <f t="shared" si="2"/>
        <v>0</v>
      </c>
      <c r="P52" s="36">
        <f t="shared" si="2"/>
        <v>0</v>
      </c>
      <c r="Q52" s="39"/>
      <c r="R52" s="39"/>
      <c r="S52" s="36">
        <f t="shared" si="1"/>
        <v>0</v>
      </c>
      <c r="T52" s="37" t="s">
        <v>3647</v>
      </c>
      <c r="U52" s="37" t="s">
        <v>3643</v>
      </c>
      <c r="V52" s="37">
        <v>1</v>
      </c>
      <c r="W52" s="10">
        <v>1</v>
      </c>
      <c r="X52" s="10"/>
      <c r="Y52" s="10">
        <v>0</v>
      </c>
      <c r="Z52" s="10">
        <v>0</v>
      </c>
      <c r="AA52" s="34">
        <v>90</v>
      </c>
      <c r="AB52" s="10">
        <v>0</v>
      </c>
      <c r="AC52" s="10">
        <v>0</v>
      </c>
      <c r="AD52" s="10" t="s">
        <v>3644</v>
      </c>
      <c r="AE52" s="10"/>
      <c r="AF52" s="10"/>
      <c r="AG52" s="124" t="s">
        <v>102</v>
      </c>
      <c r="AH52" s="124" t="s">
        <v>102</v>
      </c>
      <c r="AI52" s="124" t="s">
        <v>102</v>
      </c>
      <c r="AJ52" s="124"/>
      <c r="AK52" s="124"/>
      <c r="AL52" s="124"/>
      <c r="AM52" s="124"/>
      <c r="AN52" s="124"/>
      <c r="AO52" s="124"/>
      <c r="AP52" s="124"/>
    </row>
    <row r="53" spans="1:43" ht="105" x14ac:dyDescent="0.25">
      <c r="A53" s="34"/>
      <c r="B53" s="34"/>
      <c r="C53" s="34"/>
      <c r="D53" s="34"/>
      <c r="E53" s="74"/>
      <c r="F53" s="34"/>
      <c r="G53" s="34"/>
      <c r="H53" s="36"/>
      <c r="I53" s="255"/>
      <c r="J53" s="39"/>
      <c r="K53" s="39"/>
      <c r="L53" s="39"/>
      <c r="M53" s="39"/>
      <c r="N53" s="36">
        <f t="shared" si="2"/>
        <v>0</v>
      </c>
      <c r="O53" s="36">
        <f t="shared" si="2"/>
        <v>0</v>
      </c>
      <c r="P53" s="36">
        <f t="shared" si="2"/>
        <v>0</v>
      </c>
      <c r="Q53" s="39"/>
      <c r="R53" s="39"/>
      <c r="S53" s="36">
        <f t="shared" si="1"/>
        <v>0</v>
      </c>
      <c r="T53" s="37" t="s">
        <v>3648</v>
      </c>
      <c r="U53" s="37" t="s">
        <v>3649</v>
      </c>
      <c r="V53" s="37">
        <v>28</v>
      </c>
      <c r="W53" s="10">
        <v>28</v>
      </c>
      <c r="X53" s="10"/>
      <c r="Y53" s="10">
        <v>23</v>
      </c>
      <c r="Z53" s="10">
        <v>23</v>
      </c>
      <c r="AA53" s="34">
        <v>330</v>
      </c>
      <c r="AB53" s="10">
        <f>5*30</f>
        <v>150</v>
      </c>
      <c r="AC53" s="10">
        <v>330</v>
      </c>
      <c r="AD53" s="10" t="s">
        <v>3650</v>
      </c>
      <c r="AE53" s="10"/>
      <c r="AF53" s="10" t="s">
        <v>102</v>
      </c>
      <c r="AG53" s="124" t="s">
        <v>102</v>
      </c>
      <c r="AH53" s="124" t="s">
        <v>102</v>
      </c>
      <c r="AI53" s="124" t="s">
        <v>102</v>
      </c>
      <c r="AJ53" s="124" t="s">
        <v>102</v>
      </c>
      <c r="AK53" s="124" t="s">
        <v>102</v>
      </c>
      <c r="AL53" s="124" t="s">
        <v>102</v>
      </c>
      <c r="AM53" s="124" t="s">
        <v>102</v>
      </c>
      <c r="AN53" s="124" t="s">
        <v>102</v>
      </c>
      <c r="AO53" s="124" t="s">
        <v>102</v>
      </c>
      <c r="AP53" s="124" t="s">
        <v>102</v>
      </c>
    </row>
    <row r="54" spans="1:43" ht="120" x14ac:dyDescent="0.25">
      <c r="A54" s="34"/>
      <c r="B54" s="34"/>
      <c r="C54" s="34"/>
      <c r="D54" s="34"/>
      <c r="E54" s="74"/>
      <c r="F54" s="34"/>
      <c r="G54" s="34"/>
      <c r="H54" s="36"/>
      <c r="I54" s="255"/>
      <c r="J54" s="39"/>
      <c r="K54" s="39"/>
      <c r="L54" s="39"/>
      <c r="M54" s="39"/>
      <c r="N54" s="36">
        <f t="shared" si="2"/>
        <v>0</v>
      </c>
      <c r="O54" s="36">
        <f t="shared" si="2"/>
        <v>0</v>
      </c>
      <c r="P54" s="36">
        <f t="shared" si="2"/>
        <v>0</v>
      </c>
      <c r="Q54" s="39"/>
      <c r="R54" s="39"/>
      <c r="S54" s="36">
        <f t="shared" si="1"/>
        <v>0</v>
      </c>
      <c r="T54" s="37" t="s">
        <v>3651</v>
      </c>
      <c r="U54" s="37" t="s">
        <v>3652</v>
      </c>
      <c r="V54" s="37">
        <v>1</v>
      </c>
      <c r="W54" s="10">
        <v>1</v>
      </c>
      <c r="X54" s="10"/>
      <c r="Y54" s="10">
        <v>1</v>
      </c>
      <c r="Z54" s="10">
        <v>1</v>
      </c>
      <c r="AA54" s="34">
        <v>330</v>
      </c>
      <c r="AB54" s="10">
        <v>120</v>
      </c>
      <c r="AC54" s="10">
        <v>180</v>
      </c>
      <c r="AD54" s="10" t="s">
        <v>3653</v>
      </c>
      <c r="AE54" s="10"/>
      <c r="AF54" s="10" t="s">
        <v>102</v>
      </c>
      <c r="AG54" s="124" t="s">
        <v>102</v>
      </c>
      <c r="AH54" s="124" t="s">
        <v>102</v>
      </c>
      <c r="AI54" s="124" t="s">
        <v>102</v>
      </c>
      <c r="AJ54" s="124" t="s">
        <v>102</v>
      </c>
      <c r="AK54" s="124" t="s">
        <v>102</v>
      </c>
      <c r="AL54" s="124" t="s">
        <v>102</v>
      </c>
      <c r="AM54" s="124" t="s">
        <v>102</v>
      </c>
      <c r="AN54" s="124" t="s">
        <v>102</v>
      </c>
      <c r="AO54" s="124" t="s">
        <v>102</v>
      </c>
      <c r="AP54" s="124" t="s">
        <v>102</v>
      </c>
    </row>
    <row r="55" spans="1:43" ht="132" x14ac:dyDescent="0.25">
      <c r="A55" s="10" t="s">
        <v>156</v>
      </c>
      <c r="B55" s="10" t="s">
        <v>3299</v>
      </c>
      <c r="C55" s="10" t="s">
        <v>3309</v>
      </c>
      <c r="D55" s="10">
        <v>221220007</v>
      </c>
      <c r="E55" s="74" t="s">
        <v>3328</v>
      </c>
      <c r="F55" s="34">
        <v>22205001</v>
      </c>
      <c r="G55" s="34" t="s">
        <v>3329</v>
      </c>
      <c r="H55" s="36">
        <v>3950005000</v>
      </c>
      <c r="I55" s="255">
        <v>698505000</v>
      </c>
      <c r="J55" s="39">
        <v>698505000</v>
      </c>
      <c r="K55" s="39"/>
      <c r="L55" s="39"/>
      <c r="M55" s="39"/>
      <c r="N55" s="36">
        <f t="shared" si="2"/>
        <v>3950005000</v>
      </c>
      <c r="O55" s="36">
        <f t="shared" si="2"/>
        <v>698505000</v>
      </c>
      <c r="P55" s="36">
        <f t="shared" si="2"/>
        <v>698505000</v>
      </c>
      <c r="Q55" s="39">
        <v>698505000</v>
      </c>
      <c r="R55" s="39"/>
      <c r="S55" s="36">
        <f t="shared" si="1"/>
        <v>698505000</v>
      </c>
      <c r="T55" s="37" t="s">
        <v>3654</v>
      </c>
      <c r="U55" s="37">
        <v>0</v>
      </c>
      <c r="V55" s="37">
        <v>0</v>
      </c>
      <c r="W55" s="10"/>
      <c r="X55" s="10"/>
      <c r="Y55" s="10"/>
      <c r="Z55" s="10"/>
      <c r="AA55" s="34">
        <v>0</v>
      </c>
      <c r="AB55" s="10"/>
      <c r="AC55" s="10"/>
      <c r="AD55" s="10"/>
      <c r="AE55" s="10"/>
      <c r="AF55" s="10"/>
      <c r="AG55" s="124"/>
      <c r="AH55" s="124"/>
      <c r="AI55" s="124"/>
      <c r="AJ55" s="124"/>
      <c r="AK55" s="124"/>
      <c r="AL55" s="124"/>
      <c r="AM55" s="124"/>
      <c r="AN55" s="124"/>
      <c r="AO55" s="124"/>
      <c r="AP55" s="124"/>
      <c r="AQ55" s="155"/>
    </row>
    <row r="56" spans="1:43" ht="60" x14ac:dyDescent="0.25">
      <c r="A56" s="34"/>
      <c r="B56" s="34"/>
      <c r="C56" s="34"/>
      <c r="D56" s="34"/>
      <c r="E56" s="74"/>
      <c r="F56" s="34"/>
      <c r="G56" s="34"/>
      <c r="H56" s="36"/>
      <c r="I56" s="255"/>
      <c r="J56" s="39"/>
      <c r="K56" s="39"/>
      <c r="L56" s="39"/>
      <c r="M56" s="39"/>
      <c r="N56" s="36">
        <f t="shared" si="2"/>
        <v>0</v>
      </c>
      <c r="O56" s="36">
        <f t="shared" si="2"/>
        <v>0</v>
      </c>
      <c r="P56" s="36">
        <f t="shared" si="2"/>
        <v>0</v>
      </c>
      <c r="Q56" s="39"/>
      <c r="R56" s="39"/>
      <c r="S56" s="36">
        <f t="shared" si="1"/>
        <v>0</v>
      </c>
      <c r="T56" s="37" t="s">
        <v>3655</v>
      </c>
      <c r="U56" s="37" t="s">
        <v>3656</v>
      </c>
      <c r="V56" s="37">
        <v>12500</v>
      </c>
      <c r="W56" s="10">
        <v>12500</v>
      </c>
      <c r="X56" s="10"/>
      <c r="Y56" s="10">
        <v>11069</v>
      </c>
      <c r="Z56" s="10">
        <v>11069</v>
      </c>
      <c r="AA56" s="34">
        <v>300</v>
      </c>
      <c r="AB56" s="10">
        <v>150</v>
      </c>
      <c r="AC56" s="10">
        <v>300</v>
      </c>
      <c r="AD56" s="10" t="s">
        <v>3657</v>
      </c>
      <c r="AE56" s="10"/>
      <c r="AF56" s="10" t="s">
        <v>102</v>
      </c>
      <c r="AG56" s="124" t="s">
        <v>102</v>
      </c>
      <c r="AH56" s="124" t="s">
        <v>102</v>
      </c>
      <c r="AI56" s="124" t="s">
        <v>102</v>
      </c>
      <c r="AJ56" s="124" t="s">
        <v>102</v>
      </c>
      <c r="AK56" s="124" t="s">
        <v>102</v>
      </c>
      <c r="AL56" s="124" t="s">
        <v>102</v>
      </c>
      <c r="AM56" s="124" t="s">
        <v>102</v>
      </c>
      <c r="AN56" s="124" t="s">
        <v>102</v>
      </c>
      <c r="AO56" s="124" t="s">
        <v>102</v>
      </c>
      <c r="AP56" s="124"/>
    </row>
    <row r="57" spans="1:43" ht="72" x14ac:dyDescent="0.25">
      <c r="A57" s="34"/>
      <c r="B57" s="34"/>
      <c r="C57" s="34"/>
      <c r="D57" s="34"/>
      <c r="E57" s="74"/>
      <c r="F57" s="34"/>
      <c r="G57" s="34"/>
      <c r="H57" s="36"/>
      <c r="I57" s="255"/>
      <c r="J57" s="39"/>
      <c r="K57" s="39"/>
      <c r="L57" s="39"/>
      <c r="M57" s="39"/>
      <c r="N57" s="36">
        <f t="shared" si="2"/>
        <v>0</v>
      </c>
      <c r="O57" s="36">
        <f t="shared" si="2"/>
        <v>0</v>
      </c>
      <c r="P57" s="36">
        <f t="shared" si="2"/>
        <v>0</v>
      </c>
      <c r="Q57" s="39"/>
      <c r="R57" s="39"/>
      <c r="S57" s="36">
        <f t="shared" si="1"/>
        <v>0</v>
      </c>
      <c r="T57" s="37" t="s">
        <v>3658</v>
      </c>
      <c r="U57" s="37" t="s">
        <v>3659</v>
      </c>
      <c r="V57" s="37">
        <v>190</v>
      </c>
      <c r="W57" s="10">
        <v>146</v>
      </c>
      <c r="X57" s="10"/>
      <c r="Y57" s="10">
        <v>146</v>
      </c>
      <c r="Z57" s="10">
        <v>150</v>
      </c>
      <c r="AA57" s="34">
        <v>300</v>
      </c>
      <c r="AB57" s="10">
        <v>150</v>
      </c>
      <c r="AC57" s="10">
        <v>300</v>
      </c>
      <c r="AD57" s="10" t="s">
        <v>3331</v>
      </c>
      <c r="AE57" s="10"/>
      <c r="AF57" s="10" t="s">
        <v>102</v>
      </c>
      <c r="AG57" s="124" t="s">
        <v>102</v>
      </c>
      <c r="AH57" s="124" t="s">
        <v>102</v>
      </c>
      <c r="AI57" s="124" t="s">
        <v>102</v>
      </c>
      <c r="AJ57" s="124" t="s">
        <v>102</v>
      </c>
      <c r="AK57" s="124" t="s">
        <v>102</v>
      </c>
      <c r="AL57" s="124" t="s">
        <v>102</v>
      </c>
      <c r="AM57" s="124" t="s">
        <v>102</v>
      </c>
      <c r="AN57" s="124" t="s">
        <v>102</v>
      </c>
      <c r="AO57" s="124" t="s">
        <v>102</v>
      </c>
      <c r="AP57" s="124"/>
    </row>
    <row r="58" spans="1:43" ht="60" x14ac:dyDescent="0.25">
      <c r="A58" s="34"/>
      <c r="B58" s="34"/>
      <c r="C58" s="34"/>
      <c r="D58" s="34"/>
      <c r="E58" s="74"/>
      <c r="F58" s="34"/>
      <c r="G58" s="34"/>
      <c r="H58" s="36"/>
      <c r="I58" s="255"/>
      <c r="J58" s="39"/>
      <c r="K58" s="39"/>
      <c r="L58" s="39"/>
      <c r="M58" s="39"/>
      <c r="N58" s="36">
        <f t="shared" si="2"/>
        <v>0</v>
      </c>
      <c r="O58" s="36">
        <f t="shared" si="2"/>
        <v>0</v>
      </c>
      <c r="P58" s="36">
        <f t="shared" si="2"/>
        <v>0</v>
      </c>
      <c r="Q58" s="39"/>
      <c r="R58" s="39"/>
      <c r="S58" s="36">
        <f t="shared" si="1"/>
        <v>0</v>
      </c>
      <c r="T58" s="37" t="s">
        <v>3660</v>
      </c>
      <c r="U58" s="37" t="s">
        <v>3659</v>
      </c>
      <c r="V58" s="37">
        <v>30</v>
      </c>
      <c r="W58" s="10">
        <v>0</v>
      </c>
      <c r="X58" s="10"/>
      <c r="Y58" s="10">
        <v>0</v>
      </c>
      <c r="Z58" s="10">
        <v>0</v>
      </c>
      <c r="AA58" s="34">
        <v>270</v>
      </c>
      <c r="AB58" s="10">
        <v>0</v>
      </c>
      <c r="AC58" s="10">
        <v>0</v>
      </c>
      <c r="AD58" s="10" t="s">
        <v>3644</v>
      </c>
      <c r="AE58" s="10"/>
      <c r="AF58" s="10"/>
      <c r="AG58" s="124" t="s">
        <v>102</v>
      </c>
      <c r="AH58" s="124" t="s">
        <v>102</v>
      </c>
      <c r="AI58" s="124" t="s">
        <v>102</v>
      </c>
      <c r="AJ58" s="124" t="s">
        <v>102</v>
      </c>
      <c r="AK58" s="124" t="s">
        <v>102</v>
      </c>
      <c r="AL58" s="124" t="s">
        <v>102</v>
      </c>
      <c r="AM58" s="124" t="s">
        <v>102</v>
      </c>
      <c r="AN58" s="124" t="s">
        <v>102</v>
      </c>
      <c r="AO58" s="124" t="s">
        <v>102</v>
      </c>
      <c r="AP58" s="124"/>
    </row>
    <row r="59" spans="1:43" ht="120" x14ac:dyDescent="0.25">
      <c r="A59" s="10" t="s">
        <v>156</v>
      </c>
      <c r="B59" s="10" t="s">
        <v>3299</v>
      </c>
      <c r="C59" s="10" t="s">
        <v>3332</v>
      </c>
      <c r="D59" s="10">
        <v>221310000</v>
      </c>
      <c r="E59" s="74" t="s">
        <v>3334</v>
      </c>
      <c r="F59" s="34" t="s">
        <v>3335</v>
      </c>
      <c r="G59" s="34" t="s">
        <v>3336</v>
      </c>
      <c r="H59" s="36">
        <v>700000000</v>
      </c>
      <c r="I59" s="255">
        <v>700000000</v>
      </c>
      <c r="J59" s="39">
        <v>700000000</v>
      </c>
      <c r="K59" s="39"/>
      <c r="L59" s="39">
        <v>0</v>
      </c>
      <c r="M59" s="39"/>
      <c r="N59" s="36">
        <f t="shared" si="2"/>
        <v>700000000</v>
      </c>
      <c r="O59" s="36">
        <f t="shared" si="2"/>
        <v>700000000</v>
      </c>
      <c r="P59" s="36">
        <f t="shared" si="2"/>
        <v>700000000</v>
      </c>
      <c r="Q59" s="39">
        <v>700000000</v>
      </c>
      <c r="R59" s="39">
        <v>0</v>
      </c>
      <c r="S59" s="36">
        <f t="shared" si="1"/>
        <v>700000000</v>
      </c>
      <c r="T59" s="37">
        <v>0</v>
      </c>
      <c r="U59" s="37">
        <v>0</v>
      </c>
      <c r="V59" s="37">
        <v>0</v>
      </c>
      <c r="W59" s="10"/>
      <c r="X59" s="10"/>
      <c r="Y59" s="10"/>
      <c r="Z59" s="10"/>
      <c r="AA59" s="34">
        <v>0</v>
      </c>
      <c r="AB59" s="10"/>
      <c r="AC59" s="10"/>
      <c r="AD59" s="10" t="s">
        <v>3661</v>
      </c>
      <c r="AE59" s="10"/>
      <c r="AF59" s="10"/>
      <c r="AG59" s="124"/>
      <c r="AH59" s="124"/>
      <c r="AI59" s="124"/>
      <c r="AJ59" s="124"/>
      <c r="AK59" s="124"/>
      <c r="AL59" s="124"/>
      <c r="AM59" s="124"/>
      <c r="AN59" s="124"/>
      <c r="AO59" s="124"/>
      <c r="AP59" s="124"/>
      <c r="AQ59" s="155"/>
    </row>
    <row r="60" spans="1:43" ht="24" x14ac:dyDescent="0.25">
      <c r="A60" s="34"/>
      <c r="B60" s="34"/>
      <c r="C60" s="34"/>
      <c r="D60" s="34"/>
      <c r="E60" s="74"/>
      <c r="F60" s="34"/>
      <c r="G60" s="34"/>
      <c r="H60" s="36"/>
      <c r="I60" s="255"/>
      <c r="J60" s="39"/>
      <c r="K60" s="39"/>
      <c r="L60" s="39"/>
      <c r="M60" s="39"/>
      <c r="N60" s="36">
        <f t="shared" si="2"/>
        <v>0</v>
      </c>
      <c r="O60" s="36">
        <f t="shared" si="2"/>
        <v>0</v>
      </c>
      <c r="P60" s="36">
        <f t="shared" si="2"/>
        <v>0</v>
      </c>
      <c r="Q60" s="39"/>
      <c r="R60" s="39"/>
      <c r="S60" s="36">
        <f t="shared" si="1"/>
        <v>0</v>
      </c>
      <c r="T60" s="37" t="s">
        <v>3662</v>
      </c>
      <c r="U60" s="37" t="s">
        <v>3663</v>
      </c>
      <c r="V60" s="37">
        <v>1</v>
      </c>
      <c r="W60" s="10">
        <v>1</v>
      </c>
      <c r="X60" s="10"/>
      <c r="Y60" s="10">
        <v>0</v>
      </c>
      <c r="Z60" s="10">
        <v>1</v>
      </c>
      <c r="AA60" s="34">
        <v>90</v>
      </c>
      <c r="AB60" s="10">
        <v>0</v>
      </c>
      <c r="AC60" s="10">
        <v>30</v>
      </c>
      <c r="AD60" s="10" t="s">
        <v>3664</v>
      </c>
      <c r="AE60" s="10"/>
      <c r="AF60" s="10" t="s">
        <v>218</v>
      </c>
      <c r="AG60" s="124" t="s">
        <v>218</v>
      </c>
      <c r="AH60" s="124" t="s">
        <v>218</v>
      </c>
      <c r="AI60" s="124"/>
      <c r="AJ60" s="124"/>
      <c r="AK60" s="124"/>
      <c r="AL60" s="124"/>
      <c r="AM60" s="124"/>
      <c r="AN60" s="124"/>
      <c r="AO60" s="124"/>
      <c r="AP60" s="124"/>
    </row>
    <row r="61" spans="1:43" ht="105" x14ac:dyDescent="0.25">
      <c r="A61" s="34"/>
      <c r="B61" s="34"/>
      <c r="C61" s="34"/>
      <c r="D61" s="34"/>
      <c r="E61" s="74"/>
      <c r="F61" s="34"/>
      <c r="G61" s="34"/>
      <c r="H61" s="36"/>
      <c r="I61" s="255"/>
      <c r="J61" s="39"/>
      <c r="K61" s="39"/>
      <c r="L61" s="39"/>
      <c r="M61" s="39"/>
      <c r="N61" s="36">
        <f t="shared" si="2"/>
        <v>0</v>
      </c>
      <c r="O61" s="36">
        <f t="shared" si="2"/>
        <v>0</v>
      </c>
      <c r="P61" s="36">
        <f t="shared" si="2"/>
        <v>0</v>
      </c>
      <c r="Q61" s="39"/>
      <c r="R61" s="39"/>
      <c r="S61" s="36">
        <f t="shared" si="1"/>
        <v>0</v>
      </c>
      <c r="T61" s="37" t="s">
        <v>3665</v>
      </c>
      <c r="U61" s="37" t="s">
        <v>3666</v>
      </c>
      <c r="V61" s="37">
        <v>600</v>
      </c>
      <c r="W61" s="10">
        <v>0</v>
      </c>
      <c r="X61" s="10"/>
      <c r="Y61" s="10">
        <v>0</v>
      </c>
      <c r="Z61" s="10">
        <v>204</v>
      </c>
      <c r="AA61" s="34">
        <v>60</v>
      </c>
      <c r="AB61" s="10">
        <v>0</v>
      </c>
      <c r="AC61" s="10">
        <v>60</v>
      </c>
      <c r="AD61" s="10" t="s">
        <v>3667</v>
      </c>
      <c r="AE61" s="10"/>
      <c r="AF61" s="10"/>
      <c r="AG61" s="124"/>
      <c r="AH61" s="124"/>
      <c r="AI61" s="124" t="s">
        <v>218</v>
      </c>
      <c r="AJ61" s="124" t="s">
        <v>218</v>
      </c>
      <c r="AK61" s="124"/>
      <c r="AL61" s="124"/>
      <c r="AM61" s="124"/>
      <c r="AN61" s="124"/>
      <c r="AO61" s="124"/>
      <c r="AP61" s="124"/>
    </row>
    <row r="62" spans="1:43" ht="72" x14ac:dyDescent="0.25">
      <c r="A62" s="34"/>
      <c r="B62" s="34"/>
      <c r="C62" s="34"/>
      <c r="D62" s="34"/>
      <c r="E62" s="74"/>
      <c r="F62" s="34"/>
      <c r="G62" s="34"/>
      <c r="H62" s="36"/>
      <c r="I62" s="255"/>
      <c r="J62" s="39"/>
      <c r="K62" s="39"/>
      <c r="L62" s="39"/>
      <c r="M62" s="39"/>
      <c r="N62" s="36">
        <f t="shared" si="2"/>
        <v>0</v>
      </c>
      <c r="O62" s="36">
        <f t="shared" si="2"/>
        <v>0</v>
      </c>
      <c r="P62" s="36">
        <f t="shared" si="2"/>
        <v>0</v>
      </c>
      <c r="Q62" s="39"/>
      <c r="R62" s="39"/>
      <c r="S62" s="36">
        <f t="shared" si="1"/>
        <v>0</v>
      </c>
      <c r="T62" s="37" t="s">
        <v>3668</v>
      </c>
      <c r="U62" s="37" t="s">
        <v>3669</v>
      </c>
      <c r="V62" s="37">
        <v>600</v>
      </c>
      <c r="W62" s="10">
        <v>0</v>
      </c>
      <c r="X62" s="10"/>
      <c r="Y62" s="10">
        <v>0</v>
      </c>
      <c r="Z62" s="10">
        <v>0</v>
      </c>
      <c r="AA62" s="34">
        <v>150</v>
      </c>
      <c r="AB62" s="10">
        <v>0</v>
      </c>
      <c r="AC62" s="10">
        <v>0</v>
      </c>
      <c r="AD62" s="10" t="s">
        <v>3670</v>
      </c>
      <c r="AE62" s="10"/>
      <c r="AF62" s="10"/>
      <c r="AG62" s="124"/>
      <c r="AH62" s="124"/>
      <c r="AI62" s="124"/>
      <c r="AJ62" s="124"/>
      <c r="AK62" s="124"/>
      <c r="AL62" s="124" t="s">
        <v>218</v>
      </c>
      <c r="AM62" s="124" t="s">
        <v>218</v>
      </c>
      <c r="AN62" s="124" t="s">
        <v>218</v>
      </c>
      <c r="AO62" s="124" t="s">
        <v>218</v>
      </c>
      <c r="AP62" s="124" t="s">
        <v>218</v>
      </c>
    </row>
    <row r="63" spans="1:43" ht="144" x14ac:dyDescent="0.25">
      <c r="A63" s="10" t="s">
        <v>156</v>
      </c>
      <c r="B63" s="10" t="s">
        <v>3299</v>
      </c>
      <c r="C63" s="10" t="s">
        <v>3332</v>
      </c>
      <c r="D63" s="10">
        <v>221310001</v>
      </c>
      <c r="E63" s="74" t="s">
        <v>3339</v>
      </c>
      <c r="F63" s="34">
        <v>22191001</v>
      </c>
      <c r="G63" s="34" t="s">
        <v>3340</v>
      </c>
      <c r="H63" s="36">
        <v>100000000</v>
      </c>
      <c r="I63" s="255">
        <v>100000000</v>
      </c>
      <c r="J63" s="39">
        <v>0</v>
      </c>
      <c r="K63" s="39"/>
      <c r="L63" s="39"/>
      <c r="M63" s="39"/>
      <c r="N63" s="36">
        <f t="shared" si="2"/>
        <v>100000000</v>
      </c>
      <c r="O63" s="36">
        <f t="shared" si="2"/>
        <v>100000000</v>
      </c>
      <c r="P63" s="36">
        <f t="shared" si="2"/>
        <v>0</v>
      </c>
      <c r="Q63" s="39">
        <v>0</v>
      </c>
      <c r="R63" s="39"/>
      <c r="S63" s="36">
        <f t="shared" si="1"/>
        <v>0</v>
      </c>
      <c r="T63" s="37">
        <v>0</v>
      </c>
      <c r="U63" s="37">
        <v>0</v>
      </c>
      <c r="V63" s="37">
        <v>0</v>
      </c>
      <c r="W63" s="10"/>
      <c r="X63" s="10"/>
      <c r="Y63" s="10"/>
      <c r="Z63" s="10"/>
      <c r="AA63" s="34">
        <v>0</v>
      </c>
      <c r="AB63" s="10"/>
      <c r="AC63" s="10"/>
      <c r="AD63" s="10"/>
      <c r="AE63" s="10"/>
      <c r="AF63" s="10"/>
      <c r="AG63" s="124"/>
      <c r="AH63" s="124"/>
      <c r="AI63" s="124"/>
      <c r="AJ63" s="124"/>
      <c r="AK63" s="124"/>
      <c r="AL63" s="124"/>
      <c r="AM63" s="124"/>
      <c r="AN63" s="124"/>
      <c r="AO63" s="124"/>
      <c r="AP63" s="124"/>
      <c r="AQ63" s="155"/>
    </row>
    <row r="64" spans="1:43" ht="96" x14ac:dyDescent="0.25">
      <c r="A64" s="34"/>
      <c r="B64" s="34"/>
      <c r="C64" s="34"/>
      <c r="D64" s="34"/>
      <c r="E64" s="74"/>
      <c r="F64" s="34"/>
      <c r="G64" s="34"/>
      <c r="H64" s="36"/>
      <c r="I64" s="255"/>
      <c r="J64" s="39"/>
      <c r="K64" s="39"/>
      <c r="L64" s="39"/>
      <c r="M64" s="39"/>
      <c r="N64" s="36">
        <f t="shared" si="2"/>
        <v>0</v>
      </c>
      <c r="O64" s="36">
        <f t="shared" si="2"/>
        <v>0</v>
      </c>
      <c r="P64" s="36">
        <f t="shared" si="2"/>
        <v>0</v>
      </c>
      <c r="Q64" s="39"/>
      <c r="R64" s="39"/>
      <c r="S64" s="36">
        <f t="shared" si="1"/>
        <v>0</v>
      </c>
      <c r="T64" s="37" t="s">
        <v>3671</v>
      </c>
      <c r="U64" s="37" t="s">
        <v>3672</v>
      </c>
      <c r="V64" s="37">
        <v>600</v>
      </c>
      <c r="W64" s="10">
        <v>600</v>
      </c>
      <c r="X64" s="10"/>
      <c r="Y64" s="10">
        <v>0</v>
      </c>
      <c r="Z64" s="10">
        <v>469</v>
      </c>
      <c r="AA64" s="34">
        <v>120</v>
      </c>
      <c r="AB64" s="10">
        <v>0</v>
      </c>
      <c r="AC64" s="10">
        <v>120</v>
      </c>
      <c r="AD64" s="10" t="s">
        <v>3673</v>
      </c>
      <c r="AE64" s="10"/>
      <c r="AF64" s="10"/>
      <c r="AG64" s="124"/>
      <c r="AH64" s="124" t="s">
        <v>218</v>
      </c>
      <c r="AI64" s="124" t="s">
        <v>218</v>
      </c>
      <c r="AJ64" s="124" t="s">
        <v>218</v>
      </c>
      <c r="AK64" s="124" t="s">
        <v>218</v>
      </c>
      <c r="AL64" s="124"/>
      <c r="AM64" s="124"/>
      <c r="AN64" s="124"/>
      <c r="AO64" s="124"/>
      <c r="AP64" s="124"/>
    </row>
    <row r="65" spans="1:43" ht="60" x14ac:dyDescent="0.25">
      <c r="A65" s="10" t="s">
        <v>156</v>
      </c>
      <c r="B65" s="10" t="s">
        <v>3299</v>
      </c>
      <c r="C65" s="10" t="s">
        <v>3332</v>
      </c>
      <c r="D65" s="10">
        <v>221330000</v>
      </c>
      <c r="E65" s="34" t="s">
        <v>3344</v>
      </c>
      <c r="F65" s="34" t="s">
        <v>3345</v>
      </c>
      <c r="G65" s="34" t="s">
        <v>3346</v>
      </c>
      <c r="H65" s="36">
        <v>177600000</v>
      </c>
      <c r="I65" s="255">
        <v>177600000</v>
      </c>
      <c r="J65" s="39">
        <v>177600000</v>
      </c>
      <c r="K65" s="39"/>
      <c r="L65" s="39">
        <v>0</v>
      </c>
      <c r="M65" s="39"/>
      <c r="N65" s="36">
        <f t="shared" si="2"/>
        <v>177600000</v>
      </c>
      <c r="O65" s="36">
        <f t="shared" si="2"/>
        <v>177600000</v>
      </c>
      <c r="P65" s="36">
        <f t="shared" si="2"/>
        <v>177600000</v>
      </c>
      <c r="Q65" s="39">
        <v>0</v>
      </c>
      <c r="R65" s="39">
        <v>0</v>
      </c>
      <c r="S65" s="36">
        <f t="shared" si="1"/>
        <v>0</v>
      </c>
      <c r="T65" s="37">
        <v>0</v>
      </c>
      <c r="U65" s="37">
        <v>0</v>
      </c>
      <c r="V65" s="37">
        <v>0</v>
      </c>
      <c r="W65" s="10"/>
      <c r="X65" s="10"/>
      <c r="Y65" s="10"/>
      <c r="Z65" s="10"/>
      <c r="AA65" s="34">
        <v>0</v>
      </c>
      <c r="AB65" s="10"/>
      <c r="AC65" s="10"/>
      <c r="AD65" s="10"/>
      <c r="AE65" s="10">
        <v>0</v>
      </c>
      <c r="AF65" s="10">
        <v>0</v>
      </c>
      <c r="AG65" s="124">
        <v>0</v>
      </c>
      <c r="AH65" s="124">
        <v>0</v>
      </c>
      <c r="AI65" s="124">
        <v>0</v>
      </c>
      <c r="AJ65" s="124">
        <v>0</v>
      </c>
      <c r="AK65" s="124">
        <v>0</v>
      </c>
      <c r="AL65" s="124">
        <v>0</v>
      </c>
      <c r="AM65" s="124">
        <v>0</v>
      </c>
      <c r="AN65" s="124">
        <v>0</v>
      </c>
      <c r="AO65" s="124">
        <v>0</v>
      </c>
      <c r="AP65" s="124">
        <v>0</v>
      </c>
      <c r="AQ65" s="155"/>
    </row>
    <row r="66" spans="1:43" ht="72" x14ac:dyDescent="0.25">
      <c r="A66" s="34"/>
      <c r="B66" s="34"/>
      <c r="C66" s="34"/>
      <c r="D66" s="34"/>
      <c r="E66" s="34"/>
      <c r="F66" s="34"/>
      <c r="G66" s="34"/>
      <c r="H66" s="36"/>
      <c r="I66" s="255"/>
      <c r="J66" s="39"/>
      <c r="K66" s="39"/>
      <c r="L66" s="39"/>
      <c r="M66" s="39"/>
      <c r="N66" s="36">
        <f t="shared" si="2"/>
        <v>0</v>
      </c>
      <c r="O66" s="36">
        <f t="shared" si="2"/>
        <v>0</v>
      </c>
      <c r="P66" s="36">
        <f t="shared" si="2"/>
        <v>0</v>
      </c>
      <c r="Q66" s="39"/>
      <c r="R66" s="39"/>
      <c r="S66" s="36">
        <f t="shared" si="1"/>
        <v>0</v>
      </c>
      <c r="T66" s="37" t="s">
        <v>3674</v>
      </c>
      <c r="U66" s="37" t="s">
        <v>3675</v>
      </c>
      <c r="V66" s="37">
        <v>1</v>
      </c>
      <c r="W66" s="10">
        <v>1</v>
      </c>
      <c r="X66" s="10"/>
      <c r="Y66" s="10">
        <v>0</v>
      </c>
      <c r="Z66" s="10">
        <v>1</v>
      </c>
      <c r="AA66" s="34">
        <v>30</v>
      </c>
      <c r="AB66" s="10">
        <v>0</v>
      </c>
      <c r="AC66" s="10">
        <v>60</v>
      </c>
      <c r="AD66" s="10"/>
      <c r="AE66" s="10"/>
      <c r="AF66" s="10"/>
      <c r="AG66" s="124" t="s">
        <v>218</v>
      </c>
      <c r="AH66" s="124"/>
      <c r="AI66" s="124"/>
      <c r="AJ66" s="124"/>
      <c r="AK66" s="124"/>
      <c r="AL66" s="124"/>
      <c r="AM66" s="124"/>
      <c r="AN66" s="124"/>
      <c r="AO66" s="124"/>
      <c r="AP66" s="124"/>
    </row>
    <row r="67" spans="1:43" ht="36" x14ac:dyDescent="0.25">
      <c r="A67" s="34"/>
      <c r="B67" s="34"/>
      <c r="C67" s="34"/>
      <c r="D67" s="34"/>
      <c r="E67" s="34"/>
      <c r="F67" s="34"/>
      <c r="G67" s="34"/>
      <c r="H67" s="36"/>
      <c r="I67" s="255"/>
      <c r="J67" s="39"/>
      <c r="K67" s="39"/>
      <c r="L67" s="39"/>
      <c r="M67" s="39"/>
      <c r="N67" s="36">
        <f t="shared" si="2"/>
        <v>0</v>
      </c>
      <c r="O67" s="36">
        <f t="shared" si="2"/>
        <v>0</v>
      </c>
      <c r="P67" s="36">
        <f t="shared" si="2"/>
        <v>0</v>
      </c>
      <c r="Q67" s="39"/>
      <c r="R67" s="39"/>
      <c r="S67" s="36">
        <f t="shared" si="1"/>
        <v>0</v>
      </c>
      <c r="T67" s="37" t="s">
        <v>3676</v>
      </c>
      <c r="U67" s="37" t="s">
        <v>3677</v>
      </c>
      <c r="V67" s="37">
        <v>1</v>
      </c>
      <c r="W67" s="10">
        <v>1</v>
      </c>
      <c r="X67" s="10"/>
      <c r="Y67" s="10">
        <v>0</v>
      </c>
      <c r="Z67" s="10">
        <v>0</v>
      </c>
      <c r="AA67" s="34">
        <v>150</v>
      </c>
      <c r="AB67" s="10">
        <v>0</v>
      </c>
      <c r="AC67" s="10">
        <v>0</v>
      </c>
      <c r="AD67" s="10"/>
      <c r="AE67" s="10"/>
      <c r="AF67" s="10"/>
      <c r="AG67" s="124"/>
      <c r="AH67" s="124" t="s">
        <v>218</v>
      </c>
      <c r="AI67" s="124" t="s">
        <v>218</v>
      </c>
      <c r="AJ67" s="124" t="s">
        <v>218</v>
      </c>
      <c r="AK67" s="124" t="s">
        <v>218</v>
      </c>
      <c r="AL67" s="124" t="s">
        <v>218</v>
      </c>
      <c r="AM67" s="124"/>
      <c r="AN67" s="124"/>
      <c r="AO67" s="124"/>
      <c r="AP67" s="124"/>
    </row>
    <row r="68" spans="1:43" ht="72" x14ac:dyDescent="0.25">
      <c r="A68" s="34"/>
      <c r="B68" s="34"/>
      <c r="C68" s="34"/>
      <c r="D68" s="34"/>
      <c r="E68" s="34"/>
      <c r="F68" s="34"/>
      <c r="G68" s="34"/>
      <c r="H68" s="36"/>
      <c r="I68" s="255"/>
      <c r="J68" s="39"/>
      <c r="K68" s="39"/>
      <c r="L68" s="39"/>
      <c r="M68" s="39"/>
      <c r="N68" s="36">
        <f t="shared" si="2"/>
        <v>0</v>
      </c>
      <c r="O68" s="36">
        <f t="shared" si="2"/>
        <v>0</v>
      </c>
      <c r="P68" s="36">
        <f t="shared" si="2"/>
        <v>0</v>
      </c>
      <c r="Q68" s="39"/>
      <c r="R68" s="39"/>
      <c r="S68" s="36">
        <f t="shared" si="1"/>
        <v>0</v>
      </c>
      <c r="T68" s="37" t="s">
        <v>3678</v>
      </c>
      <c r="U68" s="37" t="s">
        <v>3679</v>
      </c>
      <c r="V68" s="37">
        <v>1</v>
      </c>
      <c r="W68" s="10">
        <v>1</v>
      </c>
      <c r="X68" s="10"/>
      <c r="Y68" s="10">
        <v>0</v>
      </c>
      <c r="Z68" s="10">
        <v>0</v>
      </c>
      <c r="AA68" s="34">
        <v>210</v>
      </c>
      <c r="AB68" s="10">
        <v>0</v>
      </c>
      <c r="AC68" s="10">
        <v>0</v>
      </c>
      <c r="AD68" s="10" t="s">
        <v>3680</v>
      </c>
      <c r="AE68" s="10"/>
      <c r="AF68" s="10"/>
      <c r="AG68" s="124"/>
      <c r="AH68" s="124"/>
      <c r="AI68" s="124" t="s">
        <v>218</v>
      </c>
      <c r="AJ68" s="124" t="s">
        <v>218</v>
      </c>
      <c r="AK68" s="124" t="s">
        <v>218</v>
      </c>
      <c r="AL68" s="124" t="s">
        <v>218</v>
      </c>
      <c r="AM68" s="124" t="s">
        <v>218</v>
      </c>
      <c r="AN68" s="124" t="s">
        <v>218</v>
      </c>
      <c r="AO68" s="124" t="s">
        <v>218</v>
      </c>
      <c r="AP68" s="124"/>
    </row>
    <row r="69" spans="1:43" ht="48" x14ac:dyDescent="0.25">
      <c r="A69" s="34"/>
      <c r="B69" s="34"/>
      <c r="C69" s="34"/>
      <c r="D69" s="34"/>
      <c r="E69" s="34"/>
      <c r="F69" s="34"/>
      <c r="G69" s="34"/>
      <c r="H69" s="36"/>
      <c r="I69" s="255"/>
      <c r="J69" s="39"/>
      <c r="K69" s="39"/>
      <c r="L69" s="39"/>
      <c r="M69" s="39"/>
      <c r="N69" s="36">
        <f t="shared" si="2"/>
        <v>0</v>
      </c>
      <c r="O69" s="36">
        <f t="shared" si="2"/>
        <v>0</v>
      </c>
      <c r="P69" s="36">
        <f t="shared" si="2"/>
        <v>0</v>
      </c>
      <c r="Q69" s="39"/>
      <c r="R69" s="39"/>
      <c r="S69" s="36">
        <f t="shared" si="1"/>
        <v>0</v>
      </c>
      <c r="T69" s="37" t="s">
        <v>3681</v>
      </c>
      <c r="U69" s="37" t="s">
        <v>3682</v>
      </c>
      <c r="V69" s="37">
        <v>1</v>
      </c>
      <c r="W69" s="10">
        <v>0</v>
      </c>
      <c r="X69" s="10"/>
      <c r="Y69" s="10">
        <v>0</v>
      </c>
      <c r="Z69" s="10">
        <v>0</v>
      </c>
      <c r="AA69" s="34">
        <v>210</v>
      </c>
      <c r="AB69" s="10">
        <v>0</v>
      </c>
      <c r="AC69" s="10">
        <v>0</v>
      </c>
      <c r="AD69" s="10" t="s">
        <v>3683</v>
      </c>
      <c r="AE69" s="10"/>
      <c r="AF69" s="10"/>
      <c r="AG69" s="124"/>
      <c r="AH69" s="124"/>
      <c r="AI69" s="124" t="s">
        <v>218</v>
      </c>
      <c r="AJ69" s="124" t="s">
        <v>218</v>
      </c>
      <c r="AK69" s="124" t="s">
        <v>218</v>
      </c>
      <c r="AL69" s="124" t="s">
        <v>218</v>
      </c>
      <c r="AM69" s="124" t="s">
        <v>218</v>
      </c>
      <c r="AN69" s="124" t="s">
        <v>218</v>
      </c>
      <c r="AO69" s="124" t="s">
        <v>218</v>
      </c>
      <c r="AP69" s="124"/>
    </row>
    <row r="70" spans="1:43" ht="30" x14ac:dyDescent="0.25">
      <c r="A70" s="34"/>
      <c r="B70" s="34"/>
      <c r="C70" s="34"/>
      <c r="D70" s="34"/>
      <c r="E70" s="34"/>
      <c r="F70" s="34"/>
      <c r="G70" s="34"/>
      <c r="H70" s="36"/>
      <c r="I70" s="255"/>
      <c r="J70" s="39"/>
      <c r="K70" s="39"/>
      <c r="L70" s="39"/>
      <c r="M70" s="39"/>
      <c r="N70" s="36">
        <f t="shared" si="2"/>
        <v>0</v>
      </c>
      <c r="O70" s="36">
        <f t="shared" si="2"/>
        <v>0</v>
      </c>
      <c r="P70" s="36">
        <f t="shared" si="2"/>
        <v>0</v>
      </c>
      <c r="Q70" s="39"/>
      <c r="R70" s="39"/>
      <c r="S70" s="36">
        <f t="shared" si="1"/>
        <v>0</v>
      </c>
      <c r="T70" s="37" t="s">
        <v>3684</v>
      </c>
      <c r="U70" s="37" t="s">
        <v>3611</v>
      </c>
      <c r="V70" s="37">
        <v>1</v>
      </c>
      <c r="W70" s="10">
        <v>0</v>
      </c>
      <c r="X70" s="10"/>
      <c r="Y70" s="10">
        <v>0</v>
      </c>
      <c r="Z70" s="10">
        <v>1</v>
      </c>
      <c r="AA70" s="34">
        <v>240</v>
      </c>
      <c r="AB70" s="10">
        <v>0</v>
      </c>
      <c r="AC70" s="10">
        <v>30</v>
      </c>
      <c r="AD70" s="10" t="s">
        <v>3685</v>
      </c>
      <c r="AE70" s="10"/>
      <c r="AF70" s="10"/>
      <c r="AG70" s="124"/>
      <c r="AH70" s="124" t="s">
        <v>218</v>
      </c>
      <c r="AI70" s="124" t="s">
        <v>218</v>
      </c>
      <c r="AJ70" s="124" t="s">
        <v>218</v>
      </c>
      <c r="AK70" s="124" t="s">
        <v>218</v>
      </c>
      <c r="AL70" s="124" t="s">
        <v>218</v>
      </c>
      <c r="AM70" s="124" t="s">
        <v>218</v>
      </c>
      <c r="AN70" s="124" t="s">
        <v>218</v>
      </c>
      <c r="AO70" s="124" t="s">
        <v>218</v>
      </c>
      <c r="AP70" s="124"/>
    </row>
    <row r="71" spans="1:43" ht="120" x14ac:dyDescent="0.25">
      <c r="A71" s="10" t="s">
        <v>156</v>
      </c>
      <c r="B71" s="10" t="s">
        <v>3299</v>
      </c>
      <c r="C71" s="10" t="s">
        <v>3332</v>
      </c>
      <c r="D71" s="10">
        <v>221340008</v>
      </c>
      <c r="E71" s="11">
        <v>2012050000169</v>
      </c>
      <c r="F71" s="34">
        <v>22169001</v>
      </c>
      <c r="G71" s="34" t="s">
        <v>3350</v>
      </c>
      <c r="H71" s="36">
        <v>800000000</v>
      </c>
      <c r="I71" s="255">
        <v>800000000</v>
      </c>
      <c r="J71" s="39">
        <v>800000000</v>
      </c>
      <c r="K71" s="39"/>
      <c r="L71" s="39"/>
      <c r="M71" s="39"/>
      <c r="N71" s="36">
        <f t="shared" si="2"/>
        <v>800000000</v>
      </c>
      <c r="O71" s="36">
        <f t="shared" si="2"/>
        <v>800000000</v>
      </c>
      <c r="P71" s="36">
        <f t="shared" si="2"/>
        <v>800000000</v>
      </c>
      <c r="Q71" s="39">
        <v>599649458</v>
      </c>
      <c r="R71" s="39"/>
      <c r="S71" s="36">
        <f t="shared" si="1"/>
        <v>599649458</v>
      </c>
      <c r="T71" s="37">
        <v>0</v>
      </c>
      <c r="U71" s="37">
        <v>0</v>
      </c>
      <c r="V71" s="37">
        <v>0</v>
      </c>
      <c r="W71" s="10"/>
      <c r="X71" s="10"/>
      <c r="Y71" s="10"/>
      <c r="Z71" s="10"/>
      <c r="AA71" s="34">
        <v>0</v>
      </c>
      <c r="AB71" s="10"/>
      <c r="AC71" s="10"/>
      <c r="AD71" s="10"/>
      <c r="AE71" s="10"/>
      <c r="AF71" s="10"/>
      <c r="AG71" s="124"/>
      <c r="AH71" s="124"/>
      <c r="AI71" s="124"/>
      <c r="AJ71" s="124"/>
      <c r="AK71" s="124"/>
      <c r="AL71" s="124"/>
      <c r="AM71" s="124"/>
      <c r="AN71" s="124"/>
      <c r="AO71" s="124"/>
      <c r="AP71" s="124"/>
      <c r="AQ71" s="155"/>
    </row>
    <row r="72" spans="1:43" ht="60" x14ac:dyDescent="0.25">
      <c r="A72" s="34"/>
      <c r="B72" s="34"/>
      <c r="C72" s="34"/>
      <c r="D72" s="34"/>
      <c r="E72" s="34"/>
      <c r="F72" s="34"/>
      <c r="G72" s="34"/>
      <c r="H72" s="36"/>
      <c r="I72" s="255"/>
      <c r="J72" s="39"/>
      <c r="K72" s="39"/>
      <c r="L72" s="39"/>
      <c r="M72" s="39"/>
      <c r="N72" s="36">
        <f t="shared" si="2"/>
        <v>0</v>
      </c>
      <c r="O72" s="36">
        <f t="shared" si="2"/>
        <v>0</v>
      </c>
      <c r="P72" s="36">
        <f t="shared" si="2"/>
        <v>0</v>
      </c>
      <c r="Q72" s="39"/>
      <c r="R72" s="39"/>
      <c r="S72" s="36">
        <f t="shared" si="1"/>
        <v>0</v>
      </c>
      <c r="T72" s="37" t="s">
        <v>3686</v>
      </c>
      <c r="U72" s="37" t="s">
        <v>1463</v>
      </c>
      <c r="V72" s="37">
        <v>1</v>
      </c>
      <c r="W72" s="10">
        <v>0</v>
      </c>
      <c r="X72" s="10"/>
      <c r="Y72" s="10">
        <v>0</v>
      </c>
      <c r="Z72" s="10">
        <v>1</v>
      </c>
      <c r="AA72" s="34">
        <v>30</v>
      </c>
      <c r="AB72" s="10">
        <v>0</v>
      </c>
      <c r="AC72" s="10">
        <v>30</v>
      </c>
      <c r="AD72" s="10" t="s">
        <v>3687</v>
      </c>
      <c r="AE72" s="10"/>
      <c r="AF72" s="10"/>
      <c r="AG72" s="124" t="s">
        <v>218</v>
      </c>
      <c r="AH72" s="124"/>
      <c r="AI72" s="124"/>
      <c r="AJ72" s="124"/>
      <c r="AK72" s="124"/>
      <c r="AL72" s="124"/>
      <c r="AM72" s="124"/>
      <c r="AN72" s="124"/>
      <c r="AO72" s="124"/>
      <c r="AP72" s="124"/>
    </row>
    <row r="73" spans="1:43" ht="48" x14ac:dyDescent="0.25">
      <c r="A73" s="34"/>
      <c r="B73" s="34"/>
      <c r="C73" s="34"/>
      <c r="D73" s="34"/>
      <c r="E73" s="34"/>
      <c r="F73" s="34"/>
      <c r="G73" s="34"/>
      <c r="H73" s="36"/>
      <c r="I73" s="255"/>
      <c r="J73" s="39"/>
      <c r="K73" s="39"/>
      <c r="L73" s="39"/>
      <c r="M73" s="39"/>
      <c r="N73" s="36">
        <f t="shared" ref="N73:P104" si="3">H73+K73</f>
        <v>0</v>
      </c>
      <c r="O73" s="36">
        <f t="shared" si="3"/>
        <v>0</v>
      </c>
      <c r="P73" s="36">
        <f t="shared" si="3"/>
        <v>0</v>
      </c>
      <c r="Q73" s="39"/>
      <c r="R73" s="39"/>
      <c r="S73" s="36">
        <f t="shared" ref="S73:S136" si="4">Q73+R73</f>
        <v>0</v>
      </c>
      <c r="T73" s="37" t="s">
        <v>3688</v>
      </c>
      <c r="U73" s="37" t="s">
        <v>3689</v>
      </c>
      <c r="V73" s="37">
        <v>17</v>
      </c>
      <c r="W73" s="10">
        <v>0</v>
      </c>
      <c r="X73" s="10"/>
      <c r="Y73" s="10">
        <v>0</v>
      </c>
      <c r="Z73" s="10">
        <v>11</v>
      </c>
      <c r="AA73" s="34">
        <v>270</v>
      </c>
      <c r="AB73" s="10">
        <v>0</v>
      </c>
      <c r="AC73" s="10">
        <v>120</v>
      </c>
      <c r="AD73" s="10" t="s">
        <v>3690</v>
      </c>
      <c r="AE73" s="10"/>
      <c r="AF73" s="10"/>
      <c r="AG73" s="124" t="s">
        <v>218</v>
      </c>
      <c r="AH73" s="124" t="s">
        <v>218</v>
      </c>
      <c r="AI73" s="124" t="s">
        <v>218</v>
      </c>
      <c r="AJ73" s="124" t="s">
        <v>218</v>
      </c>
      <c r="AK73" s="124" t="s">
        <v>218</v>
      </c>
      <c r="AL73" s="124" t="s">
        <v>218</v>
      </c>
      <c r="AM73" s="124" t="s">
        <v>218</v>
      </c>
      <c r="AN73" s="124" t="s">
        <v>218</v>
      </c>
      <c r="AO73" s="124" t="s">
        <v>218</v>
      </c>
      <c r="AP73" s="124"/>
    </row>
    <row r="74" spans="1:43" ht="60" x14ac:dyDescent="0.25">
      <c r="A74" s="34"/>
      <c r="B74" s="34"/>
      <c r="C74" s="34"/>
      <c r="D74" s="34"/>
      <c r="E74" s="34"/>
      <c r="F74" s="34"/>
      <c r="G74" s="34"/>
      <c r="H74" s="36"/>
      <c r="I74" s="255"/>
      <c r="J74" s="39"/>
      <c r="K74" s="39"/>
      <c r="L74" s="39"/>
      <c r="M74" s="39"/>
      <c r="N74" s="36">
        <f t="shared" si="3"/>
        <v>0</v>
      </c>
      <c r="O74" s="36">
        <f t="shared" si="3"/>
        <v>0</v>
      </c>
      <c r="P74" s="36">
        <f t="shared" si="3"/>
        <v>0</v>
      </c>
      <c r="Q74" s="39"/>
      <c r="R74" s="39"/>
      <c r="S74" s="36">
        <f t="shared" si="4"/>
        <v>0</v>
      </c>
      <c r="T74" s="37" t="s">
        <v>3691</v>
      </c>
      <c r="U74" s="37" t="s">
        <v>3692</v>
      </c>
      <c r="V74" s="37">
        <v>1</v>
      </c>
      <c r="W74" s="10">
        <v>0</v>
      </c>
      <c r="X74" s="10"/>
      <c r="Y74" s="10">
        <v>0</v>
      </c>
      <c r="Z74" s="10">
        <v>0</v>
      </c>
      <c r="AA74" s="34">
        <v>30</v>
      </c>
      <c r="AB74" s="10">
        <v>0</v>
      </c>
      <c r="AC74" s="10">
        <v>0</v>
      </c>
      <c r="AD74" s="10" t="s">
        <v>3693</v>
      </c>
      <c r="AE74" s="10"/>
      <c r="AF74" s="10"/>
      <c r="AG74" s="124"/>
      <c r="AH74" s="124"/>
      <c r="AI74" s="124"/>
      <c r="AJ74" s="124"/>
      <c r="AK74" s="124"/>
      <c r="AL74" s="124"/>
      <c r="AM74" s="124"/>
      <c r="AN74" s="124"/>
      <c r="AO74" s="124" t="s">
        <v>218</v>
      </c>
      <c r="AP74" s="124"/>
    </row>
    <row r="75" spans="1:43" ht="72" x14ac:dyDescent="0.25">
      <c r="A75" s="10" t="s">
        <v>156</v>
      </c>
      <c r="B75" s="10" t="s">
        <v>3299</v>
      </c>
      <c r="C75" s="10" t="s">
        <v>3355</v>
      </c>
      <c r="D75" s="10">
        <v>221420008</v>
      </c>
      <c r="E75" s="74" t="s">
        <v>3357</v>
      </c>
      <c r="F75" s="34" t="s">
        <v>3358</v>
      </c>
      <c r="G75" s="34" t="s">
        <v>3359</v>
      </c>
      <c r="H75" s="36">
        <v>12627062000</v>
      </c>
      <c r="I75" s="255">
        <v>12627062000</v>
      </c>
      <c r="J75" s="43">
        <v>12627062000</v>
      </c>
      <c r="K75" s="39"/>
      <c r="L75" s="39"/>
      <c r="M75" s="39"/>
      <c r="N75" s="36">
        <f t="shared" si="3"/>
        <v>12627062000</v>
      </c>
      <c r="O75" s="36">
        <f t="shared" si="3"/>
        <v>12627062000</v>
      </c>
      <c r="P75" s="36">
        <f t="shared" si="3"/>
        <v>12627062000</v>
      </c>
      <c r="Q75" s="39">
        <v>12627062000</v>
      </c>
      <c r="R75" s="39"/>
      <c r="S75" s="36">
        <f t="shared" si="4"/>
        <v>12627062000</v>
      </c>
      <c r="T75" s="37">
        <v>0</v>
      </c>
      <c r="U75" s="37">
        <v>0</v>
      </c>
      <c r="V75" s="37">
        <v>0</v>
      </c>
      <c r="W75" s="10"/>
      <c r="X75" s="10"/>
      <c r="Y75" s="10"/>
      <c r="Z75" s="10"/>
      <c r="AA75" s="34">
        <v>0</v>
      </c>
      <c r="AB75" s="10"/>
      <c r="AC75" s="10"/>
      <c r="AD75" s="10"/>
      <c r="AE75" s="10"/>
      <c r="AF75" s="10"/>
      <c r="AG75" s="124"/>
      <c r="AH75" s="124"/>
      <c r="AI75" s="124"/>
      <c r="AJ75" s="124"/>
      <c r="AK75" s="124"/>
      <c r="AL75" s="124"/>
      <c r="AM75" s="124"/>
      <c r="AN75" s="124"/>
      <c r="AO75" s="124"/>
      <c r="AP75" s="124"/>
      <c r="AQ75" s="155"/>
    </row>
    <row r="76" spans="1:43" ht="195" x14ac:dyDescent="0.25">
      <c r="A76" s="34"/>
      <c r="B76" s="34"/>
      <c r="C76" s="34"/>
      <c r="D76" s="34"/>
      <c r="E76" s="74"/>
      <c r="F76" s="34"/>
      <c r="G76" s="34"/>
      <c r="H76" s="36"/>
      <c r="I76" s="511"/>
      <c r="J76" s="512"/>
      <c r="K76" s="39"/>
      <c r="L76" s="39"/>
      <c r="M76" s="39"/>
      <c r="N76" s="36">
        <f t="shared" si="3"/>
        <v>0</v>
      </c>
      <c r="O76" s="36">
        <f t="shared" si="3"/>
        <v>0</v>
      </c>
      <c r="P76" s="36">
        <f t="shared" si="3"/>
        <v>0</v>
      </c>
      <c r="Q76" s="39"/>
      <c r="R76" s="39"/>
      <c r="S76" s="36">
        <f t="shared" si="4"/>
        <v>0</v>
      </c>
      <c r="T76" s="37" t="s">
        <v>3694</v>
      </c>
      <c r="U76" s="37" t="s">
        <v>3618</v>
      </c>
      <c r="V76" s="37">
        <v>4</v>
      </c>
      <c r="W76" s="10">
        <v>5</v>
      </c>
      <c r="X76" s="10"/>
      <c r="Y76" s="10">
        <v>2</v>
      </c>
      <c r="Z76" s="10">
        <v>5</v>
      </c>
      <c r="AA76" s="34">
        <v>150</v>
      </c>
      <c r="AB76" s="10">
        <v>75</v>
      </c>
      <c r="AC76" s="10">
        <v>75</v>
      </c>
      <c r="AD76" s="10" t="s">
        <v>3361</v>
      </c>
      <c r="AE76" s="10"/>
      <c r="AF76" s="10"/>
      <c r="AG76" s="124"/>
      <c r="AH76" s="124"/>
      <c r="AI76" s="124"/>
      <c r="AJ76" s="124"/>
      <c r="AK76" s="124" t="s">
        <v>218</v>
      </c>
      <c r="AL76" s="124" t="s">
        <v>218</v>
      </c>
      <c r="AM76" s="124" t="s">
        <v>218</v>
      </c>
      <c r="AN76" s="124" t="s">
        <v>218</v>
      </c>
      <c r="AO76" s="124" t="s">
        <v>218</v>
      </c>
      <c r="AP76" s="124" t="s">
        <v>218</v>
      </c>
    </row>
    <row r="77" spans="1:43" ht="105" x14ac:dyDescent="0.25">
      <c r="A77" s="10" t="s">
        <v>156</v>
      </c>
      <c r="B77" s="10" t="s">
        <v>3299</v>
      </c>
      <c r="C77" s="10" t="s">
        <v>3362</v>
      </c>
      <c r="D77" s="10">
        <v>221510007</v>
      </c>
      <c r="E77" s="74" t="s">
        <v>3364</v>
      </c>
      <c r="F77" s="34">
        <v>29155001</v>
      </c>
      <c r="G77" s="34" t="s">
        <v>3365</v>
      </c>
      <c r="H77" s="36">
        <v>1500000000</v>
      </c>
      <c r="I77" s="255">
        <v>1500000000</v>
      </c>
      <c r="J77" s="39">
        <v>1500000000</v>
      </c>
      <c r="K77" s="39"/>
      <c r="L77" s="39">
        <v>1406227560</v>
      </c>
      <c r="M77" s="39">
        <v>219052000</v>
      </c>
      <c r="N77" s="36">
        <f t="shared" si="3"/>
        <v>1500000000</v>
      </c>
      <c r="O77" s="36">
        <f t="shared" si="3"/>
        <v>2906227560</v>
      </c>
      <c r="P77" s="36">
        <f t="shared" si="3"/>
        <v>1719052000</v>
      </c>
      <c r="Q77" s="39">
        <v>1500000000</v>
      </c>
      <c r="R77" s="39">
        <f>219052000+1406227560</f>
        <v>1625279560</v>
      </c>
      <c r="S77" s="36">
        <f t="shared" si="4"/>
        <v>3125279560</v>
      </c>
      <c r="T77" s="37">
        <v>0</v>
      </c>
      <c r="U77" s="37">
        <v>0</v>
      </c>
      <c r="V77" s="37">
        <v>0</v>
      </c>
      <c r="W77" s="10"/>
      <c r="X77" s="10"/>
      <c r="Y77" s="10"/>
      <c r="Z77" s="10"/>
      <c r="AA77" s="34">
        <v>0</v>
      </c>
      <c r="AB77" s="10"/>
      <c r="AC77" s="10"/>
      <c r="AD77" s="10" t="s">
        <v>3695</v>
      </c>
      <c r="AE77" s="10"/>
      <c r="AF77" s="10"/>
      <c r="AG77" s="124"/>
      <c r="AH77" s="124"/>
      <c r="AI77" s="124"/>
      <c r="AJ77" s="124"/>
      <c r="AK77" s="124"/>
      <c r="AL77" s="124"/>
      <c r="AM77" s="124"/>
      <c r="AN77" s="124"/>
      <c r="AO77" s="124"/>
      <c r="AP77" s="124"/>
      <c r="AQ77" s="155"/>
    </row>
    <row r="78" spans="1:43" ht="142.5" x14ac:dyDescent="0.25">
      <c r="A78" s="34"/>
      <c r="B78" s="34"/>
      <c r="C78" s="34"/>
      <c r="D78" s="34"/>
      <c r="E78" s="74"/>
      <c r="F78" s="34"/>
      <c r="G78" s="34"/>
      <c r="H78" s="36"/>
      <c r="I78" s="255"/>
      <c r="J78" s="39"/>
      <c r="K78" s="39"/>
      <c r="L78" s="39"/>
      <c r="M78" s="39"/>
      <c r="N78" s="36">
        <f t="shared" si="3"/>
        <v>0</v>
      </c>
      <c r="O78" s="36">
        <f t="shared" si="3"/>
        <v>0</v>
      </c>
      <c r="P78" s="36">
        <f t="shared" si="3"/>
        <v>0</v>
      </c>
      <c r="Q78" s="39"/>
      <c r="R78" s="39"/>
      <c r="S78" s="36">
        <f t="shared" si="4"/>
        <v>0</v>
      </c>
      <c r="T78" s="37" t="s">
        <v>3696</v>
      </c>
      <c r="U78" s="37" t="s">
        <v>3697</v>
      </c>
      <c r="V78" s="37">
        <v>21</v>
      </c>
      <c r="W78" s="10">
        <v>10</v>
      </c>
      <c r="X78" s="10"/>
      <c r="Y78" s="10">
        <v>0</v>
      </c>
      <c r="Z78" s="10">
        <v>3</v>
      </c>
      <c r="AA78" s="34">
        <v>240</v>
      </c>
      <c r="AB78" s="10">
        <v>0</v>
      </c>
      <c r="AC78" s="10">
        <v>120</v>
      </c>
      <c r="AD78" s="10" t="s">
        <v>3698</v>
      </c>
      <c r="AE78" s="10"/>
      <c r="AF78" s="10"/>
      <c r="AG78" s="124" t="s">
        <v>218</v>
      </c>
      <c r="AH78" s="124" t="s">
        <v>218</v>
      </c>
      <c r="AI78" s="124" t="s">
        <v>218</v>
      </c>
      <c r="AJ78" s="124" t="s">
        <v>218</v>
      </c>
      <c r="AK78" s="124" t="s">
        <v>218</v>
      </c>
      <c r="AL78" s="124" t="s">
        <v>218</v>
      </c>
      <c r="AM78" s="124" t="s">
        <v>218</v>
      </c>
      <c r="AN78" s="124" t="s">
        <v>218</v>
      </c>
      <c r="AO78" s="124" t="s">
        <v>218</v>
      </c>
      <c r="AP78" s="124"/>
    </row>
    <row r="79" spans="1:43" ht="90" x14ac:dyDescent="0.25">
      <c r="A79" s="34"/>
      <c r="B79" s="34"/>
      <c r="C79" s="34"/>
      <c r="D79" s="34"/>
      <c r="E79" s="74"/>
      <c r="F79" s="34"/>
      <c r="G79" s="34"/>
      <c r="H79" s="36"/>
      <c r="I79" s="255"/>
      <c r="J79" s="39"/>
      <c r="K79" s="39"/>
      <c r="L79" s="39"/>
      <c r="M79" s="39"/>
      <c r="N79" s="36">
        <f t="shared" si="3"/>
        <v>0</v>
      </c>
      <c r="O79" s="36">
        <f t="shared" si="3"/>
        <v>0</v>
      </c>
      <c r="P79" s="36">
        <f t="shared" si="3"/>
        <v>0</v>
      </c>
      <c r="Q79" s="39"/>
      <c r="R79" s="39"/>
      <c r="S79" s="36">
        <f t="shared" si="4"/>
        <v>0</v>
      </c>
      <c r="T79" s="37" t="s">
        <v>3699</v>
      </c>
      <c r="U79" s="37" t="s">
        <v>3700</v>
      </c>
      <c r="V79" s="37">
        <v>1</v>
      </c>
      <c r="W79" s="10">
        <v>1</v>
      </c>
      <c r="X79" s="10"/>
      <c r="Y79" s="10">
        <v>0</v>
      </c>
      <c r="Z79" s="10">
        <v>3</v>
      </c>
      <c r="AA79" s="34">
        <v>300</v>
      </c>
      <c r="AB79" s="10">
        <v>0</v>
      </c>
      <c r="AC79" s="10">
        <v>90</v>
      </c>
      <c r="AD79" s="10" t="s">
        <v>3701</v>
      </c>
      <c r="AE79" s="10"/>
      <c r="AF79" s="10" t="s">
        <v>218</v>
      </c>
      <c r="AG79" s="124" t="s">
        <v>218</v>
      </c>
      <c r="AH79" s="124" t="s">
        <v>218</v>
      </c>
      <c r="AI79" s="124" t="s">
        <v>218</v>
      </c>
      <c r="AJ79" s="124" t="s">
        <v>218</v>
      </c>
      <c r="AK79" s="124" t="s">
        <v>218</v>
      </c>
      <c r="AL79" s="124" t="s">
        <v>218</v>
      </c>
      <c r="AM79" s="124" t="s">
        <v>218</v>
      </c>
      <c r="AN79" s="124" t="s">
        <v>218</v>
      </c>
      <c r="AO79" s="124" t="s">
        <v>218</v>
      </c>
      <c r="AP79" s="124"/>
    </row>
    <row r="80" spans="1:43" ht="60" x14ac:dyDescent="0.25">
      <c r="A80" s="10" t="s">
        <v>156</v>
      </c>
      <c r="B80" s="10" t="s">
        <v>3299</v>
      </c>
      <c r="C80" s="10" t="s">
        <v>3373</v>
      </c>
      <c r="D80" s="10">
        <v>221610007</v>
      </c>
      <c r="E80" s="74" t="s">
        <v>3375</v>
      </c>
      <c r="F80" s="34">
        <v>29152001</v>
      </c>
      <c r="G80" s="34" t="s">
        <v>3376</v>
      </c>
      <c r="H80" s="36">
        <v>500000000</v>
      </c>
      <c r="I80" s="255">
        <v>500000000</v>
      </c>
      <c r="J80" s="39">
        <v>500000000</v>
      </c>
      <c r="K80" s="39"/>
      <c r="L80" s="39"/>
      <c r="M80" s="39"/>
      <c r="N80" s="36">
        <f t="shared" si="3"/>
        <v>500000000</v>
      </c>
      <c r="O80" s="36">
        <f t="shared" si="3"/>
        <v>500000000</v>
      </c>
      <c r="P80" s="36">
        <f t="shared" si="3"/>
        <v>500000000</v>
      </c>
      <c r="Q80" s="39">
        <v>493400320</v>
      </c>
      <c r="R80" s="39"/>
      <c r="S80" s="36">
        <f t="shared" si="4"/>
        <v>493400320</v>
      </c>
      <c r="T80" s="37">
        <v>0</v>
      </c>
      <c r="U80" s="37">
        <v>0</v>
      </c>
      <c r="V80" s="37">
        <v>0</v>
      </c>
      <c r="W80" s="10"/>
      <c r="X80" s="10"/>
      <c r="Y80" s="10"/>
      <c r="Z80" s="10"/>
      <c r="AA80" s="34">
        <v>0</v>
      </c>
      <c r="AB80" s="10"/>
      <c r="AC80" s="10"/>
      <c r="AD80" s="10"/>
      <c r="AE80" s="10"/>
      <c r="AF80" s="10"/>
      <c r="AG80" s="124"/>
      <c r="AH80" s="124"/>
      <c r="AI80" s="124"/>
      <c r="AJ80" s="124"/>
      <c r="AK80" s="124"/>
      <c r="AL80" s="124"/>
      <c r="AM80" s="124"/>
      <c r="AN80" s="124"/>
      <c r="AO80" s="124"/>
      <c r="AP80" s="124"/>
      <c r="AQ80" s="155"/>
    </row>
    <row r="81" spans="1:43" ht="96" x14ac:dyDescent="0.25">
      <c r="A81" s="34"/>
      <c r="B81" s="34"/>
      <c r="C81" s="34"/>
      <c r="D81" s="34"/>
      <c r="E81" s="74"/>
      <c r="F81" s="34"/>
      <c r="G81" s="34"/>
      <c r="H81" s="36"/>
      <c r="I81" s="255"/>
      <c r="J81" s="39"/>
      <c r="K81" s="39"/>
      <c r="L81" s="39"/>
      <c r="M81" s="39"/>
      <c r="N81" s="36">
        <f t="shared" si="3"/>
        <v>0</v>
      </c>
      <c r="O81" s="36">
        <f t="shared" si="3"/>
        <v>0</v>
      </c>
      <c r="P81" s="36">
        <f t="shared" si="3"/>
        <v>0</v>
      </c>
      <c r="Q81" s="39"/>
      <c r="R81" s="39"/>
      <c r="S81" s="36">
        <f t="shared" si="4"/>
        <v>0</v>
      </c>
      <c r="T81" s="37" t="s">
        <v>3702</v>
      </c>
      <c r="U81" s="37" t="s">
        <v>3703</v>
      </c>
      <c r="V81" s="37">
        <v>3</v>
      </c>
      <c r="W81" s="10">
        <v>4</v>
      </c>
      <c r="X81" s="10"/>
      <c r="Y81" s="10">
        <v>1</v>
      </c>
      <c r="Z81" s="10">
        <v>1</v>
      </c>
      <c r="AA81" s="34">
        <v>30</v>
      </c>
      <c r="AB81" s="10">
        <v>30</v>
      </c>
      <c r="AC81" s="10">
        <v>0</v>
      </c>
      <c r="AD81" s="10" t="s">
        <v>3704</v>
      </c>
      <c r="AE81" s="10"/>
      <c r="AF81" s="10"/>
      <c r="AG81" s="124" t="s">
        <v>218</v>
      </c>
      <c r="AH81" s="124" t="s">
        <v>218</v>
      </c>
      <c r="AI81" s="124" t="s">
        <v>218</v>
      </c>
      <c r="AJ81" s="124" t="s">
        <v>218</v>
      </c>
      <c r="AK81" s="124" t="s">
        <v>218</v>
      </c>
      <c r="AL81" s="124" t="s">
        <v>218</v>
      </c>
      <c r="AM81" s="124" t="s">
        <v>218</v>
      </c>
      <c r="AN81" s="124" t="s">
        <v>218</v>
      </c>
      <c r="AO81" s="124" t="s">
        <v>218</v>
      </c>
      <c r="AP81" s="124"/>
    </row>
    <row r="82" spans="1:43" ht="60" x14ac:dyDescent="0.25">
      <c r="A82" s="34"/>
      <c r="B82" s="34"/>
      <c r="C82" s="34"/>
      <c r="D82" s="34"/>
      <c r="E82" s="74"/>
      <c r="F82" s="34"/>
      <c r="G82" s="34"/>
      <c r="H82" s="36"/>
      <c r="I82" s="255"/>
      <c r="J82" s="39"/>
      <c r="K82" s="39"/>
      <c r="L82" s="39"/>
      <c r="M82" s="39"/>
      <c r="N82" s="36">
        <f t="shared" si="3"/>
        <v>0</v>
      </c>
      <c r="O82" s="36">
        <f t="shared" si="3"/>
        <v>0</v>
      </c>
      <c r="P82" s="36">
        <f t="shared" si="3"/>
        <v>0</v>
      </c>
      <c r="Q82" s="39"/>
      <c r="R82" s="39"/>
      <c r="S82" s="36">
        <f t="shared" si="4"/>
        <v>0</v>
      </c>
      <c r="T82" s="37" t="s">
        <v>3705</v>
      </c>
      <c r="U82" s="37" t="s">
        <v>3706</v>
      </c>
      <c r="V82" s="37">
        <v>117</v>
      </c>
      <c r="W82" s="10">
        <v>119</v>
      </c>
      <c r="X82" s="10"/>
      <c r="Y82" s="10">
        <v>60</v>
      </c>
      <c r="Z82" s="10">
        <v>107</v>
      </c>
      <c r="AA82" s="34">
        <v>270</v>
      </c>
      <c r="AB82" s="10">
        <v>60</v>
      </c>
      <c r="AC82" s="10">
        <v>90</v>
      </c>
      <c r="AD82" s="10" t="s">
        <v>3707</v>
      </c>
      <c r="AE82" s="10"/>
      <c r="AF82" s="10"/>
      <c r="AG82" s="124" t="s">
        <v>218</v>
      </c>
      <c r="AH82" s="124" t="s">
        <v>218</v>
      </c>
      <c r="AI82" s="124" t="s">
        <v>218</v>
      </c>
      <c r="AJ82" s="124" t="s">
        <v>218</v>
      </c>
      <c r="AK82" s="124" t="s">
        <v>218</v>
      </c>
      <c r="AL82" s="124" t="s">
        <v>218</v>
      </c>
      <c r="AM82" s="124" t="s">
        <v>218</v>
      </c>
      <c r="AN82" s="124" t="s">
        <v>218</v>
      </c>
      <c r="AO82" s="124" t="s">
        <v>218</v>
      </c>
      <c r="AP82" s="124"/>
    </row>
    <row r="83" spans="1:43" ht="60" x14ac:dyDescent="0.25">
      <c r="A83" s="34"/>
      <c r="B83" s="34"/>
      <c r="C83" s="34"/>
      <c r="D83" s="34"/>
      <c r="E83" s="74"/>
      <c r="F83" s="34"/>
      <c r="G83" s="34"/>
      <c r="H83" s="36"/>
      <c r="I83" s="255"/>
      <c r="J83" s="39"/>
      <c r="K83" s="39"/>
      <c r="L83" s="39"/>
      <c r="M83" s="39"/>
      <c r="N83" s="36">
        <f t="shared" si="3"/>
        <v>0</v>
      </c>
      <c r="O83" s="36">
        <f t="shared" si="3"/>
        <v>0</v>
      </c>
      <c r="P83" s="36">
        <f t="shared" si="3"/>
        <v>0</v>
      </c>
      <c r="Q83" s="39"/>
      <c r="R83" s="39"/>
      <c r="S83" s="36">
        <f t="shared" si="4"/>
        <v>0</v>
      </c>
      <c r="T83" s="37" t="s">
        <v>3708</v>
      </c>
      <c r="U83" s="37" t="s">
        <v>3709</v>
      </c>
      <c r="V83" s="37">
        <v>12</v>
      </c>
      <c r="W83" s="10">
        <v>9</v>
      </c>
      <c r="X83" s="10"/>
      <c r="Y83" s="10">
        <v>1</v>
      </c>
      <c r="Z83" s="10">
        <v>9</v>
      </c>
      <c r="AA83" s="34">
        <v>270</v>
      </c>
      <c r="AB83" s="10">
        <v>30</v>
      </c>
      <c r="AC83" s="10">
        <v>90</v>
      </c>
      <c r="AD83" s="10" t="s">
        <v>3710</v>
      </c>
      <c r="AE83" s="10"/>
      <c r="AF83" s="10"/>
      <c r="AG83" s="124" t="s">
        <v>218</v>
      </c>
      <c r="AH83" s="124" t="s">
        <v>218</v>
      </c>
      <c r="AI83" s="124" t="s">
        <v>218</v>
      </c>
      <c r="AJ83" s="124" t="s">
        <v>218</v>
      </c>
      <c r="AK83" s="124" t="s">
        <v>218</v>
      </c>
      <c r="AL83" s="124" t="s">
        <v>218</v>
      </c>
      <c r="AM83" s="124" t="s">
        <v>218</v>
      </c>
      <c r="AN83" s="124" t="s">
        <v>218</v>
      </c>
      <c r="AO83" s="124" t="s">
        <v>218</v>
      </c>
      <c r="AP83" s="124"/>
    </row>
    <row r="84" spans="1:43" ht="96" x14ac:dyDescent="0.25">
      <c r="A84" s="10" t="s">
        <v>156</v>
      </c>
      <c r="B84" s="10" t="s">
        <v>3299</v>
      </c>
      <c r="C84" s="10" t="s">
        <v>3373</v>
      </c>
      <c r="D84" s="10">
        <v>221650000</v>
      </c>
      <c r="E84" s="74" t="s">
        <v>3380</v>
      </c>
      <c r="F84" s="34">
        <v>22161001</v>
      </c>
      <c r="G84" s="34" t="s">
        <v>3381</v>
      </c>
      <c r="H84" s="36">
        <v>1000000000</v>
      </c>
      <c r="I84" s="255">
        <v>500000000</v>
      </c>
      <c r="J84" s="39">
        <v>500000000</v>
      </c>
      <c r="K84" s="39"/>
      <c r="L84" s="39"/>
      <c r="M84" s="39"/>
      <c r="N84" s="36">
        <f t="shared" si="3"/>
        <v>1000000000</v>
      </c>
      <c r="O84" s="36">
        <f t="shared" si="3"/>
        <v>500000000</v>
      </c>
      <c r="P84" s="36">
        <f t="shared" si="3"/>
        <v>500000000</v>
      </c>
      <c r="Q84" s="39">
        <v>500000000</v>
      </c>
      <c r="R84" s="39"/>
      <c r="S84" s="36">
        <f t="shared" si="4"/>
        <v>500000000</v>
      </c>
      <c r="T84" s="37">
        <v>0</v>
      </c>
      <c r="U84" s="37">
        <v>0</v>
      </c>
      <c r="V84" s="37">
        <v>0</v>
      </c>
      <c r="W84" s="10"/>
      <c r="X84" s="10"/>
      <c r="Y84" s="10"/>
      <c r="Z84" s="10"/>
      <c r="AA84" s="34">
        <v>0</v>
      </c>
      <c r="AB84" s="10"/>
      <c r="AC84" s="10"/>
      <c r="AD84" s="10"/>
      <c r="AE84" s="10"/>
      <c r="AF84" s="10"/>
      <c r="AG84" s="124"/>
      <c r="AH84" s="124"/>
      <c r="AI84" s="124"/>
      <c r="AJ84" s="124"/>
      <c r="AK84" s="124"/>
      <c r="AL84" s="124"/>
      <c r="AM84" s="124"/>
      <c r="AN84" s="124"/>
      <c r="AO84" s="124"/>
      <c r="AP84" s="124"/>
      <c r="AQ84" s="155"/>
    </row>
    <row r="85" spans="1:43" ht="60" x14ac:dyDescent="0.25">
      <c r="A85" s="34"/>
      <c r="B85" s="34"/>
      <c r="C85" s="34"/>
      <c r="D85" s="34"/>
      <c r="E85" s="74"/>
      <c r="F85" s="34"/>
      <c r="G85" s="34"/>
      <c r="H85" s="36"/>
      <c r="I85" s="255"/>
      <c r="J85" s="39"/>
      <c r="K85" s="39"/>
      <c r="L85" s="39"/>
      <c r="M85" s="39"/>
      <c r="N85" s="36">
        <f t="shared" si="3"/>
        <v>0</v>
      </c>
      <c r="O85" s="36">
        <f t="shared" si="3"/>
        <v>0</v>
      </c>
      <c r="P85" s="36">
        <f t="shared" si="3"/>
        <v>0</v>
      </c>
      <c r="Q85" s="39"/>
      <c r="R85" s="39"/>
      <c r="S85" s="36">
        <f t="shared" si="4"/>
        <v>0</v>
      </c>
      <c r="T85" s="37" t="s">
        <v>3711</v>
      </c>
      <c r="U85" s="37" t="s">
        <v>3712</v>
      </c>
      <c r="V85" s="37">
        <v>24</v>
      </c>
      <c r="W85" s="10">
        <v>125</v>
      </c>
      <c r="X85" s="10"/>
      <c r="Y85" s="10">
        <v>75</v>
      </c>
      <c r="Z85" s="10">
        <v>850</v>
      </c>
      <c r="AA85" s="34">
        <v>360</v>
      </c>
      <c r="AB85" s="10">
        <v>180</v>
      </c>
      <c r="AC85" s="10">
        <v>360</v>
      </c>
      <c r="AD85" s="10" t="s">
        <v>3713</v>
      </c>
      <c r="AE85" s="10" t="s">
        <v>218</v>
      </c>
      <c r="AF85" s="10" t="s">
        <v>218</v>
      </c>
      <c r="AG85" s="124" t="s">
        <v>218</v>
      </c>
      <c r="AH85" s="124" t="s">
        <v>218</v>
      </c>
      <c r="AI85" s="124" t="s">
        <v>218</v>
      </c>
      <c r="AJ85" s="124" t="s">
        <v>218</v>
      </c>
      <c r="AK85" s="124" t="s">
        <v>218</v>
      </c>
      <c r="AL85" s="124" t="s">
        <v>218</v>
      </c>
      <c r="AM85" s="124" t="s">
        <v>218</v>
      </c>
      <c r="AN85" s="124" t="s">
        <v>218</v>
      </c>
      <c r="AO85" s="124" t="s">
        <v>218</v>
      </c>
      <c r="AP85" s="124" t="s">
        <v>218</v>
      </c>
    </row>
    <row r="86" spans="1:43" ht="84" x14ac:dyDescent="0.25">
      <c r="A86" s="10" t="s">
        <v>156</v>
      </c>
      <c r="B86" s="10" t="s">
        <v>3299</v>
      </c>
      <c r="C86" s="10" t="s">
        <v>3373</v>
      </c>
      <c r="D86" s="10">
        <v>221650000</v>
      </c>
      <c r="E86" s="74" t="s">
        <v>3384</v>
      </c>
      <c r="F86" s="34">
        <v>22214001</v>
      </c>
      <c r="G86" s="34" t="s">
        <v>3385</v>
      </c>
      <c r="H86" s="36">
        <v>300000000</v>
      </c>
      <c r="I86" s="255">
        <v>300000000</v>
      </c>
      <c r="J86" s="39">
        <v>0</v>
      </c>
      <c r="K86" s="39"/>
      <c r="L86" s="39"/>
      <c r="M86" s="39"/>
      <c r="N86" s="36">
        <f t="shared" si="3"/>
        <v>300000000</v>
      </c>
      <c r="O86" s="36">
        <f t="shared" si="3"/>
        <v>300000000</v>
      </c>
      <c r="P86" s="36">
        <f t="shared" si="3"/>
        <v>0</v>
      </c>
      <c r="Q86" s="39">
        <v>0</v>
      </c>
      <c r="R86" s="39"/>
      <c r="S86" s="36">
        <f t="shared" si="4"/>
        <v>0</v>
      </c>
      <c r="T86" s="37">
        <v>0</v>
      </c>
      <c r="U86" s="37">
        <v>0</v>
      </c>
      <c r="V86" s="37">
        <v>0</v>
      </c>
      <c r="W86" s="10"/>
      <c r="X86" s="10"/>
      <c r="Y86" s="10"/>
      <c r="Z86" s="10"/>
      <c r="AA86" s="34">
        <v>0</v>
      </c>
      <c r="AB86" s="10"/>
      <c r="AC86" s="10"/>
      <c r="AD86" s="10"/>
      <c r="AE86" s="10"/>
      <c r="AF86" s="10"/>
      <c r="AG86" s="124"/>
      <c r="AH86" s="124"/>
      <c r="AI86" s="124"/>
      <c r="AJ86" s="124"/>
      <c r="AK86" s="124"/>
      <c r="AL86" s="124"/>
      <c r="AM86" s="124"/>
      <c r="AN86" s="124"/>
      <c r="AO86" s="124"/>
      <c r="AP86" s="124"/>
      <c r="AQ86" s="155"/>
    </row>
    <row r="87" spans="1:43" ht="210" x14ac:dyDescent="0.25">
      <c r="A87" s="34"/>
      <c r="B87" s="34"/>
      <c r="C87" s="34"/>
      <c r="D87" s="34"/>
      <c r="E87" s="74"/>
      <c r="F87" s="34"/>
      <c r="G87" s="34"/>
      <c r="H87" s="36"/>
      <c r="I87" s="255"/>
      <c r="J87" s="39"/>
      <c r="K87" s="39"/>
      <c r="L87" s="39"/>
      <c r="M87" s="39"/>
      <c r="N87" s="36">
        <f t="shared" si="3"/>
        <v>0</v>
      </c>
      <c r="O87" s="36">
        <f t="shared" si="3"/>
        <v>0</v>
      </c>
      <c r="P87" s="36">
        <f t="shared" si="3"/>
        <v>0</v>
      </c>
      <c r="Q87" s="39"/>
      <c r="R87" s="39"/>
      <c r="S87" s="36">
        <f t="shared" si="4"/>
        <v>0</v>
      </c>
      <c r="T87" s="37" t="s">
        <v>3714</v>
      </c>
      <c r="U87" s="37" t="s">
        <v>3715</v>
      </c>
      <c r="V87" s="37">
        <v>1</v>
      </c>
      <c r="W87" s="10">
        <v>21</v>
      </c>
      <c r="X87" s="10"/>
      <c r="Y87" s="10">
        <v>20</v>
      </c>
      <c r="Z87" s="10">
        <v>53</v>
      </c>
      <c r="AA87" s="34">
        <v>150</v>
      </c>
      <c r="AB87" s="10">
        <v>150</v>
      </c>
      <c r="AC87" s="10">
        <v>300</v>
      </c>
      <c r="AD87" s="10" t="s">
        <v>3716</v>
      </c>
      <c r="AE87" s="10"/>
      <c r="AF87" s="10"/>
      <c r="AG87" s="124"/>
      <c r="AH87" s="124"/>
      <c r="AI87" s="124"/>
      <c r="AJ87" s="124" t="s">
        <v>218</v>
      </c>
      <c r="AK87" s="124" t="s">
        <v>218</v>
      </c>
      <c r="AL87" s="124" t="s">
        <v>218</v>
      </c>
      <c r="AM87" s="124" t="s">
        <v>218</v>
      </c>
      <c r="AN87" s="124" t="s">
        <v>218</v>
      </c>
      <c r="AO87" s="124"/>
      <c r="AP87" s="124"/>
    </row>
    <row r="88" spans="1:43" ht="132" x14ac:dyDescent="0.25">
      <c r="A88" s="10" t="s">
        <v>156</v>
      </c>
      <c r="B88" s="10" t="s">
        <v>3299</v>
      </c>
      <c r="C88" s="10" t="s">
        <v>3389</v>
      </c>
      <c r="D88" s="10">
        <v>221710000</v>
      </c>
      <c r="E88" s="74" t="s">
        <v>3391</v>
      </c>
      <c r="F88" s="34">
        <v>22171001</v>
      </c>
      <c r="G88" s="34" t="s">
        <v>3392</v>
      </c>
      <c r="H88" s="36">
        <v>362250000</v>
      </c>
      <c r="I88" s="255">
        <v>362250000</v>
      </c>
      <c r="J88" s="39">
        <v>0</v>
      </c>
      <c r="K88" s="39"/>
      <c r="L88" s="39"/>
      <c r="M88" s="39"/>
      <c r="N88" s="36">
        <f t="shared" si="3"/>
        <v>362250000</v>
      </c>
      <c r="O88" s="36">
        <f t="shared" si="3"/>
        <v>362250000</v>
      </c>
      <c r="P88" s="36">
        <f t="shared" si="3"/>
        <v>0</v>
      </c>
      <c r="Q88" s="39">
        <v>0</v>
      </c>
      <c r="R88" s="39"/>
      <c r="S88" s="36">
        <f t="shared" si="4"/>
        <v>0</v>
      </c>
      <c r="T88" s="37">
        <v>0</v>
      </c>
      <c r="U88" s="37">
        <v>0</v>
      </c>
      <c r="V88" s="37">
        <v>0</v>
      </c>
      <c r="W88" s="10"/>
      <c r="X88" s="10"/>
      <c r="Y88" s="10"/>
      <c r="Z88" s="10"/>
      <c r="AA88" s="34">
        <v>0</v>
      </c>
      <c r="AB88" s="10"/>
      <c r="AC88" s="10"/>
      <c r="AD88" s="10"/>
      <c r="AE88" s="10"/>
      <c r="AF88" s="10"/>
      <c r="AG88" s="124"/>
      <c r="AH88" s="124"/>
      <c r="AI88" s="124"/>
      <c r="AJ88" s="124"/>
      <c r="AK88" s="124"/>
      <c r="AL88" s="124"/>
      <c r="AM88" s="124"/>
      <c r="AN88" s="124"/>
      <c r="AO88" s="124"/>
      <c r="AP88" s="124"/>
      <c r="AQ88" s="155"/>
    </row>
    <row r="89" spans="1:43" ht="72" x14ac:dyDescent="0.25">
      <c r="A89" s="34"/>
      <c r="B89" s="34"/>
      <c r="C89" s="34"/>
      <c r="D89" s="34"/>
      <c r="E89" s="74"/>
      <c r="F89" s="34"/>
      <c r="G89" s="34"/>
      <c r="H89" s="36"/>
      <c r="I89" s="255"/>
      <c r="J89" s="39"/>
      <c r="K89" s="39"/>
      <c r="L89" s="39"/>
      <c r="M89" s="39"/>
      <c r="N89" s="36">
        <f t="shared" si="3"/>
        <v>0</v>
      </c>
      <c r="O89" s="36">
        <f t="shared" si="3"/>
        <v>0</v>
      </c>
      <c r="P89" s="36">
        <f t="shared" si="3"/>
        <v>0</v>
      </c>
      <c r="Q89" s="39"/>
      <c r="R89" s="39"/>
      <c r="S89" s="36">
        <f t="shared" si="4"/>
        <v>0</v>
      </c>
      <c r="T89" s="37" t="s">
        <v>3717</v>
      </c>
      <c r="U89" s="37" t="s">
        <v>3718</v>
      </c>
      <c r="V89" s="37">
        <v>1</v>
      </c>
      <c r="W89" s="10">
        <v>1</v>
      </c>
      <c r="X89" s="10"/>
      <c r="Y89" s="10">
        <v>0</v>
      </c>
      <c r="Z89" s="10">
        <v>0</v>
      </c>
      <c r="AA89" s="34">
        <v>180</v>
      </c>
      <c r="AB89" s="10">
        <v>0</v>
      </c>
      <c r="AC89" s="18">
        <v>0</v>
      </c>
      <c r="AD89" s="10" t="s">
        <v>3719</v>
      </c>
      <c r="AE89" s="10"/>
      <c r="AF89" s="10"/>
      <c r="AG89" s="124" t="s">
        <v>218</v>
      </c>
      <c r="AH89" s="124" t="s">
        <v>218</v>
      </c>
      <c r="AI89" s="124" t="s">
        <v>218</v>
      </c>
      <c r="AJ89" s="124" t="s">
        <v>218</v>
      </c>
      <c r="AK89" s="124" t="s">
        <v>218</v>
      </c>
      <c r="AL89" s="124" t="s">
        <v>218</v>
      </c>
      <c r="AM89" s="124"/>
      <c r="AN89" s="124"/>
      <c r="AO89" s="124"/>
      <c r="AP89" s="124"/>
    </row>
    <row r="90" spans="1:43" ht="108" x14ac:dyDescent="0.25">
      <c r="A90" s="34"/>
      <c r="B90" s="34"/>
      <c r="C90" s="34"/>
      <c r="D90" s="34"/>
      <c r="E90" s="74"/>
      <c r="F90" s="34"/>
      <c r="G90" s="34"/>
      <c r="H90" s="36"/>
      <c r="I90" s="255"/>
      <c r="J90" s="39"/>
      <c r="K90" s="39"/>
      <c r="L90" s="39"/>
      <c r="M90" s="39"/>
      <c r="N90" s="36">
        <f t="shared" si="3"/>
        <v>0</v>
      </c>
      <c r="O90" s="36">
        <f t="shared" si="3"/>
        <v>0</v>
      </c>
      <c r="P90" s="36">
        <f t="shared" si="3"/>
        <v>0</v>
      </c>
      <c r="Q90" s="39"/>
      <c r="R90" s="39"/>
      <c r="S90" s="36">
        <f t="shared" si="4"/>
        <v>0</v>
      </c>
      <c r="T90" s="37" t="s">
        <v>3720</v>
      </c>
      <c r="U90" s="37" t="s">
        <v>3589</v>
      </c>
      <c r="V90" s="37">
        <v>2</v>
      </c>
      <c r="W90" s="10">
        <v>2</v>
      </c>
      <c r="X90" s="10"/>
      <c r="Y90" s="10">
        <v>0</v>
      </c>
      <c r="Z90" s="10">
        <v>0</v>
      </c>
      <c r="AA90" s="34">
        <v>120</v>
      </c>
      <c r="AB90" s="10">
        <v>0</v>
      </c>
      <c r="AC90" s="18">
        <v>0</v>
      </c>
      <c r="AD90" s="10" t="s">
        <v>3719</v>
      </c>
      <c r="AE90" s="10"/>
      <c r="AF90" s="10"/>
      <c r="AG90" s="124"/>
      <c r="AH90" s="124"/>
      <c r="AI90" s="124"/>
      <c r="AJ90" s="124"/>
      <c r="AK90" s="124"/>
      <c r="AL90" s="124"/>
      <c r="AM90" s="124" t="s">
        <v>218</v>
      </c>
      <c r="AN90" s="124" t="s">
        <v>218</v>
      </c>
      <c r="AO90" s="124" t="s">
        <v>218</v>
      </c>
      <c r="AP90" s="124" t="s">
        <v>218</v>
      </c>
    </row>
    <row r="91" spans="1:43" ht="72" x14ac:dyDescent="0.25">
      <c r="A91" s="10" t="s">
        <v>156</v>
      </c>
      <c r="B91" s="10" t="s">
        <v>3299</v>
      </c>
      <c r="C91" s="10" t="s">
        <v>3389</v>
      </c>
      <c r="D91" s="10">
        <v>221710007</v>
      </c>
      <c r="E91" s="74" t="s">
        <v>3395</v>
      </c>
      <c r="F91" s="34">
        <v>22232001</v>
      </c>
      <c r="G91" s="34" t="s">
        <v>3396</v>
      </c>
      <c r="H91" s="36">
        <v>447200000</v>
      </c>
      <c r="I91" s="255">
        <v>447200000</v>
      </c>
      <c r="J91" s="39">
        <v>447200000</v>
      </c>
      <c r="K91" s="39"/>
      <c r="L91" s="39"/>
      <c r="M91" s="39"/>
      <c r="N91" s="36">
        <f t="shared" si="3"/>
        <v>447200000</v>
      </c>
      <c r="O91" s="36">
        <f t="shared" si="3"/>
        <v>447200000</v>
      </c>
      <c r="P91" s="36">
        <f t="shared" si="3"/>
        <v>447200000</v>
      </c>
      <c r="Q91" s="39">
        <v>447200000</v>
      </c>
      <c r="R91" s="39"/>
      <c r="S91" s="36">
        <f t="shared" si="4"/>
        <v>447200000</v>
      </c>
      <c r="T91" s="37">
        <v>0</v>
      </c>
      <c r="U91" s="37">
        <v>0</v>
      </c>
      <c r="V91" s="37">
        <v>0</v>
      </c>
      <c r="W91" s="10"/>
      <c r="X91" s="10"/>
      <c r="Y91" s="10"/>
      <c r="Z91" s="10"/>
      <c r="AA91" s="34">
        <v>0</v>
      </c>
      <c r="AB91" s="10"/>
      <c r="AC91" s="10"/>
      <c r="AD91" s="10"/>
      <c r="AE91" s="10"/>
      <c r="AF91" s="10"/>
      <c r="AG91" s="124"/>
      <c r="AH91" s="124"/>
      <c r="AI91" s="124"/>
      <c r="AJ91" s="124"/>
      <c r="AK91" s="124"/>
      <c r="AL91" s="124"/>
      <c r="AM91" s="124"/>
      <c r="AN91" s="124"/>
      <c r="AO91" s="124"/>
      <c r="AP91" s="124"/>
      <c r="AQ91" s="155"/>
    </row>
    <row r="92" spans="1:43" ht="48" x14ac:dyDescent="0.25">
      <c r="A92" s="34"/>
      <c r="B92" s="34"/>
      <c r="C92" s="34"/>
      <c r="D92" s="34"/>
      <c r="E92" s="74"/>
      <c r="F92" s="34"/>
      <c r="G92" s="34"/>
      <c r="H92" s="36"/>
      <c r="I92" s="255"/>
      <c r="J92" s="39"/>
      <c r="K92" s="39"/>
      <c r="L92" s="39"/>
      <c r="M92" s="39"/>
      <c r="N92" s="36">
        <f t="shared" si="3"/>
        <v>0</v>
      </c>
      <c r="O92" s="36">
        <f t="shared" si="3"/>
        <v>0</v>
      </c>
      <c r="P92" s="36">
        <f t="shared" si="3"/>
        <v>0</v>
      </c>
      <c r="Q92" s="39"/>
      <c r="R92" s="39"/>
      <c r="S92" s="36">
        <f t="shared" si="4"/>
        <v>0</v>
      </c>
      <c r="T92" s="37" t="s">
        <v>3721</v>
      </c>
      <c r="U92" s="37" t="s">
        <v>3722</v>
      </c>
      <c r="V92" s="37">
        <v>552</v>
      </c>
      <c r="W92" s="10">
        <v>555</v>
      </c>
      <c r="X92" s="10"/>
      <c r="Y92" s="10">
        <v>555</v>
      </c>
      <c r="Z92" s="10">
        <v>460</v>
      </c>
      <c r="AA92" s="34">
        <v>290</v>
      </c>
      <c r="AB92" s="10">
        <v>150</v>
      </c>
      <c r="AC92" s="10">
        <v>290</v>
      </c>
      <c r="AD92" s="10" t="s">
        <v>3723</v>
      </c>
      <c r="AE92" s="10" t="s">
        <v>218</v>
      </c>
      <c r="AF92" s="10" t="s">
        <v>218</v>
      </c>
      <c r="AG92" s="124" t="s">
        <v>218</v>
      </c>
      <c r="AH92" s="124" t="s">
        <v>218</v>
      </c>
      <c r="AI92" s="124" t="s">
        <v>218</v>
      </c>
      <c r="AJ92" s="124" t="s">
        <v>218</v>
      </c>
      <c r="AK92" s="124" t="s">
        <v>218</v>
      </c>
      <c r="AL92" s="124" t="s">
        <v>218</v>
      </c>
      <c r="AM92" s="124" t="s">
        <v>218</v>
      </c>
      <c r="AN92" s="124" t="s">
        <v>218</v>
      </c>
      <c r="AO92" s="124" t="s">
        <v>218</v>
      </c>
      <c r="AP92" s="124" t="s">
        <v>218</v>
      </c>
    </row>
    <row r="93" spans="1:43" ht="96" x14ac:dyDescent="0.25">
      <c r="A93" s="10" t="s">
        <v>156</v>
      </c>
      <c r="B93" s="10" t="s">
        <v>3299</v>
      </c>
      <c r="C93" s="10" t="s">
        <v>3389</v>
      </c>
      <c r="D93" s="10">
        <v>221720007</v>
      </c>
      <c r="E93" s="74" t="s">
        <v>3400</v>
      </c>
      <c r="F93" s="34">
        <v>22318001</v>
      </c>
      <c r="G93" s="34" t="s">
        <v>3401</v>
      </c>
      <c r="H93" s="36">
        <v>600000000</v>
      </c>
      <c r="I93" s="255">
        <v>600000000</v>
      </c>
      <c r="J93" s="39">
        <v>600000000</v>
      </c>
      <c r="K93" s="39"/>
      <c r="L93" s="39"/>
      <c r="M93" s="39"/>
      <c r="N93" s="36">
        <f t="shared" si="3"/>
        <v>600000000</v>
      </c>
      <c r="O93" s="36">
        <f t="shared" si="3"/>
        <v>600000000</v>
      </c>
      <c r="P93" s="36">
        <f t="shared" si="3"/>
        <v>600000000</v>
      </c>
      <c r="Q93" s="39">
        <v>600000000</v>
      </c>
      <c r="R93" s="39"/>
      <c r="S93" s="36">
        <f t="shared" si="4"/>
        <v>600000000</v>
      </c>
      <c r="T93" s="37">
        <v>0</v>
      </c>
      <c r="U93" s="37">
        <v>0</v>
      </c>
      <c r="V93" s="37">
        <v>0</v>
      </c>
      <c r="W93" s="10"/>
      <c r="X93" s="10"/>
      <c r="Y93" s="10"/>
      <c r="Z93" s="10"/>
      <c r="AA93" s="34">
        <v>0</v>
      </c>
      <c r="AB93" s="10"/>
      <c r="AC93" s="10"/>
      <c r="AD93" s="10"/>
      <c r="AE93" s="10"/>
      <c r="AF93" s="10"/>
      <c r="AG93" s="124"/>
      <c r="AH93" s="124"/>
      <c r="AI93" s="124"/>
      <c r="AJ93" s="124"/>
      <c r="AK93" s="124"/>
      <c r="AL93" s="124"/>
      <c r="AM93" s="124"/>
      <c r="AN93" s="124"/>
      <c r="AO93" s="124"/>
      <c r="AP93" s="124"/>
      <c r="AQ93" s="155"/>
    </row>
    <row r="94" spans="1:43" ht="90" x14ac:dyDescent="0.25">
      <c r="A94" s="34"/>
      <c r="B94" s="34"/>
      <c r="C94" s="34"/>
      <c r="D94" s="34"/>
      <c r="E94" s="74"/>
      <c r="F94" s="34"/>
      <c r="G94" s="34"/>
      <c r="H94" s="36"/>
      <c r="I94" s="255"/>
      <c r="J94" s="39"/>
      <c r="K94" s="39"/>
      <c r="L94" s="39"/>
      <c r="M94" s="39"/>
      <c r="N94" s="36">
        <f t="shared" si="3"/>
        <v>0</v>
      </c>
      <c r="O94" s="36">
        <f t="shared" si="3"/>
        <v>0</v>
      </c>
      <c r="P94" s="36">
        <f t="shared" si="3"/>
        <v>0</v>
      </c>
      <c r="Q94" s="39"/>
      <c r="R94" s="39"/>
      <c r="S94" s="36">
        <f t="shared" si="4"/>
        <v>0</v>
      </c>
      <c r="T94" s="37" t="s">
        <v>3724</v>
      </c>
      <c r="U94" s="37" t="s">
        <v>3725</v>
      </c>
      <c r="V94" s="37">
        <v>18</v>
      </c>
      <c r="W94" s="10">
        <v>18</v>
      </c>
      <c r="X94" s="10"/>
      <c r="Y94" s="10">
        <v>10</v>
      </c>
      <c r="Z94" s="10">
        <v>18</v>
      </c>
      <c r="AA94" s="34">
        <v>330</v>
      </c>
      <c r="AB94" s="10">
        <v>120</v>
      </c>
      <c r="AC94" s="10">
        <v>300</v>
      </c>
      <c r="AD94" s="10" t="s">
        <v>3726</v>
      </c>
      <c r="AE94" s="10" t="s">
        <v>218</v>
      </c>
      <c r="AF94" s="10" t="s">
        <v>218</v>
      </c>
      <c r="AG94" s="124" t="s">
        <v>218</v>
      </c>
      <c r="AH94" s="124" t="s">
        <v>218</v>
      </c>
      <c r="AI94" s="124" t="s">
        <v>218</v>
      </c>
      <c r="AJ94" s="124" t="s">
        <v>218</v>
      </c>
      <c r="AK94" s="124" t="s">
        <v>218</v>
      </c>
      <c r="AL94" s="124" t="s">
        <v>218</v>
      </c>
      <c r="AM94" s="124" t="s">
        <v>218</v>
      </c>
      <c r="AN94" s="124" t="s">
        <v>218</v>
      </c>
      <c r="AO94" s="124" t="s">
        <v>218</v>
      </c>
      <c r="AP94" s="124" t="s">
        <v>218</v>
      </c>
    </row>
    <row r="95" spans="1:43" ht="48" x14ac:dyDescent="0.25">
      <c r="A95" s="34"/>
      <c r="B95" s="34"/>
      <c r="C95" s="34"/>
      <c r="D95" s="34"/>
      <c r="E95" s="74"/>
      <c r="F95" s="34"/>
      <c r="G95" s="34"/>
      <c r="H95" s="36"/>
      <c r="I95" s="255"/>
      <c r="J95" s="39"/>
      <c r="K95" s="39"/>
      <c r="L95" s="39"/>
      <c r="M95" s="39"/>
      <c r="N95" s="36">
        <f t="shared" si="3"/>
        <v>0</v>
      </c>
      <c r="O95" s="36">
        <f t="shared" si="3"/>
        <v>0</v>
      </c>
      <c r="P95" s="36">
        <f t="shared" si="3"/>
        <v>0</v>
      </c>
      <c r="Q95" s="39"/>
      <c r="R95" s="39"/>
      <c r="S95" s="36">
        <f t="shared" si="4"/>
        <v>0</v>
      </c>
      <c r="T95" s="37" t="s">
        <v>3727</v>
      </c>
      <c r="U95" s="37" t="s">
        <v>3728</v>
      </c>
      <c r="V95" s="37">
        <v>2</v>
      </c>
      <c r="W95" s="10">
        <v>2</v>
      </c>
      <c r="X95" s="10"/>
      <c r="Y95" s="10">
        <v>2</v>
      </c>
      <c r="Z95" s="10">
        <v>10</v>
      </c>
      <c r="AA95" s="34">
        <v>180</v>
      </c>
      <c r="AB95" s="10"/>
      <c r="AC95" s="10">
        <v>75</v>
      </c>
      <c r="AD95" s="10" t="s">
        <v>3729</v>
      </c>
      <c r="AE95" s="10" t="s">
        <v>218</v>
      </c>
      <c r="AF95" s="10" t="s">
        <v>218</v>
      </c>
      <c r="AG95" s="124" t="s">
        <v>218</v>
      </c>
      <c r="AH95" s="124" t="s">
        <v>218</v>
      </c>
      <c r="AI95" s="124" t="s">
        <v>218</v>
      </c>
      <c r="AJ95" s="124" t="s">
        <v>218</v>
      </c>
      <c r="AK95" s="124" t="s">
        <v>218</v>
      </c>
      <c r="AL95" s="124" t="s">
        <v>218</v>
      </c>
      <c r="AM95" s="124" t="s">
        <v>218</v>
      </c>
      <c r="AN95" s="124" t="s">
        <v>218</v>
      </c>
      <c r="AO95" s="124" t="s">
        <v>218</v>
      </c>
      <c r="AP95" s="124" t="s">
        <v>218</v>
      </c>
    </row>
    <row r="96" spans="1:43" ht="48" x14ac:dyDescent="0.25">
      <c r="A96" s="34"/>
      <c r="B96" s="34"/>
      <c r="C96" s="34"/>
      <c r="D96" s="34"/>
      <c r="E96" s="74"/>
      <c r="F96" s="34"/>
      <c r="G96" s="34"/>
      <c r="H96" s="36"/>
      <c r="I96" s="255"/>
      <c r="J96" s="39"/>
      <c r="K96" s="39"/>
      <c r="L96" s="39"/>
      <c r="M96" s="39"/>
      <c r="N96" s="36">
        <f t="shared" si="3"/>
        <v>0</v>
      </c>
      <c r="O96" s="36">
        <f t="shared" si="3"/>
        <v>0</v>
      </c>
      <c r="P96" s="36">
        <f t="shared" si="3"/>
        <v>0</v>
      </c>
      <c r="Q96" s="39"/>
      <c r="R96" s="39"/>
      <c r="S96" s="36">
        <f t="shared" si="4"/>
        <v>0</v>
      </c>
      <c r="T96" s="37" t="s">
        <v>3730</v>
      </c>
      <c r="U96" s="37" t="s">
        <v>3692</v>
      </c>
      <c r="V96" s="37">
        <v>3</v>
      </c>
      <c r="W96" s="10">
        <v>0</v>
      </c>
      <c r="X96" s="10"/>
      <c r="Y96" s="10">
        <v>0</v>
      </c>
      <c r="Z96" s="10">
        <v>1</v>
      </c>
      <c r="AA96" s="34">
        <v>180</v>
      </c>
      <c r="AB96" s="10">
        <v>0</v>
      </c>
      <c r="AC96" s="10">
        <v>75</v>
      </c>
      <c r="AD96" s="10"/>
      <c r="AE96" s="10" t="s">
        <v>218</v>
      </c>
      <c r="AF96" s="10" t="s">
        <v>218</v>
      </c>
      <c r="AG96" s="124" t="s">
        <v>218</v>
      </c>
      <c r="AH96" s="124" t="s">
        <v>218</v>
      </c>
      <c r="AI96" s="124" t="s">
        <v>218</v>
      </c>
      <c r="AJ96" s="124" t="s">
        <v>218</v>
      </c>
      <c r="AK96" s="124"/>
      <c r="AL96" s="124"/>
      <c r="AM96" s="124"/>
      <c r="AN96" s="124"/>
      <c r="AO96" s="124"/>
      <c r="AP96" s="124"/>
    </row>
    <row r="97" spans="1:43" ht="48" x14ac:dyDescent="0.25">
      <c r="A97" s="34"/>
      <c r="B97" s="34"/>
      <c r="C97" s="34"/>
      <c r="D97" s="34"/>
      <c r="E97" s="74"/>
      <c r="F97" s="34"/>
      <c r="G97" s="34"/>
      <c r="H97" s="36"/>
      <c r="I97" s="255"/>
      <c r="J97" s="39"/>
      <c r="K97" s="39"/>
      <c r="L97" s="39"/>
      <c r="M97" s="39"/>
      <c r="N97" s="36">
        <f t="shared" si="3"/>
        <v>0</v>
      </c>
      <c r="O97" s="36">
        <f t="shared" si="3"/>
        <v>0</v>
      </c>
      <c r="P97" s="36">
        <f t="shared" si="3"/>
        <v>0</v>
      </c>
      <c r="Q97" s="39"/>
      <c r="R97" s="39"/>
      <c r="S97" s="36">
        <f t="shared" si="4"/>
        <v>0</v>
      </c>
      <c r="T97" s="37" t="s">
        <v>3731</v>
      </c>
      <c r="U97" s="37" t="s">
        <v>3692</v>
      </c>
      <c r="V97" s="37">
        <v>3</v>
      </c>
      <c r="W97" s="10">
        <v>0</v>
      </c>
      <c r="X97" s="10"/>
      <c r="Y97" s="10">
        <v>0</v>
      </c>
      <c r="Z97" s="10">
        <v>1</v>
      </c>
      <c r="AA97" s="34">
        <v>180</v>
      </c>
      <c r="AB97" s="10">
        <v>0</v>
      </c>
      <c r="AC97" s="10">
        <v>75</v>
      </c>
      <c r="AD97" s="10"/>
      <c r="AE97" s="10" t="s">
        <v>218</v>
      </c>
      <c r="AF97" s="10" t="s">
        <v>218</v>
      </c>
      <c r="AG97" s="124" t="s">
        <v>218</v>
      </c>
      <c r="AH97" s="124" t="s">
        <v>218</v>
      </c>
      <c r="AI97" s="124" t="s">
        <v>218</v>
      </c>
      <c r="AJ97" s="124" t="s">
        <v>218</v>
      </c>
      <c r="AK97" s="124" t="s">
        <v>218</v>
      </c>
      <c r="AL97" s="124"/>
      <c r="AM97" s="124"/>
      <c r="AN97" s="124"/>
      <c r="AO97" s="124"/>
      <c r="AP97" s="124"/>
    </row>
    <row r="98" spans="1:43" ht="108" x14ac:dyDescent="0.25">
      <c r="A98" s="10" t="s">
        <v>156</v>
      </c>
      <c r="B98" s="10" t="s">
        <v>3299</v>
      </c>
      <c r="C98" s="10" t="s">
        <v>3389</v>
      </c>
      <c r="D98" s="10">
        <v>221730004</v>
      </c>
      <c r="E98" s="74" t="s">
        <v>3405</v>
      </c>
      <c r="F98" s="34">
        <v>22320001</v>
      </c>
      <c r="G98" s="34" t="s">
        <v>3406</v>
      </c>
      <c r="H98" s="36">
        <v>700000000</v>
      </c>
      <c r="I98" s="255">
        <v>700000000</v>
      </c>
      <c r="J98" s="39">
        <v>700000000</v>
      </c>
      <c r="K98" s="39"/>
      <c r="L98" s="39"/>
      <c r="M98" s="39"/>
      <c r="N98" s="36">
        <f t="shared" si="3"/>
        <v>700000000</v>
      </c>
      <c r="O98" s="36">
        <f t="shared" si="3"/>
        <v>700000000</v>
      </c>
      <c r="P98" s="36">
        <f t="shared" si="3"/>
        <v>700000000</v>
      </c>
      <c r="Q98" s="39">
        <v>699750000</v>
      </c>
      <c r="R98" s="39"/>
      <c r="S98" s="36">
        <f t="shared" si="4"/>
        <v>699750000</v>
      </c>
      <c r="T98" s="37">
        <v>0</v>
      </c>
      <c r="U98" s="37">
        <v>0</v>
      </c>
      <c r="V98" s="37">
        <v>0</v>
      </c>
      <c r="W98" s="10"/>
      <c r="X98" s="10"/>
      <c r="Y98" s="10"/>
      <c r="Z98" s="10"/>
      <c r="AA98" s="34">
        <v>0</v>
      </c>
      <c r="AB98" s="10"/>
      <c r="AC98" s="10"/>
      <c r="AD98" s="10"/>
      <c r="AE98" s="10"/>
      <c r="AF98" s="10"/>
      <c r="AG98" s="124"/>
      <c r="AH98" s="124"/>
      <c r="AI98" s="124"/>
      <c r="AJ98" s="124"/>
      <c r="AK98" s="124"/>
      <c r="AL98" s="124"/>
      <c r="AM98" s="124"/>
      <c r="AN98" s="124"/>
      <c r="AO98" s="124"/>
      <c r="AP98" s="124"/>
      <c r="AQ98" s="155"/>
    </row>
    <row r="99" spans="1:43" ht="75" x14ac:dyDescent="0.25">
      <c r="A99" s="34"/>
      <c r="B99" s="34"/>
      <c r="C99" s="34"/>
      <c r="D99" s="34"/>
      <c r="E99" s="74"/>
      <c r="F99" s="34"/>
      <c r="G99" s="34"/>
      <c r="H99" s="36"/>
      <c r="I99" s="255"/>
      <c r="J99" s="39"/>
      <c r="K99" s="39"/>
      <c r="L99" s="39"/>
      <c r="M99" s="39"/>
      <c r="N99" s="36">
        <f t="shared" si="3"/>
        <v>0</v>
      </c>
      <c r="O99" s="36">
        <f t="shared" si="3"/>
        <v>0</v>
      </c>
      <c r="P99" s="36">
        <f t="shared" si="3"/>
        <v>0</v>
      </c>
      <c r="Q99" s="39"/>
      <c r="R99" s="39"/>
      <c r="S99" s="36">
        <f t="shared" si="4"/>
        <v>0</v>
      </c>
      <c r="T99" s="37" t="s">
        <v>3732</v>
      </c>
      <c r="U99" s="37" t="s">
        <v>3733</v>
      </c>
      <c r="V99" s="37">
        <v>1800</v>
      </c>
      <c r="W99" s="10">
        <v>1800</v>
      </c>
      <c r="X99" s="10"/>
      <c r="Y99" s="10">
        <v>1315</v>
      </c>
      <c r="Z99" s="10">
        <v>1315</v>
      </c>
      <c r="AA99" s="34">
        <v>200</v>
      </c>
      <c r="AB99" s="10">
        <v>100</v>
      </c>
      <c r="AC99" s="10">
        <v>200</v>
      </c>
      <c r="AD99" s="10" t="s">
        <v>3734</v>
      </c>
      <c r="AE99" s="10" t="s">
        <v>218</v>
      </c>
      <c r="AF99" s="10" t="s">
        <v>218</v>
      </c>
      <c r="AG99" s="124" t="s">
        <v>218</v>
      </c>
      <c r="AH99" s="124" t="s">
        <v>218</v>
      </c>
      <c r="AI99" s="124" t="s">
        <v>218</v>
      </c>
      <c r="AJ99" s="124" t="s">
        <v>218</v>
      </c>
      <c r="AK99" s="124" t="s">
        <v>218</v>
      </c>
      <c r="AL99" s="124" t="s">
        <v>218</v>
      </c>
      <c r="AM99" s="124" t="s">
        <v>218</v>
      </c>
      <c r="AN99" s="124" t="s">
        <v>218</v>
      </c>
      <c r="AO99" s="124" t="s">
        <v>218</v>
      </c>
      <c r="AP99" s="124"/>
    </row>
    <row r="100" spans="1:43" ht="48" x14ac:dyDescent="0.25">
      <c r="A100" s="34"/>
      <c r="B100" s="34"/>
      <c r="C100" s="34"/>
      <c r="D100" s="34"/>
      <c r="E100" s="74"/>
      <c r="F100" s="34"/>
      <c r="G100" s="34"/>
      <c r="H100" s="36"/>
      <c r="I100" s="255"/>
      <c r="J100" s="39"/>
      <c r="K100" s="39"/>
      <c r="L100" s="39"/>
      <c r="M100" s="39"/>
      <c r="N100" s="36">
        <f t="shared" si="3"/>
        <v>0</v>
      </c>
      <c r="O100" s="36">
        <f t="shared" si="3"/>
        <v>0</v>
      </c>
      <c r="P100" s="36">
        <f t="shared" si="3"/>
        <v>0</v>
      </c>
      <c r="Q100" s="39"/>
      <c r="R100" s="39"/>
      <c r="S100" s="36">
        <f t="shared" si="4"/>
        <v>0</v>
      </c>
      <c r="T100" s="37" t="s">
        <v>3735</v>
      </c>
      <c r="U100" s="37" t="s">
        <v>3725</v>
      </c>
      <c r="V100" s="37">
        <v>20</v>
      </c>
      <c r="W100" s="10">
        <v>20</v>
      </c>
      <c r="X100" s="10"/>
      <c r="Y100" s="10">
        <v>16</v>
      </c>
      <c r="Z100" s="10">
        <v>16</v>
      </c>
      <c r="AA100" s="34">
        <v>200</v>
      </c>
      <c r="AB100" s="10">
        <v>90</v>
      </c>
      <c r="AC100" s="10">
        <v>90</v>
      </c>
      <c r="AD100" s="10"/>
      <c r="AE100" s="10" t="s">
        <v>218</v>
      </c>
      <c r="AF100" s="10" t="s">
        <v>218</v>
      </c>
      <c r="AG100" s="124" t="s">
        <v>218</v>
      </c>
      <c r="AH100" s="124" t="s">
        <v>218</v>
      </c>
      <c r="AI100" s="124" t="s">
        <v>218</v>
      </c>
      <c r="AJ100" s="124" t="s">
        <v>218</v>
      </c>
      <c r="AK100" s="124" t="s">
        <v>218</v>
      </c>
      <c r="AL100" s="124" t="s">
        <v>218</v>
      </c>
      <c r="AM100" s="124" t="s">
        <v>218</v>
      </c>
      <c r="AN100" s="124" t="s">
        <v>218</v>
      </c>
      <c r="AO100" s="124" t="s">
        <v>218</v>
      </c>
      <c r="AP100" s="124"/>
    </row>
    <row r="101" spans="1:43" ht="96" x14ac:dyDescent="0.25">
      <c r="A101" s="10" t="s">
        <v>156</v>
      </c>
      <c r="B101" s="10" t="s">
        <v>982</v>
      </c>
      <c r="C101" s="10" t="s">
        <v>3409</v>
      </c>
      <c r="D101" s="10">
        <v>222910000</v>
      </c>
      <c r="E101" s="74" t="s">
        <v>3411</v>
      </c>
      <c r="F101" s="34" t="s">
        <v>3412</v>
      </c>
      <c r="G101" s="34" t="s">
        <v>3413</v>
      </c>
      <c r="H101" s="36">
        <v>1865206112</v>
      </c>
      <c r="I101" s="255">
        <v>3481157500</v>
      </c>
      <c r="J101" s="39">
        <v>2559793888</v>
      </c>
      <c r="K101" s="39"/>
      <c r="L101" s="39"/>
      <c r="M101" s="39"/>
      <c r="N101" s="36">
        <f t="shared" si="3"/>
        <v>1865206112</v>
      </c>
      <c r="O101" s="36">
        <f t="shared" si="3"/>
        <v>3481157500</v>
      </c>
      <c r="P101" s="36">
        <f t="shared" si="3"/>
        <v>2559793888</v>
      </c>
      <c r="Q101" s="39">
        <v>2559000000</v>
      </c>
      <c r="R101" s="39"/>
      <c r="S101" s="36">
        <f t="shared" si="4"/>
        <v>2559000000</v>
      </c>
      <c r="T101" s="37">
        <v>0</v>
      </c>
      <c r="U101" s="37">
        <v>0</v>
      </c>
      <c r="V101" s="37">
        <v>0</v>
      </c>
      <c r="W101" s="10"/>
      <c r="X101" s="10"/>
      <c r="Y101" s="10"/>
      <c r="Z101" s="10"/>
      <c r="AA101" s="34">
        <v>0</v>
      </c>
      <c r="AB101" s="10"/>
      <c r="AC101" s="10"/>
      <c r="AD101" s="10"/>
      <c r="AE101" s="10"/>
      <c r="AF101" s="10"/>
      <c r="AG101" s="124"/>
      <c r="AH101" s="124"/>
      <c r="AI101" s="124"/>
      <c r="AJ101" s="124"/>
      <c r="AK101" s="124"/>
      <c r="AL101" s="124"/>
      <c r="AM101" s="124"/>
      <c r="AN101" s="124"/>
      <c r="AO101" s="124"/>
      <c r="AP101" s="124"/>
      <c r="AQ101" s="155"/>
    </row>
    <row r="102" spans="1:43" ht="48" x14ac:dyDescent="0.25">
      <c r="A102" s="34"/>
      <c r="B102" s="34"/>
      <c r="C102" s="34"/>
      <c r="D102" s="34"/>
      <c r="E102" s="74"/>
      <c r="F102" s="34"/>
      <c r="G102" s="34"/>
      <c r="H102" s="36"/>
      <c r="I102" s="255"/>
      <c r="J102" s="39"/>
      <c r="K102" s="39"/>
      <c r="L102" s="39"/>
      <c r="M102" s="39"/>
      <c r="N102" s="36">
        <f t="shared" si="3"/>
        <v>0</v>
      </c>
      <c r="O102" s="36">
        <f t="shared" si="3"/>
        <v>0</v>
      </c>
      <c r="P102" s="36">
        <f t="shared" si="3"/>
        <v>0</v>
      </c>
      <c r="Q102" s="39"/>
      <c r="R102" s="39"/>
      <c r="S102" s="36">
        <f t="shared" si="4"/>
        <v>0</v>
      </c>
      <c r="T102" s="37" t="s">
        <v>3736</v>
      </c>
      <c r="U102" s="37" t="s">
        <v>3737</v>
      </c>
      <c r="V102" s="37">
        <v>100</v>
      </c>
      <c r="W102" s="10">
        <v>100</v>
      </c>
      <c r="X102" s="10"/>
      <c r="Y102" s="10">
        <v>80</v>
      </c>
      <c r="Z102" s="10">
        <v>165</v>
      </c>
      <c r="AA102" s="34">
        <v>240</v>
      </c>
      <c r="AB102" s="10">
        <v>90</v>
      </c>
      <c r="AC102" s="10">
        <v>240</v>
      </c>
      <c r="AD102" s="10"/>
      <c r="AE102" s="10"/>
      <c r="AF102" s="10"/>
      <c r="AG102" s="124"/>
      <c r="AH102" s="124" t="s">
        <v>218</v>
      </c>
      <c r="AI102" s="124" t="s">
        <v>218</v>
      </c>
      <c r="AJ102" s="124" t="s">
        <v>218</v>
      </c>
      <c r="AK102" s="124" t="s">
        <v>218</v>
      </c>
      <c r="AL102" s="124" t="s">
        <v>218</v>
      </c>
      <c r="AM102" s="124" t="s">
        <v>218</v>
      </c>
      <c r="AN102" s="124" t="s">
        <v>218</v>
      </c>
      <c r="AO102" s="124" t="s">
        <v>218</v>
      </c>
      <c r="AP102" s="124"/>
    </row>
    <row r="103" spans="1:43" ht="48" x14ac:dyDescent="0.25">
      <c r="A103" s="34"/>
      <c r="B103" s="34"/>
      <c r="C103" s="34"/>
      <c r="D103" s="34"/>
      <c r="E103" s="74"/>
      <c r="F103" s="34"/>
      <c r="G103" s="34"/>
      <c r="H103" s="36"/>
      <c r="I103" s="255"/>
      <c r="J103" s="39"/>
      <c r="K103" s="39"/>
      <c r="L103" s="39"/>
      <c r="M103" s="39"/>
      <c r="N103" s="36">
        <f t="shared" si="3"/>
        <v>0</v>
      </c>
      <c r="O103" s="36">
        <f t="shared" si="3"/>
        <v>0</v>
      </c>
      <c r="P103" s="36">
        <f t="shared" si="3"/>
        <v>0</v>
      </c>
      <c r="Q103" s="39"/>
      <c r="R103" s="39"/>
      <c r="S103" s="36">
        <f t="shared" si="4"/>
        <v>0</v>
      </c>
      <c r="T103" s="37" t="s">
        <v>3738</v>
      </c>
      <c r="U103" s="37" t="s">
        <v>3739</v>
      </c>
      <c r="V103" s="37">
        <v>1</v>
      </c>
      <c r="W103" s="10">
        <v>1</v>
      </c>
      <c r="X103" s="10"/>
      <c r="Y103" s="10">
        <v>3</v>
      </c>
      <c r="Z103" s="10">
        <v>3</v>
      </c>
      <c r="AA103" s="34">
        <v>334</v>
      </c>
      <c r="AB103" s="10">
        <v>148</v>
      </c>
      <c r="AC103" s="10">
        <v>334</v>
      </c>
      <c r="AD103" s="10"/>
      <c r="AE103" s="10"/>
      <c r="AF103" s="10" t="s">
        <v>218</v>
      </c>
      <c r="AG103" s="124" t="s">
        <v>218</v>
      </c>
      <c r="AH103" s="124" t="s">
        <v>218</v>
      </c>
      <c r="AI103" s="124" t="s">
        <v>218</v>
      </c>
      <c r="AJ103" s="124" t="s">
        <v>218</v>
      </c>
      <c r="AK103" s="124" t="s">
        <v>218</v>
      </c>
      <c r="AL103" s="124" t="s">
        <v>218</v>
      </c>
      <c r="AM103" s="124" t="s">
        <v>218</v>
      </c>
      <c r="AN103" s="124" t="s">
        <v>218</v>
      </c>
      <c r="AO103" s="124" t="s">
        <v>218</v>
      </c>
      <c r="AP103" s="124" t="s">
        <v>218</v>
      </c>
    </row>
    <row r="104" spans="1:43" ht="120" x14ac:dyDescent="0.25">
      <c r="A104" s="34"/>
      <c r="B104" s="34"/>
      <c r="C104" s="34"/>
      <c r="D104" s="34"/>
      <c r="E104" s="74"/>
      <c r="F104" s="34"/>
      <c r="G104" s="34"/>
      <c r="H104" s="36"/>
      <c r="I104" s="255"/>
      <c r="J104" s="39"/>
      <c r="K104" s="39"/>
      <c r="L104" s="39"/>
      <c r="M104" s="39"/>
      <c r="N104" s="36">
        <f t="shared" si="3"/>
        <v>0</v>
      </c>
      <c r="O104" s="36">
        <f t="shared" si="3"/>
        <v>0</v>
      </c>
      <c r="P104" s="36">
        <f t="shared" si="3"/>
        <v>0</v>
      </c>
      <c r="Q104" s="39"/>
      <c r="R104" s="39"/>
      <c r="S104" s="36">
        <f t="shared" si="4"/>
        <v>0</v>
      </c>
      <c r="T104" s="37" t="s">
        <v>3418</v>
      </c>
      <c r="U104" s="37" t="s">
        <v>3740</v>
      </c>
      <c r="V104" s="37">
        <v>5</v>
      </c>
      <c r="W104" s="10">
        <v>5</v>
      </c>
      <c r="X104" s="10"/>
      <c r="Y104" s="10">
        <v>0</v>
      </c>
      <c r="Z104" s="10">
        <v>0</v>
      </c>
      <c r="AA104" s="34">
        <v>240</v>
      </c>
      <c r="AB104" s="10">
        <v>0</v>
      </c>
      <c r="AC104" s="10">
        <v>240</v>
      </c>
      <c r="AD104" s="10" t="s">
        <v>3547</v>
      </c>
      <c r="AE104" s="10"/>
      <c r="AF104" s="10"/>
      <c r="AG104" s="124"/>
      <c r="AH104" s="124"/>
      <c r="AI104" s="124" t="s">
        <v>218</v>
      </c>
      <c r="AJ104" s="124" t="s">
        <v>218</v>
      </c>
      <c r="AK104" s="124" t="s">
        <v>218</v>
      </c>
      <c r="AL104" s="124" t="s">
        <v>218</v>
      </c>
      <c r="AM104" s="124" t="s">
        <v>218</v>
      </c>
      <c r="AN104" s="124" t="s">
        <v>218</v>
      </c>
      <c r="AO104" s="124" t="s">
        <v>218</v>
      </c>
      <c r="AP104" s="124" t="s">
        <v>218</v>
      </c>
    </row>
    <row r="105" spans="1:43" ht="132" x14ac:dyDescent="0.25">
      <c r="A105" s="10" t="s">
        <v>156</v>
      </c>
      <c r="B105" s="10" t="s">
        <v>3299</v>
      </c>
      <c r="C105" s="10" t="s">
        <v>3332</v>
      </c>
      <c r="D105" s="10">
        <v>221310000</v>
      </c>
      <c r="E105" s="74" t="s">
        <v>3420</v>
      </c>
      <c r="F105" s="34">
        <v>22140001</v>
      </c>
      <c r="G105" s="34" t="s">
        <v>3421</v>
      </c>
      <c r="H105" s="36">
        <v>400000000</v>
      </c>
      <c r="I105" s="255">
        <v>400000000</v>
      </c>
      <c r="J105" s="39">
        <v>0</v>
      </c>
      <c r="K105" s="39"/>
      <c r="L105" s="39"/>
      <c r="M105" s="39"/>
      <c r="N105" s="36">
        <f t="shared" ref="N105:P130" si="5">H105+K105</f>
        <v>400000000</v>
      </c>
      <c r="O105" s="36">
        <f t="shared" si="5"/>
        <v>400000000</v>
      </c>
      <c r="P105" s="36">
        <f t="shared" si="5"/>
        <v>0</v>
      </c>
      <c r="Q105" s="39">
        <v>0</v>
      </c>
      <c r="R105" s="39"/>
      <c r="S105" s="36">
        <f t="shared" si="4"/>
        <v>0</v>
      </c>
      <c r="T105" s="37">
        <v>0</v>
      </c>
      <c r="U105" s="37">
        <v>0</v>
      </c>
      <c r="V105" s="37">
        <v>0</v>
      </c>
      <c r="W105" s="10"/>
      <c r="X105" s="10"/>
      <c r="Y105" s="10"/>
      <c r="Z105" s="10"/>
      <c r="AA105" s="34">
        <v>0</v>
      </c>
      <c r="AB105" s="10"/>
      <c r="AC105" s="10"/>
      <c r="AD105" s="10"/>
      <c r="AE105" s="10"/>
      <c r="AF105" s="10"/>
      <c r="AG105" s="124"/>
      <c r="AH105" s="124"/>
      <c r="AI105" s="124"/>
      <c r="AJ105" s="124"/>
      <c r="AK105" s="124"/>
      <c r="AL105" s="124"/>
      <c r="AM105" s="124"/>
      <c r="AN105" s="124"/>
      <c r="AO105" s="124"/>
      <c r="AP105" s="124"/>
      <c r="AQ105" s="155"/>
    </row>
    <row r="106" spans="1:43" ht="36" x14ac:dyDescent="0.25">
      <c r="A106" s="34"/>
      <c r="B106" s="34"/>
      <c r="C106" s="34"/>
      <c r="D106" s="34"/>
      <c r="E106" s="74"/>
      <c r="F106" s="34"/>
      <c r="G106" s="34"/>
      <c r="H106" s="36"/>
      <c r="I106" s="255"/>
      <c r="J106" s="39"/>
      <c r="K106" s="39"/>
      <c r="L106" s="39"/>
      <c r="M106" s="39"/>
      <c r="N106" s="36">
        <f t="shared" si="5"/>
        <v>0</v>
      </c>
      <c r="O106" s="36">
        <f t="shared" si="5"/>
        <v>0</v>
      </c>
      <c r="P106" s="36">
        <f t="shared" si="5"/>
        <v>0</v>
      </c>
      <c r="Q106" s="39"/>
      <c r="R106" s="39"/>
      <c r="S106" s="36">
        <f t="shared" si="4"/>
        <v>0</v>
      </c>
      <c r="T106" s="37" t="s">
        <v>3741</v>
      </c>
      <c r="U106" s="37" t="s">
        <v>1116</v>
      </c>
      <c r="V106" s="37">
        <v>23</v>
      </c>
      <c r="W106" s="10">
        <v>13</v>
      </c>
      <c r="X106" s="10"/>
      <c r="Y106" s="10">
        <v>1</v>
      </c>
      <c r="Z106" s="10">
        <v>3</v>
      </c>
      <c r="AA106" s="34">
        <v>300</v>
      </c>
      <c r="AB106" s="10">
        <v>60</v>
      </c>
      <c r="AC106" s="10">
        <v>120</v>
      </c>
      <c r="AD106" s="10"/>
      <c r="AE106" s="10"/>
      <c r="AF106" s="10" t="s">
        <v>218</v>
      </c>
      <c r="AG106" s="124" t="s">
        <v>218</v>
      </c>
      <c r="AH106" s="124" t="s">
        <v>218</v>
      </c>
      <c r="AI106" s="124" t="s">
        <v>218</v>
      </c>
      <c r="AJ106" s="124" t="s">
        <v>218</v>
      </c>
      <c r="AK106" s="124" t="s">
        <v>218</v>
      </c>
      <c r="AL106" s="124" t="s">
        <v>218</v>
      </c>
      <c r="AM106" s="124" t="s">
        <v>218</v>
      </c>
      <c r="AN106" s="124" t="s">
        <v>218</v>
      </c>
      <c r="AO106" s="124" t="s">
        <v>218</v>
      </c>
      <c r="AP106" s="124"/>
    </row>
    <row r="107" spans="1:43" ht="105" x14ac:dyDescent="0.25">
      <c r="A107" s="34"/>
      <c r="B107" s="34"/>
      <c r="C107" s="34"/>
      <c r="D107" s="34"/>
      <c r="E107" s="74"/>
      <c r="F107" s="34"/>
      <c r="G107" s="34"/>
      <c r="H107" s="36"/>
      <c r="I107" s="255"/>
      <c r="J107" s="39"/>
      <c r="K107" s="39"/>
      <c r="L107" s="39"/>
      <c r="M107" s="39"/>
      <c r="N107" s="36">
        <f t="shared" si="5"/>
        <v>0</v>
      </c>
      <c r="O107" s="36">
        <f t="shared" si="5"/>
        <v>0</v>
      </c>
      <c r="P107" s="36">
        <f t="shared" si="5"/>
        <v>0</v>
      </c>
      <c r="Q107" s="39"/>
      <c r="R107" s="39"/>
      <c r="S107" s="36">
        <f t="shared" si="4"/>
        <v>0</v>
      </c>
      <c r="T107" s="37" t="s">
        <v>3742</v>
      </c>
      <c r="U107" s="37" t="s">
        <v>1463</v>
      </c>
      <c r="V107" s="37">
        <v>7</v>
      </c>
      <c r="W107" s="10">
        <v>7</v>
      </c>
      <c r="X107" s="10"/>
      <c r="Y107" s="10">
        <v>4</v>
      </c>
      <c r="Z107" s="10">
        <v>7</v>
      </c>
      <c r="AA107" s="34">
        <v>270</v>
      </c>
      <c r="AB107" s="10">
        <v>90</v>
      </c>
      <c r="AC107" s="10">
        <v>240</v>
      </c>
      <c r="AD107" s="10" t="s">
        <v>3743</v>
      </c>
      <c r="AE107" s="10"/>
      <c r="AF107" s="10" t="s">
        <v>218</v>
      </c>
      <c r="AG107" s="124" t="s">
        <v>218</v>
      </c>
      <c r="AH107" s="124" t="s">
        <v>218</v>
      </c>
      <c r="AI107" s="124" t="s">
        <v>218</v>
      </c>
      <c r="AJ107" s="124" t="s">
        <v>218</v>
      </c>
      <c r="AK107" s="124" t="s">
        <v>218</v>
      </c>
      <c r="AL107" s="124" t="s">
        <v>218</v>
      </c>
      <c r="AM107" s="124" t="s">
        <v>218</v>
      </c>
      <c r="AN107" s="124" t="s">
        <v>218</v>
      </c>
      <c r="AO107" s="124"/>
      <c r="AP107" s="124"/>
    </row>
    <row r="108" spans="1:43" ht="60" x14ac:dyDescent="0.25">
      <c r="A108" s="10" t="s">
        <v>156</v>
      </c>
      <c r="B108" s="10" t="s">
        <v>3299</v>
      </c>
      <c r="C108" s="10" t="s">
        <v>3300</v>
      </c>
      <c r="D108" s="10">
        <v>221130008</v>
      </c>
      <c r="E108" s="74" t="s">
        <v>3424</v>
      </c>
      <c r="F108" s="34">
        <v>28238001</v>
      </c>
      <c r="G108" s="34" t="s">
        <v>3425</v>
      </c>
      <c r="H108" s="36">
        <v>24396846000</v>
      </c>
      <c r="I108" s="255">
        <v>24396846000</v>
      </c>
      <c r="J108" s="39">
        <v>29269846000</v>
      </c>
      <c r="K108" s="39"/>
      <c r="L108" s="39"/>
      <c r="M108" s="39"/>
      <c r="N108" s="36">
        <f t="shared" si="5"/>
        <v>24396846000</v>
      </c>
      <c r="O108" s="36">
        <f t="shared" si="5"/>
        <v>24396846000</v>
      </c>
      <c r="P108" s="36">
        <f t="shared" si="5"/>
        <v>29269846000</v>
      </c>
      <c r="Q108" s="39">
        <v>29269846000</v>
      </c>
      <c r="R108" s="39"/>
      <c r="S108" s="36">
        <f t="shared" si="4"/>
        <v>29269846000</v>
      </c>
      <c r="T108" s="37">
        <v>0</v>
      </c>
      <c r="U108" s="37">
        <v>0</v>
      </c>
      <c r="V108" s="37">
        <v>0</v>
      </c>
      <c r="W108" s="10"/>
      <c r="X108" s="10"/>
      <c r="Y108" s="10"/>
      <c r="Z108" s="10"/>
      <c r="AA108" s="34">
        <v>0</v>
      </c>
      <c r="AB108" s="10"/>
      <c r="AC108" s="10"/>
      <c r="AD108" s="10"/>
      <c r="AE108" s="10"/>
      <c r="AF108" s="10"/>
      <c r="AG108" s="124"/>
      <c r="AH108" s="124"/>
      <c r="AI108" s="124"/>
      <c r="AJ108" s="124"/>
      <c r="AK108" s="124"/>
      <c r="AL108" s="124"/>
      <c r="AM108" s="124"/>
      <c r="AN108" s="124"/>
      <c r="AO108" s="124"/>
      <c r="AP108" s="124"/>
      <c r="AQ108" s="155"/>
    </row>
    <row r="109" spans="1:43" ht="60" x14ac:dyDescent="0.25">
      <c r="A109" s="34"/>
      <c r="B109" s="34"/>
      <c r="C109" s="34"/>
      <c r="D109" s="34"/>
      <c r="E109" s="74"/>
      <c r="F109" s="34"/>
      <c r="G109" s="34"/>
      <c r="H109" s="36"/>
      <c r="I109" s="255"/>
      <c r="J109" s="39"/>
      <c r="K109" s="39"/>
      <c r="L109" s="39"/>
      <c r="M109" s="39"/>
      <c r="N109" s="36">
        <f t="shared" si="5"/>
        <v>0</v>
      </c>
      <c r="O109" s="36">
        <f t="shared" si="5"/>
        <v>0</v>
      </c>
      <c r="P109" s="36">
        <f t="shared" si="5"/>
        <v>0</v>
      </c>
      <c r="Q109" s="39"/>
      <c r="R109" s="39"/>
      <c r="S109" s="36">
        <f t="shared" si="4"/>
        <v>0</v>
      </c>
      <c r="T109" s="37" t="s">
        <v>3744</v>
      </c>
      <c r="U109" s="37" t="s">
        <v>3637</v>
      </c>
      <c r="V109" s="37">
        <v>14000</v>
      </c>
      <c r="W109" s="10">
        <v>13000</v>
      </c>
      <c r="X109" s="10"/>
      <c r="Y109" s="10">
        <v>12579</v>
      </c>
      <c r="Z109" s="10">
        <v>14949</v>
      </c>
      <c r="AA109" s="34">
        <v>365</v>
      </c>
      <c r="AB109" s="10">
        <v>180</v>
      </c>
      <c r="AC109" s="10">
        <v>365</v>
      </c>
      <c r="AD109" s="10"/>
      <c r="AE109" s="10" t="s">
        <v>218</v>
      </c>
      <c r="AF109" s="10" t="s">
        <v>218</v>
      </c>
      <c r="AG109" s="124" t="s">
        <v>218</v>
      </c>
      <c r="AH109" s="124" t="s">
        <v>218</v>
      </c>
      <c r="AI109" s="124" t="s">
        <v>218</v>
      </c>
      <c r="AJ109" s="124" t="s">
        <v>218</v>
      </c>
      <c r="AK109" s="124" t="s">
        <v>218</v>
      </c>
      <c r="AL109" s="124" t="s">
        <v>218</v>
      </c>
      <c r="AM109" s="124" t="s">
        <v>218</v>
      </c>
      <c r="AN109" s="124" t="s">
        <v>218</v>
      </c>
      <c r="AO109" s="124" t="s">
        <v>218</v>
      </c>
      <c r="AP109" s="124" t="s">
        <v>218</v>
      </c>
    </row>
    <row r="110" spans="1:43" ht="60" x14ac:dyDescent="0.25">
      <c r="A110" s="34"/>
      <c r="B110" s="34"/>
      <c r="C110" s="34"/>
      <c r="D110" s="34"/>
      <c r="E110" s="74"/>
      <c r="F110" s="34"/>
      <c r="G110" s="34"/>
      <c r="H110" s="36"/>
      <c r="I110" s="255"/>
      <c r="J110" s="39"/>
      <c r="K110" s="39"/>
      <c r="L110" s="39"/>
      <c r="M110" s="39"/>
      <c r="N110" s="36">
        <f t="shared" si="5"/>
        <v>0</v>
      </c>
      <c r="O110" s="36">
        <f t="shared" si="5"/>
        <v>0</v>
      </c>
      <c r="P110" s="36">
        <f t="shared" si="5"/>
        <v>0</v>
      </c>
      <c r="Q110" s="39"/>
      <c r="R110" s="39"/>
      <c r="S110" s="36">
        <f t="shared" si="4"/>
        <v>0</v>
      </c>
      <c r="T110" s="37" t="s">
        <v>3745</v>
      </c>
      <c r="U110" s="37" t="s">
        <v>3637</v>
      </c>
      <c r="V110" s="37">
        <v>1849</v>
      </c>
      <c r="W110" s="10">
        <v>1500</v>
      </c>
      <c r="X110" s="10"/>
      <c r="Y110" s="10">
        <v>1427</v>
      </c>
      <c r="Z110" s="10">
        <v>1477</v>
      </c>
      <c r="AA110" s="34">
        <v>365</v>
      </c>
      <c r="AB110" s="10">
        <v>180</v>
      </c>
      <c r="AC110" s="10">
        <v>365</v>
      </c>
      <c r="AD110" s="10" t="s">
        <v>3746</v>
      </c>
      <c r="AE110" s="10" t="s">
        <v>218</v>
      </c>
      <c r="AF110" s="10" t="s">
        <v>218</v>
      </c>
      <c r="AG110" s="124" t="s">
        <v>218</v>
      </c>
      <c r="AH110" s="124" t="s">
        <v>218</v>
      </c>
      <c r="AI110" s="124" t="s">
        <v>218</v>
      </c>
      <c r="AJ110" s="124" t="s">
        <v>218</v>
      </c>
      <c r="AK110" s="124" t="s">
        <v>218</v>
      </c>
      <c r="AL110" s="124" t="s">
        <v>218</v>
      </c>
      <c r="AM110" s="124" t="s">
        <v>218</v>
      </c>
      <c r="AN110" s="124" t="s">
        <v>218</v>
      </c>
      <c r="AO110" s="124" t="s">
        <v>218</v>
      </c>
      <c r="AP110" s="124" t="s">
        <v>218</v>
      </c>
    </row>
    <row r="111" spans="1:43" ht="72" x14ac:dyDescent="0.25">
      <c r="A111" s="10" t="s">
        <v>156</v>
      </c>
      <c r="B111" s="10" t="s">
        <v>3299</v>
      </c>
      <c r="C111" s="10" t="s">
        <v>3300</v>
      </c>
      <c r="D111" s="10">
        <v>221130008</v>
      </c>
      <c r="E111" s="74" t="s">
        <v>3429</v>
      </c>
      <c r="F111" s="34">
        <v>28244001</v>
      </c>
      <c r="G111" s="34" t="s">
        <v>3430</v>
      </c>
      <c r="H111" s="36">
        <v>634418000</v>
      </c>
      <c r="I111" s="255">
        <v>1414372239</v>
      </c>
      <c r="J111" s="39">
        <v>1622523974</v>
      </c>
      <c r="K111" s="39"/>
      <c r="L111" s="39"/>
      <c r="M111" s="39"/>
      <c r="N111" s="36">
        <f t="shared" si="5"/>
        <v>634418000</v>
      </c>
      <c r="O111" s="36">
        <f t="shared" si="5"/>
        <v>1414372239</v>
      </c>
      <c r="P111" s="36">
        <f t="shared" si="5"/>
        <v>1622523974</v>
      </c>
      <c r="Q111" s="39">
        <v>1622523974</v>
      </c>
      <c r="R111" s="39"/>
      <c r="S111" s="36">
        <f t="shared" si="4"/>
        <v>1622523974</v>
      </c>
      <c r="T111" s="37">
        <v>0</v>
      </c>
      <c r="U111" s="37">
        <v>0</v>
      </c>
      <c r="V111" s="37">
        <v>0</v>
      </c>
      <c r="W111" s="10"/>
      <c r="X111" s="10"/>
      <c r="Y111" s="10"/>
      <c r="Z111" s="10"/>
      <c r="AA111" s="34">
        <v>0</v>
      </c>
      <c r="AB111" s="10"/>
      <c r="AC111" s="10"/>
      <c r="AD111" s="10"/>
      <c r="AE111" s="10"/>
      <c r="AF111" s="10"/>
      <c r="AG111" s="124"/>
      <c r="AH111" s="124"/>
      <c r="AI111" s="124"/>
      <c r="AJ111" s="124"/>
      <c r="AK111" s="124"/>
      <c r="AL111" s="124"/>
      <c r="AM111" s="124"/>
      <c r="AN111" s="124"/>
      <c r="AO111" s="124"/>
      <c r="AP111" s="124"/>
      <c r="AQ111" s="155"/>
    </row>
    <row r="112" spans="1:43" ht="36" x14ac:dyDescent="0.25">
      <c r="A112" s="34"/>
      <c r="B112" s="34"/>
      <c r="C112" s="34"/>
      <c r="D112" s="34"/>
      <c r="E112" s="74"/>
      <c r="F112" s="34"/>
      <c r="G112" s="34"/>
      <c r="H112" s="36"/>
      <c r="I112" s="255"/>
      <c r="J112" s="39"/>
      <c r="K112" s="39"/>
      <c r="L112" s="39"/>
      <c r="M112" s="39"/>
      <c r="N112" s="36">
        <f t="shared" si="5"/>
        <v>0</v>
      </c>
      <c r="O112" s="36">
        <f t="shared" si="5"/>
        <v>0</v>
      </c>
      <c r="P112" s="36">
        <f t="shared" si="5"/>
        <v>0</v>
      </c>
      <c r="Q112" s="39"/>
      <c r="R112" s="39"/>
      <c r="S112" s="36">
        <f t="shared" si="4"/>
        <v>0</v>
      </c>
      <c r="T112" s="37" t="s">
        <v>3747</v>
      </c>
      <c r="U112" s="37" t="s">
        <v>3748</v>
      </c>
      <c r="V112" s="37">
        <v>6000</v>
      </c>
      <c r="W112" s="10">
        <v>6000</v>
      </c>
      <c r="X112" s="10"/>
      <c r="Y112" s="10">
        <v>2230</v>
      </c>
      <c r="Z112" s="10">
        <v>2230</v>
      </c>
      <c r="AA112" s="34">
        <v>365</v>
      </c>
      <c r="AB112" s="10">
        <v>180</v>
      </c>
      <c r="AC112" s="10">
        <v>360</v>
      </c>
      <c r="AD112" s="10"/>
      <c r="AE112" s="10" t="s">
        <v>218</v>
      </c>
      <c r="AF112" s="10" t="s">
        <v>218</v>
      </c>
      <c r="AG112" s="124" t="s">
        <v>218</v>
      </c>
      <c r="AH112" s="124" t="s">
        <v>218</v>
      </c>
      <c r="AI112" s="124" t="s">
        <v>218</v>
      </c>
      <c r="AJ112" s="124" t="s">
        <v>218</v>
      </c>
      <c r="AK112" s="124" t="s">
        <v>218</v>
      </c>
      <c r="AL112" s="124" t="s">
        <v>218</v>
      </c>
      <c r="AM112" s="124" t="s">
        <v>218</v>
      </c>
      <c r="AN112" s="124" t="s">
        <v>218</v>
      </c>
      <c r="AO112" s="124" t="s">
        <v>218</v>
      </c>
      <c r="AP112" s="124" t="s">
        <v>218</v>
      </c>
    </row>
    <row r="113" spans="1:43" ht="60" x14ac:dyDescent="0.25">
      <c r="A113" s="10" t="s">
        <v>156</v>
      </c>
      <c r="B113" s="10" t="s">
        <v>3299</v>
      </c>
      <c r="C113" s="10" t="s">
        <v>3300</v>
      </c>
      <c r="D113" s="10">
        <v>221130008</v>
      </c>
      <c r="E113" s="74" t="s">
        <v>3431</v>
      </c>
      <c r="F113" s="34">
        <v>22258001</v>
      </c>
      <c r="G113" s="34" t="s">
        <v>3432</v>
      </c>
      <c r="H113" s="36">
        <v>634418000</v>
      </c>
      <c r="I113" s="255">
        <v>1414372239</v>
      </c>
      <c r="J113" s="39">
        <v>1622523974</v>
      </c>
      <c r="K113" s="39"/>
      <c r="L113" s="39"/>
      <c r="M113" s="39"/>
      <c r="N113" s="36">
        <f t="shared" si="5"/>
        <v>634418000</v>
      </c>
      <c r="O113" s="36">
        <f t="shared" si="5"/>
        <v>1414372239</v>
      </c>
      <c r="P113" s="36">
        <f t="shared" si="5"/>
        <v>1622523974</v>
      </c>
      <c r="Q113" s="39">
        <v>1622523974</v>
      </c>
      <c r="R113" s="39"/>
      <c r="S113" s="36">
        <f t="shared" si="4"/>
        <v>1622523974</v>
      </c>
      <c r="T113" s="37">
        <v>0</v>
      </c>
      <c r="U113" s="37">
        <v>0</v>
      </c>
      <c r="V113" s="37">
        <v>0</v>
      </c>
      <c r="W113" s="10"/>
      <c r="X113" s="10"/>
      <c r="Y113" s="10"/>
      <c r="Z113" s="10"/>
      <c r="AA113" s="34">
        <v>0</v>
      </c>
      <c r="AB113" s="10"/>
      <c r="AC113" s="10"/>
      <c r="AD113" s="10"/>
      <c r="AE113" s="10"/>
      <c r="AF113" s="10"/>
      <c r="AG113" s="124"/>
      <c r="AH113" s="124"/>
      <c r="AI113" s="124"/>
      <c r="AJ113" s="124"/>
      <c r="AK113" s="124"/>
      <c r="AL113" s="124"/>
      <c r="AM113" s="124"/>
      <c r="AN113" s="124"/>
      <c r="AO113" s="124"/>
      <c r="AP113" s="124"/>
      <c r="AQ113" s="155"/>
    </row>
    <row r="114" spans="1:43" ht="135" x14ac:dyDescent="0.25">
      <c r="A114" s="34"/>
      <c r="B114" s="34"/>
      <c r="C114" s="34"/>
      <c r="D114" s="34"/>
      <c r="E114" s="74"/>
      <c r="F114" s="34"/>
      <c r="G114" s="34"/>
      <c r="H114" s="36"/>
      <c r="I114" s="255"/>
      <c r="J114" s="39"/>
      <c r="K114" s="39"/>
      <c r="L114" s="39"/>
      <c r="M114" s="39"/>
      <c r="N114" s="36">
        <f t="shared" si="5"/>
        <v>0</v>
      </c>
      <c r="O114" s="36">
        <f t="shared" si="5"/>
        <v>0</v>
      </c>
      <c r="P114" s="36">
        <f t="shared" si="5"/>
        <v>0</v>
      </c>
      <c r="Q114" s="39"/>
      <c r="R114" s="39"/>
      <c r="S114" s="36">
        <f t="shared" si="4"/>
        <v>0</v>
      </c>
      <c r="T114" s="37" t="s">
        <v>3749</v>
      </c>
      <c r="U114" s="37" t="s">
        <v>3750</v>
      </c>
      <c r="V114" s="37">
        <v>100</v>
      </c>
      <c r="W114" s="10">
        <v>100</v>
      </c>
      <c r="X114" s="10"/>
      <c r="Y114" s="10"/>
      <c r="Z114" s="10">
        <v>100</v>
      </c>
      <c r="AA114" s="34">
        <v>60</v>
      </c>
      <c r="AB114" s="10"/>
      <c r="AC114" s="10">
        <v>100</v>
      </c>
      <c r="AD114" s="10" t="s">
        <v>3751</v>
      </c>
      <c r="AE114" s="10"/>
      <c r="AF114" s="10"/>
      <c r="AG114" s="124"/>
      <c r="AH114" s="124"/>
      <c r="AI114" s="124" t="s">
        <v>218</v>
      </c>
      <c r="AJ114" s="124"/>
      <c r="AK114" s="124"/>
      <c r="AL114" s="124"/>
      <c r="AM114" s="124"/>
      <c r="AN114" s="124"/>
      <c r="AO114" s="124" t="s">
        <v>218</v>
      </c>
      <c r="AP114" s="124"/>
    </row>
    <row r="115" spans="1:43" ht="90" x14ac:dyDescent="0.25">
      <c r="A115" s="34"/>
      <c r="B115" s="34"/>
      <c r="C115" s="34"/>
      <c r="D115" s="34"/>
      <c r="E115" s="74"/>
      <c r="F115" s="34"/>
      <c r="G115" s="34"/>
      <c r="H115" s="36"/>
      <c r="I115" s="255"/>
      <c r="J115" s="39"/>
      <c r="K115" s="39"/>
      <c r="L115" s="39"/>
      <c r="M115" s="39"/>
      <c r="N115" s="36">
        <f t="shared" si="5"/>
        <v>0</v>
      </c>
      <c r="O115" s="36">
        <f t="shared" si="5"/>
        <v>0</v>
      </c>
      <c r="P115" s="36">
        <f t="shared" si="5"/>
        <v>0</v>
      </c>
      <c r="Q115" s="39"/>
      <c r="R115" s="39"/>
      <c r="S115" s="36">
        <f t="shared" si="4"/>
        <v>0</v>
      </c>
      <c r="T115" s="37" t="s">
        <v>3752</v>
      </c>
      <c r="U115" s="37" t="s">
        <v>3753</v>
      </c>
      <c r="V115" s="37">
        <v>1</v>
      </c>
      <c r="W115" s="10">
        <v>1</v>
      </c>
      <c r="X115" s="10"/>
      <c r="Y115" s="10"/>
      <c r="Z115" s="10">
        <v>1</v>
      </c>
      <c r="AA115" s="34">
        <v>360</v>
      </c>
      <c r="AB115" s="10">
        <v>0</v>
      </c>
      <c r="AC115" s="10">
        <v>360</v>
      </c>
      <c r="AD115" s="10" t="s">
        <v>3754</v>
      </c>
      <c r="AE115" s="10" t="s">
        <v>218</v>
      </c>
      <c r="AF115" s="10" t="s">
        <v>218</v>
      </c>
      <c r="AG115" s="124" t="s">
        <v>218</v>
      </c>
      <c r="AH115" s="124" t="s">
        <v>218</v>
      </c>
      <c r="AI115" s="124" t="s">
        <v>218</v>
      </c>
      <c r="AJ115" s="124" t="s">
        <v>218</v>
      </c>
      <c r="AK115" s="124" t="s">
        <v>218</v>
      </c>
      <c r="AL115" s="124" t="s">
        <v>218</v>
      </c>
      <c r="AM115" s="124" t="s">
        <v>218</v>
      </c>
      <c r="AN115" s="124" t="s">
        <v>218</v>
      </c>
      <c r="AO115" s="124" t="s">
        <v>218</v>
      </c>
      <c r="AP115" s="124" t="s">
        <v>218</v>
      </c>
    </row>
    <row r="116" spans="1:43" ht="96" x14ac:dyDescent="0.25">
      <c r="A116" s="10" t="s">
        <v>156</v>
      </c>
      <c r="B116" s="10" t="s">
        <v>3299</v>
      </c>
      <c r="C116" s="10" t="s">
        <v>3355</v>
      </c>
      <c r="D116" s="10">
        <v>221420007</v>
      </c>
      <c r="E116" s="74" t="s">
        <v>3433</v>
      </c>
      <c r="F116" s="34">
        <v>22032001</v>
      </c>
      <c r="G116" s="34" t="s">
        <v>3434</v>
      </c>
      <c r="H116" s="36">
        <v>8013511000</v>
      </c>
      <c r="I116" s="255">
        <v>50077022674</v>
      </c>
      <c r="J116" s="39">
        <v>55398469579</v>
      </c>
      <c r="K116" s="39"/>
      <c r="L116" s="39">
        <f>+L117+L118+L119</f>
        <v>3943146049</v>
      </c>
      <c r="M116" s="39"/>
      <c r="N116" s="36">
        <f t="shared" si="5"/>
        <v>8013511000</v>
      </c>
      <c r="O116" s="36">
        <f t="shared" si="5"/>
        <v>54020168723</v>
      </c>
      <c r="P116" s="36">
        <f t="shared" si="5"/>
        <v>55398469579</v>
      </c>
      <c r="Q116" s="39">
        <v>37463965203</v>
      </c>
      <c r="R116" s="39">
        <f>+R117+R118+R119</f>
        <v>3943146049</v>
      </c>
      <c r="S116" s="36">
        <f t="shared" si="4"/>
        <v>41407111252</v>
      </c>
      <c r="T116" s="37">
        <v>0</v>
      </c>
      <c r="U116" s="37">
        <v>0</v>
      </c>
      <c r="V116" s="37">
        <v>0</v>
      </c>
      <c r="W116" s="10"/>
      <c r="X116" s="10"/>
      <c r="Y116" s="10"/>
      <c r="Z116" s="10"/>
      <c r="AA116" s="34">
        <v>0</v>
      </c>
      <c r="AB116" s="10"/>
      <c r="AC116" s="10">
        <v>180</v>
      </c>
      <c r="AD116" s="10"/>
      <c r="AE116" s="10"/>
      <c r="AF116" s="10"/>
      <c r="AG116" s="124"/>
      <c r="AH116" s="124"/>
      <c r="AI116" s="124"/>
      <c r="AJ116" s="124"/>
      <c r="AK116" s="124"/>
      <c r="AL116" s="124"/>
      <c r="AM116" s="124"/>
      <c r="AN116" s="124"/>
      <c r="AO116" s="124"/>
      <c r="AP116" s="124"/>
      <c r="AQ116" s="155"/>
    </row>
    <row r="117" spans="1:43" ht="135" x14ac:dyDescent="0.25">
      <c r="A117" s="34"/>
      <c r="B117" s="34"/>
      <c r="C117" s="34"/>
      <c r="D117" s="34"/>
      <c r="E117" s="74"/>
      <c r="F117" s="34"/>
      <c r="G117" s="34"/>
      <c r="H117" s="36"/>
      <c r="I117" s="255"/>
      <c r="J117" s="39"/>
      <c r="K117" s="39"/>
      <c r="L117" s="39">
        <v>341236408</v>
      </c>
      <c r="M117" s="39"/>
      <c r="N117" s="36">
        <f t="shared" si="5"/>
        <v>0</v>
      </c>
      <c r="O117" s="36">
        <f t="shared" si="5"/>
        <v>341236408</v>
      </c>
      <c r="P117" s="36">
        <f t="shared" si="5"/>
        <v>0</v>
      </c>
      <c r="Q117" s="39"/>
      <c r="R117" s="39">
        <v>341236408</v>
      </c>
      <c r="S117" s="36">
        <f t="shared" si="4"/>
        <v>341236408</v>
      </c>
      <c r="T117" s="37" t="s">
        <v>3755</v>
      </c>
      <c r="U117" s="37" t="s">
        <v>3756</v>
      </c>
      <c r="V117" s="37">
        <v>121</v>
      </c>
      <c r="W117" s="10">
        <v>180</v>
      </c>
      <c r="X117" s="10"/>
      <c r="Y117" s="10">
        <v>123</v>
      </c>
      <c r="Z117" s="10">
        <v>212</v>
      </c>
      <c r="AA117" s="34">
        <v>150</v>
      </c>
      <c r="AB117" s="10">
        <v>150</v>
      </c>
      <c r="AC117" s="10">
        <v>180</v>
      </c>
      <c r="AD117" s="10" t="s">
        <v>3440</v>
      </c>
      <c r="AE117" s="10"/>
      <c r="AF117" s="10" t="s">
        <v>102</v>
      </c>
      <c r="AG117" s="124" t="s">
        <v>102</v>
      </c>
      <c r="AH117" s="124" t="s">
        <v>102</v>
      </c>
      <c r="AI117" s="124"/>
      <c r="AJ117" s="124"/>
      <c r="AK117" s="124"/>
      <c r="AL117" s="124"/>
      <c r="AM117" s="124"/>
      <c r="AN117" s="124"/>
      <c r="AO117" s="124"/>
      <c r="AP117" s="124"/>
    </row>
    <row r="118" spans="1:43" ht="285" x14ac:dyDescent="0.25">
      <c r="A118" s="34"/>
      <c r="B118" s="34"/>
      <c r="C118" s="34"/>
      <c r="D118" s="34"/>
      <c r="E118" s="74"/>
      <c r="F118" s="34"/>
      <c r="G118" s="34"/>
      <c r="H118" s="36"/>
      <c r="I118" s="255"/>
      <c r="J118" s="39"/>
      <c r="K118" s="39"/>
      <c r="L118" s="39">
        <v>235966376</v>
      </c>
      <c r="M118" s="39"/>
      <c r="N118" s="36">
        <f t="shared" si="5"/>
        <v>0</v>
      </c>
      <c r="O118" s="36">
        <f t="shared" si="5"/>
        <v>235966376</v>
      </c>
      <c r="P118" s="36">
        <f t="shared" si="5"/>
        <v>0</v>
      </c>
      <c r="Q118" s="39"/>
      <c r="R118" s="39">
        <v>235966376</v>
      </c>
      <c r="S118" s="36">
        <f t="shared" si="4"/>
        <v>235966376</v>
      </c>
      <c r="T118" s="37" t="s">
        <v>3757</v>
      </c>
      <c r="U118" s="37" t="s">
        <v>3758</v>
      </c>
      <c r="V118" s="37">
        <v>10</v>
      </c>
      <c r="W118" s="10">
        <v>23</v>
      </c>
      <c r="X118" s="10"/>
      <c r="Y118" s="10">
        <v>22</v>
      </c>
      <c r="Z118" s="10">
        <v>26</v>
      </c>
      <c r="AA118" s="34">
        <v>180</v>
      </c>
      <c r="AB118" s="10">
        <v>180</v>
      </c>
      <c r="AC118" s="10">
        <v>180</v>
      </c>
      <c r="AD118" s="10" t="s">
        <v>3442</v>
      </c>
      <c r="AE118" s="10"/>
      <c r="AF118" s="10" t="s">
        <v>102</v>
      </c>
      <c r="AG118" s="124" t="s">
        <v>102</v>
      </c>
      <c r="AH118" s="124" t="s">
        <v>102</v>
      </c>
      <c r="AI118" s="124" t="s">
        <v>102</v>
      </c>
      <c r="AJ118" s="124" t="s">
        <v>102</v>
      </c>
      <c r="AK118" s="124" t="s">
        <v>102</v>
      </c>
      <c r="AL118" s="124"/>
      <c r="AM118" s="124"/>
      <c r="AN118" s="124"/>
      <c r="AO118" s="124"/>
      <c r="AP118" s="124"/>
    </row>
    <row r="119" spans="1:43" ht="60" x14ac:dyDescent="0.25">
      <c r="A119" s="34"/>
      <c r="B119" s="34"/>
      <c r="C119" s="34"/>
      <c r="D119" s="34"/>
      <c r="E119" s="74"/>
      <c r="F119" s="34"/>
      <c r="G119" s="34"/>
      <c r="H119" s="36"/>
      <c r="I119" s="255"/>
      <c r="J119" s="39"/>
      <c r="K119" s="39"/>
      <c r="L119" s="39">
        <v>3365943265</v>
      </c>
      <c r="M119" s="39"/>
      <c r="N119" s="36">
        <f t="shared" si="5"/>
        <v>0</v>
      </c>
      <c r="O119" s="36">
        <f t="shared" si="5"/>
        <v>3365943265</v>
      </c>
      <c r="P119" s="36">
        <f t="shared" si="5"/>
        <v>0</v>
      </c>
      <c r="Q119" s="39"/>
      <c r="R119" s="39">
        <v>3365943265</v>
      </c>
      <c r="S119" s="36">
        <f t="shared" si="4"/>
        <v>3365943265</v>
      </c>
      <c r="T119" s="37" t="s">
        <v>3759</v>
      </c>
      <c r="U119" s="37" t="s">
        <v>3760</v>
      </c>
      <c r="V119" s="37">
        <v>3</v>
      </c>
      <c r="W119" s="10">
        <v>13</v>
      </c>
      <c r="X119" s="10"/>
      <c r="Y119" s="10">
        <v>6</v>
      </c>
      <c r="Z119" s="10">
        <v>9</v>
      </c>
      <c r="AA119" s="34">
        <v>180</v>
      </c>
      <c r="AB119" s="10">
        <v>180</v>
      </c>
      <c r="AC119" s="10">
        <v>180</v>
      </c>
      <c r="AD119" s="10" t="s">
        <v>3761</v>
      </c>
      <c r="AE119" s="10"/>
      <c r="AF119" s="10" t="s">
        <v>102</v>
      </c>
      <c r="AG119" s="124" t="s">
        <v>102</v>
      </c>
      <c r="AH119" s="124" t="s">
        <v>102</v>
      </c>
      <c r="AI119" s="124" t="s">
        <v>102</v>
      </c>
      <c r="AJ119" s="124" t="s">
        <v>102</v>
      </c>
      <c r="AK119" s="124" t="s">
        <v>102</v>
      </c>
      <c r="AL119" s="124"/>
      <c r="AM119" s="124"/>
      <c r="AN119" s="124"/>
      <c r="AO119" s="124"/>
      <c r="AP119" s="124"/>
    </row>
    <row r="120" spans="1:43" ht="60" x14ac:dyDescent="0.25">
      <c r="A120" s="34"/>
      <c r="B120" s="34"/>
      <c r="C120" s="34"/>
      <c r="D120" s="34"/>
      <c r="E120" s="74"/>
      <c r="F120" s="34"/>
      <c r="G120" s="34"/>
      <c r="H120" s="36"/>
      <c r="I120" s="255"/>
      <c r="J120" s="39"/>
      <c r="K120" s="39"/>
      <c r="L120" s="39">
        <v>0</v>
      </c>
      <c r="M120" s="39"/>
      <c r="N120" s="36">
        <f t="shared" si="5"/>
        <v>0</v>
      </c>
      <c r="O120" s="36">
        <f t="shared" si="5"/>
        <v>0</v>
      </c>
      <c r="P120" s="36">
        <f t="shared" si="5"/>
        <v>0</v>
      </c>
      <c r="Q120" s="39"/>
      <c r="R120" s="39">
        <v>0</v>
      </c>
      <c r="S120" s="36">
        <f t="shared" si="4"/>
        <v>0</v>
      </c>
      <c r="T120" s="37" t="s">
        <v>3762</v>
      </c>
      <c r="U120" s="37" t="s">
        <v>3763</v>
      </c>
      <c r="V120" s="37">
        <v>1</v>
      </c>
      <c r="W120" s="10">
        <v>1</v>
      </c>
      <c r="X120" s="10"/>
      <c r="Y120" s="10">
        <v>1</v>
      </c>
      <c r="Z120" s="10">
        <v>1</v>
      </c>
      <c r="AA120" s="34">
        <v>180</v>
      </c>
      <c r="AB120" s="10">
        <v>180</v>
      </c>
      <c r="AC120" s="10">
        <v>270</v>
      </c>
      <c r="AD120" s="10" t="s">
        <v>3761</v>
      </c>
      <c r="AE120" s="10" t="s">
        <v>102</v>
      </c>
      <c r="AF120" s="10" t="s">
        <v>102</v>
      </c>
      <c r="AG120" s="124" t="s">
        <v>102</v>
      </c>
      <c r="AH120" s="124" t="s">
        <v>102</v>
      </c>
      <c r="AI120" s="124" t="s">
        <v>102</v>
      </c>
      <c r="AJ120" s="124" t="s">
        <v>102</v>
      </c>
      <c r="AK120" s="124"/>
      <c r="AL120" s="124"/>
      <c r="AM120" s="124"/>
      <c r="AN120" s="124"/>
      <c r="AO120" s="124"/>
      <c r="AP120" s="124"/>
    </row>
    <row r="121" spans="1:43" ht="45" x14ac:dyDescent="0.25">
      <c r="A121" s="34"/>
      <c r="B121" s="34"/>
      <c r="C121" s="34"/>
      <c r="D121" s="34"/>
      <c r="E121" s="74"/>
      <c r="F121" s="34"/>
      <c r="G121" s="34"/>
      <c r="H121" s="36"/>
      <c r="I121" s="255"/>
      <c r="J121" s="39"/>
      <c r="K121" s="39"/>
      <c r="L121" s="39">
        <v>0</v>
      </c>
      <c r="M121" s="39"/>
      <c r="N121" s="36">
        <f t="shared" si="5"/>
        <v>0</v>
      </c>
      <c r="O121" s="36">
        <f t="shared" si="5"/>
        <v>0</v>
      </c>
      <c r="P121" s="36">
        <f t="shared" si="5"/>
        <v>0</v>
      </c>
      <c r="Q121" s="39"/>
      <c r="R121" s="39">
        <v>0</v>
      </c>
      <c r="S121" s="36">
        <f t="shared" si="4"/>
        <v>0</v>
      </c>
      <c r="T121" s="37" t="s">
        <v>3764</v>
      </c>
      <c r="U121" s="37" t="s">
        <v>3765</v>
      </c>
      <c r="V121" s="37">
        <v>3</v>
      </c>
      <c r="W121" s="10">
        <v>3</v>
      </c>
      <c r="X121" s="10"/>
      <c r="Y121" s="10">
        <v>2</v>
      </c>
      <c r="Z121" s="10">
        <v>2</v>
      </c>
      <c r="AA121" s="34">
        <v>90</v>
      </c>
      <c r="AB121" s="10">
        <v>90</v>
      </c>
      <c r="AC121" s="10">
        <v>90</v>
      </c>
      <c r="AD121" s="10" t="s">
        <v>3766</v>
      </c>
      <c r="AE121" s="10"/>
      <c r="AF121" s="10"/>
      <c r="AG121" s="124" t="s">
        <v>102</v>
      </c>
      <c r="AH121" s="124" t="s">
        <v>102</v>
      </c>
      <c r="AI121" s="124" t="s">
        <v>102</v>
      </c>
      <c r="AJ121" s="124"/>
      <c r="AK121" s="124"/>
      <c r="AL121" s="124"/>
      <c r="AM121" s="124"/>
      <c r="AN121" s="124"/>
      <c r="AO121" s="124"/>
      <c r="AP121" s="124"/>
    </row>
    <row r="122" spans="1:43" ht="84" x14ac:dyDescent="0.25">
      <c r="A122" s="10" t="s">
        <v>156</v>
      </c>
      <c r="B122" s="10" t="s">
        <v>3299</v>
      </c>
      <c r="C122" s="10" t="s">
        <v>3389</v>
      </c>
      <c r="D122" s="10">
        <v>221710007</v>
      </c>
      <c r="E122" s="74" t="s">
        <v>3443</v>
      </c>
      <c r="F122" s="34">
        <v>22319001</v>
      </c>
      <c r="G122" s="34" t="s">
        <v>3444</v>
      </c>
      <c r="H122" s="36">
        <v>40555470000</v>
      </c>
      <c r="I122" s="255">
        <v>49555470000</v>
      </c>
      <c r="J122" s="39">
        <v>47855470000</v>
      </c>
      <c r="K122" s="39"/>
      <c r="L122" s="39"/>
      <c r="M122" s="39"/>
      <c r="N122" s="36">
        <f t="shared" si="5"/>
        <v>40555470000</v>
      </c>
      <c r="O122" s="36">
        <f t="shared" si="5"/>
        <v>49555470000</v>
      </c>
      <c r="P122" s="36">
        <f t="shared" si="5"/>
        <v>47855470000</v>
      </c>
      <c r="Q122" s="39">
        <v>47767912935</v>
      </c>
      <c r="R122" s="39"/>
      <c r="S122" s="36">
        <f t="shared" si="4"/>
        <v>47767912935</v>
      </c>
      <c r="T122" s="37">
        <v>0</v>
      </c>
      <c r="U122" s="37">
        <v>0</v>
      </c>
      <c r="V122" s="37">
        <v>0</v>
      </c>
      <c r="W122" s="10"/>
      <c r="X122" s="10"/>
      <c r="Y122" s="10"/>
      <c r="Z122" s="10"/>
      <c r="AA122" s="34">
        <v>0</v>
      </c>
      <c r="AB122" s="10"/>
      <c r="AC122" s="10"/>
      <c r="AD122" s="10"/>
      <c r="AE122" s="10"/>
      <c r="AF122" s="10"/>
      <c r="AG122" s="124"/>
      <c r="AH122" s="124"/>
      <c r="AI122" s="124"/>
      <c r="AJ122" s="124"/>
      <c r="AK122" s="124"/>
      <c r="AL122" s="124"/>
      <c r="AM122" s="124"/>
      <c r="AN122" s="124"/>
      <c r="AO122" s="124"/>
      <c r="AP122" s="124"/>
      <c r="AQ122" s="155"/>
    </row>
    <row r="123" spans="1:43" ht="60" x14ac:dyDescent="0.25">
      <c r="A123" s="34"/>
      <c r="B123" s="34"/>
      <c r="C123" s="34"/>
      <c r="D123" s="34"/>
      <c r="E123" s="74"/>
      <c r="F123" s="34"/>
      <c r="G123" s="34"/>
      <c r="H123" s="36"/>
      <c r="I123" s="255"/>
      <c r="J123" s="39"/>
      <c r="K123" s="39"/>
      <c r="L123" s="39"/>
      <c r="M123" s="39"/>
      <c r="N123" s="36">
        <f t="shared" si="5"/>
        <v>0</v>
      </c>
      <c r="O123" s="36">
        <f t="shared" si="5"/>
        <v>0</v>
      </c>
      <c r="P123" s="36">
        <f t="shared" si="5"/>
        <v>0</v>
      </c>
      <c r="Q123" s="39"/>
      <c r="R123" s="39"/>
      <c r="S123" s="36">
        <f t="shared" si="4"/>
        <v>0</v>
      </c>
      <c r="T123" s="37" t="s">
        <v>3767</v>
      </c>
      <c r="U123" s="37" t="s">
        <v>3768</v>
      </c>
      <c r="V123" s="37">
        <v>42500</v>
      </c>
      <c r="W123" s="10">
        <v>38000</v>
      </c>
      <c r="X123" s="10"/>
      <c r="Y123" s="10">
        <v>37109</v>
      </c>
      <c r="Z123" s="10">
        <v>35981</v>
      </c>
      <c r="AA123" s="34">
        <v>270</v>
      </c>
      <c r="AB123" s="10">
        <v>135</v>
      </c>
      <c r="AC123" s="10">
        <v>255</v>
      </c>
      <c r="AD123" s="10" t="s">
        <v>3769</v>
      </c>
      <c r="AE123" s="10" t="s">
        <v>218</v>
      </c>
      <c r="AF123" s="10" t="s">
        <v>218</v>
      </c>
      <c r="AG123" s="124" t="s">
        <v>218</v>
      </c>
      <c r="AH123" s="124" t="s">
        <v>218</v>
      </c>
      <c r="AI123" s="124" t="s">
        <v>218</v>
      </c>
      <c r="AJ123" s="124" t="s">
        <v>218</v>
      </c>
      <c r="AK123" s="124" t="s">
        <v>218</v>
      </c>
      <c r="AL123" s="124" t="s">
        <v>218</v>
      </c>
      <c r="AM123" s="124" t="s">
        <v>218</v>
      </c>
      <c r="AN123" s="124" t="s">
        <v>218</v>
      </c>
      <c r="AO123" s="124" t="s">
        <v>218</v>
      </c>
      <c r="AP123" s="124"/>
    </row>
    <row r="124" spans="1:43" ht="36" x14ac:dyDescent="0.25">
      <c r="A124" s="34"/>
      <c r="B124" s="34"/>
      <c r="C124" s="34"/>
      <c r="D124" s="34"/>
      <c r="E124" s="74"/>
      <c r="F124" s="34"/>
      <c r="G124" s="34"/>
      <c r="H124" s="36"/>
      <c r="I124" s="255"/>
      <c r="J124" s="39"/>
      <c r="K124" s="39"/>
      <c r="L124" s="39"/>
      <c r="M124" s="39"/>
      <c r="N124" s="36">
        <f t="shared" si="5"/>
        <v>0</v>
      </c>
      <c r="O124" s="36">
        <f t="shared" si="5"/>
        <v>0</v>
      </c>
      <c r="P124" s="36">
        <f t="shared" si="5"/>
        <v>0</v>
      </c>
      <c r="Q124" s="39"/>
      <c r="R124" s="39"/>
      <c r="S124" s="36">
        <f t="shared" si="4"/>
        <v>0</v>
      </c>
      <c r="T124" s="37" t="s">
        <v>3770</v>
      </c>
      <c r="U124" s="37" t="s">
        <v>3611</v>
      </c>
      <c r="V124" s="37">
        <v>25</v>
      </c>
      <c r="W124" s="10">
        <v>19</v>
      </c>
      <c r="X124" s="10"/>
      <c r="Y124" s="10">
        <v>19</v>
      </c>
      <c r="Z124" s="10">
        <v>18</v>
      </c>
      <c r="AA124" s="34">
        <v>20</v>
      </c>
      <c r="AB124" s="10">
        <v>19</v>
      </c>
      <c r="AC124" s="10">
        <v>20</v>
      </c>
      <c r="AD124" s="10"/>
      <c r="AE124" s="10" t="s">
        <v>218</v>
      </c>
      <c r="AF124" s="10"/>
      <c r="AG124" s="124"/>
      <c r="AH124" s="124"/>
      <c r="AI124" s="124"/>
      <c r="AJ124" s="124"/>
      <c r="AK124" s="124" t="s">
        <v>218</v>
      </c>
      <c r="AL124" s="124"/>
      <c r="AM124" s="124"/>
      <c r="AN124" s="124"/>
      <c r="AO124" s="124"/>
      <c r="AP124" s="124"/>
    </row>
    <row r="125" spans="1:43" ht="144" x14ac:dyDescent="0.25">
      <c r="A125" s="10" t="s">
        <v>156</v>
      </c>
      <c r="B125" s="10" t="s">
        <v>3299</v>
      </c>
      <c r="C125" s="10" t="s">
        <v>3389</v>
      </c>
      <c r="D125" s="10">
        <v>221710001</v>
      </c>
      <c r="E125" s="74" t="s">
        <v>3449</v>
      </c>
      <c r="F125" s="34">
        <v>22192001</v>
      </c>
      <c r="G125" s="34" t="s">
        <v>3450</v>
      </c>
      <c r="H125" s="36">
        <v>1272855000</v>
      </c>
      <c r="I125" s="255">
        <v>3539439102</v>
      </c>
      <c r="J125" s="39">
        <v>3539439102</v>
      </c>
      <c r="K125" s="39"/>
      <c r="L125" s="39"/>
      <c r="M125" s="39"/>
      <c r="N125" s="36">
        <f t="shared" si="5"/>
        <v>1272855000</v>
      </c>
      <c r="O125" s="36">
        <f t="shared" si="5"/>
        <v>3539439102</v>
      </c>
      <c r="P125" s="36">
        <f t="shared" si="5"/>
        <v>3539439102</v>
      </c>
      <c r="Q125" s="39">
        <v>3055685708</v>
      </c>
      <c r="R125" s="39"/>
      <c r="S125" s="36">
        <f t="shared" si="4"/>
        <v>3055685708</v>
      </c>
      <c r="T125" s="37">
        <v>0</v>
      </c>
      <c r="U125" s="37">
        <v>0</v>
      </c>
      <c r="V125" s="37">
        <v>0</v>
      </c>
      <c r="W125" s="10"/>
      <c r="X125" s="10"/>
      <c r="Y125" s="10"/>
      <c r="Z125" s="10"/>
      <c r="AA125" s="34">
        <v>0</v>
      </c>
      <c r="AB125" s="10"/>
      <c r="AC125" s="10"/>
      <c r="AD125" s="10"/>
      <c r="AE125" s="10"/>
      <c r="AF125" s="10"/>
      <c r="AG125" s="124"/>
      <c r="AH125" s="124"/>
      <c r="AI125" s="124"/>
      <c r="AJ125" s="124"/>
      <c r="AK125" s="124"/>
      <c r="AL125" s="124"/>
      <c r="AM125" s="124"/>
      <c r="AN125" s="124"/>
      <c r="AO125" s="124"/>
      <c r="AP125" s="124"/>
      <c r="AQ125" s="155"/>
    </row>
    <row r="126" spans="1:43" ht="36" x14ac:dyDescent="0.25">
      <c r="A126" s="34"/>
      <c r="B126" s="34"/>
      <c r="C126" s="34"/>
      <c r="D126" s="34"/>
      <c r="E126" s="74"/>
      <c r="F126" s="34"/>
      <c r="G126" s="34"/>
      <c r="H126" s="36"/>
      <c r="I126" s="255"/>
      <c r="J126" s="39"/>
      <c r="K126" s="39"/>
      <c r="L126" s="39"/>
      <c r="M126" s="39"/>
      <c r="N126" s="36">
        <f t="shared" si="5"/>
        <v>0</v>
      </c>
      <c r="O126" s="36">
        <f t="shared" si="5"/>
        <v>0</v>
      </c>
      <c r="P126" s="36">
        <f t="shared" si="5"/>
        <v>0</v>
      </c>
      <c r="Q126" s="39"/>
      <c r="R126" s="39"/>
      <c r="S126" s="36">
        <f t="shared" si="4"/>
        <v>0</v>
      </c>
      <c r="T126" s="37" t="s">
        <v>3771</v>
      </c>
      <c r="U126" s="37" t="s">
        <v>3768</v>
      </c>
      <c r="V126" s="37">
        <v>10000</v>
      </c>
      <c r="W126" s="10">
        <v>12000</v>
      </c>
      <c r="X126" s="10"/>
      <c r="Y126" s="10">
        <v>12099</v>
      </c>
      <c r="Z126" s="10">
        <v>12173</v>
      </c>
      <c r="AA126" s="34">
        <v>300</v>
      </c>
      <c r="AB126" s="10">
        <v>150</v>
      </c>
      <c r="AC126" s="10">
        <v>270</v>
      </c>
      <c r="AD126" s="10"/>
      <c r="AE126" s="10" t="s">
        <v>218</v>
      </c>
      <c r="AF126" s="10" t="s">
        <v>218</v>
      </c>
      <c r="AG126" s="124" t="s">
        <v>218</v>
      </c>
      <c r="AH126" s="124" t="s">
        <v>218</v>
      </c>
      <c r="AI126" s="124" t="s">
        <v>218</v>
      </c>
      <c r="AJ126" s="124" t="s">
        <v>218</v>
      </c>
      <c r="AK126" s="124" t="s">
        <v>218</v>
      </c>
      <c r="AL126" s="124" t="s">
        <v>218</v>
      </c>
      <c r="AM126" s="124" t="s">
        <v>218</v>
      </c>
      <c r="AN126" s="124" t="s">
        <v>218</v>
      </c>
      <c r="AO126" s="124" t="s">
        <v>218</v>
      </c>
      <c r="AP126" s="124"/>
    </row>
    <row r="127" spans="1:43" ht="75" x14ac:dyDescent="0.25">
      <c r="A127" s="34"/>
      <c r="B127" s="34"/>
      <c r="C127" s="34"/>
      <c r="D127" s="34"/>
      <c r="E127" s="74"/>
      <c r="F127" s="34"/>
      <c r="G127" s="34"/>
      <c r="H127" s="36"/>
      <c r="I127" s="255"/>
      <c r="J127" s="39"/>
      <c r="K127" s="39"/>
      <c r="L127" s="39"/>
      <c r="M127" s="39"/>
      <c r="N127" s="36">
        <f t="shared" si="5"/>
        <v>0</v>
      </c>
      <c r="O127" s="36">
        <f t="shared" si="5"/>
        <v>0</v>
      </c>
      <c r="P127" s="36">
        <f t="shared" si="5"/>
        <v>0</v>
      </c>
      <c r="Q127" s="39"/>
      <c r="R127" s="39"/>
      <c r="S127" s="36">
        <f t="shared" si="4"/>
        <v>0</v>
      </c>
      <c r="T127" s="37" t="s">
        <v>3772</v>
      </c>
      <c r="U127" s="37" t="s">
        <v>3773</v>
      </c>
      <c r="V127" s="37">
        <v>115</v>
      </c>
      <c r="W127" s="10">
        <v>129</v>
      </c>
      <c r="X127" s="10"/>
      <c r="Y127" s="10">
        <v>125</v>
      </c>
      <c r="Z127" s="10">
        <v>129</v>
      </c>
      <c r="AA127" s="34">
        <v>300</v>
      </c>
      <c r="AB127" s="10">
        <v>150</v>
      </c>
      <c r="AC127" s="10">
        <v>270</v>
      </c>
      <c r="AD127" s="10" t="s">
        <v>3774</v>
      </c>
      <c r="AE127" s="10" t="s">
        <v>218</v>
      </c>
      <c r="AF127" s="10" t="s">
        <v>218</v>
      </c>
      <c r="AG127" s="124" t="s">
        <v>218</v>
      </c>
      <c r="AH127" s="124" t="s">
        <v>218</v>
      </c>
      <c r="AI127" s="124" t="s">
        <v>218</v>
      </c>
      <c r="AJ127" s="124" t="s">
        <v>218</v>
      </c>
      <c r="AK127" s="124" t="s">
        <v>218</v>
      </c>
      <c r="AL127" s="124" t="s">
        <v>218</v>
      </c>
      <c r="AM127" s="124" t="s">
        <v>218</v>
      </c>
      <c r="AN127" s="124" t="s">
        <v>218</v>
      </c>
      <c r="AO127" s="124" t="s">
        <v>218</v>
      </c>
      <c r="AP127" s="124"/>
    </row>
    <row r="128" spans="1:43" ht="24" x14ac:dyDescent="0.25">
      <c r="A128" s="34"/>
      <c r="B128" s="34"/>
      <c r="C128" s="34"/>
      <c r="D128" s="34"/>
      <c r="E128" s="74"/>
      <c r="F128" s="34"/>
      <c r="G128" s="34"/>
      <c r="H128" s="36"/>
      <c r="I128" s="255"/>
      <c r="J128" s="39"/>
      <c r="K128" s="39"/>
      <c r="L128" s="39"/>
      <c r="M128" s="39"/>
      <c r="N128" s="36">
        <f t="shared" si="5"/>
        <v>0</v>
      </c>
      <c r="O128" s="36">
        <f t="shared" si="5"/>
        <v>0</v>
      </c>
      <c r="P128" s="36">
        <f t="shared" si="5"/>
        <v>0</v>
      </c>
      <c r="Q128" s="39"/>
      <c r="R128" s="39"/>
      <c r="S128" s="36">
        <f t="shared" si="4"/>
        <v>0</v>
      </c>
      <c r="T128" s="37" t="s">
        <v>3775</v>
      </c>
      <c r="U128" s="37" t="s">
        <v>3776</v>
      </c>
      <c r="V128" s="37">
        <v>100</v>
      </c>
      <c r="W128" s="10">
        <v>105</v>
      </c>
      <c r="X128" s="10"/>
      <c r="Y128" s="10">
        <v>105</v>
      </c>
      <c r="Z128" s="10">
        <v>105</v>
      </c>
      <c r="AA128" s="34">
        <v>300</v>
      </c>
      <c r="AB128" s="10">
        <v>150</v>
      </c>
      <c r="AC128" s="10">
        <v>300</v>
      </c>
      <c r="AD128" s="10"/>
      <c r="AE128" s="10" t="s">
        <v>218</v>
      </c>
      <c r="AF128" s="10" t="s">
        <v>218</v>
      </c>
      <c r="AG128" s="124" t="s">
        <v>218</v>
      </c>
      <c r="AH128" s="124" t="s">
        <v>218</v>
      </c>
      <c r="AI128" s="124" t="s">
        <v>218</v>
      </c>
      <c r="AJ128" s="124" t="s">
        <v>218</v>
      </c>
      <c r="AK128" s="124" t="s">
        <v>218</v>
      </c>
      <c r="AL128" s="124" t="s">
        <v>218</v>
      </c>
      <c r="AM128" s="124" t="s">
        <v>218</v>
      </c>
      <c r="AN128" s="124" t="s">
        <v>218</v>
      </c>
      <c r="AO128" s="124" t="s">
        <v>218</v>
      </c>
      <c r="AP128" s="124"/>
    </row>
    <row r="129" spans="1:43" ht="96" x14ac:dyDescent="0.25">
      <c r="A129" s="10" t="s">
        <v>156</v>
      </c>
      <c r="B129" s="10" t="s">
        <v>3299</v>
      </c>
      <c r="C129" s="10" t="s">
        <v>3389</v>
      </c>
      <c r="D129" s="10">
        <v>221710000</v>
      </c>
      <c r="E129" s="74" t="s">
        <v>3455</v>
      </c>
      <c r="F129" s="34">
        <v>22210001</v>
      </c>
      <c r="G129" s="34" t="s">
        <v>3456</v>
      </c>
      <c r="H129" s="36">
        <v>2383729000</v>
      </c>
      <c r="I129" s="255">
        <v>6383729000</v>
      </c>
      <c r="J129" s="39">
        <v>2883729000</v>
      </c>
      <c r="K129" s="39"/>
      <c r="L129" s="39"/>
      <c r="M129" s="39"/>
      <c r="N129" s="36">
        <f t="shared" si="5"/>
        <v>2383729000</v>
      </c>
      <c r="O129" s="36">
        <f t="shared" si="5"/>
        <v>6383729000</v>
      </c>
      <c r="P129" s="36">
        <f t="shared" si="5"/>
        <v>2883729000</v>
      </c>
      <c r="Q129" s="39">
        <v>2791220000</v>
      </c>
      <c r="R129" s="39"/>
      <c r="S129" s="36">
        <f t="shared" si="4"/>
        <v>2791220000</v>
      </c>
      <c r="T129" s="37">
        <v>0</v>
      </c>
      <c r="U129" s="37">
        <v>0</v>
      </c>
      <c r="V129" s="37">
        <v>0</v>
      </c>
      <c r="W129" s="10"/>
      <c r="X129" s="10"/>
      <c r="Y129" s="10"/>
      <c r="Z129" s="10"/>
      <c r="AA129" s="34">
        <v>0</v>
      </c>
      <c r="AB129" s="10"/>
      <c r="AC129" s="10"/>
      <c r="AD129" s="10"/>
      <c r="AE129" s="10"/>
      <c r="AF129" s="10"/>
      <c r="AG129" s="124"/>
      <c r="AH129" s="124"/>
      <c r="AI129" s="124"/>
      <c r="AJ129" s="124"/>
      <c r="AK129" s="124"/>
      <c r="AL129" s="124"/>
      <c r="AM129" s="124"/>
      <c r="AN129" s="124"/>
      <c r="AO129" s="124"/>
      <c r="AP129" s="124"/>
      <c r="AQ129" s="155"/>
    </row>
    <row r="130" spans="1:43" ht="60" x14ac:dyDescent="0.25">
      <c r="A130" s="34"/>
      <c r="B130" s="34"/>
      <c r="C130" s="34"/>
      <c r="D130" s="34"/>
      <c r="E130" s="74"/>
      <c r="F130" s="34"/>
      <c r="G130" s="34"/>
      <c r="H130" s="36"/>
      <c r="I130" s="255"/>
      <c r="J130" s="39"/>
      <c r="K130" s="39"/>
      <c r="L130" s="39"/>
      <c r="M130" s="39"/>
      <c r="N130" s="36">
        <f t="shared" si="5"/>
        <v>0</v>
      </c>
      <c r="O130" s="36">
        <f t="shared" si="5"/>
        <v>0</v>
      </c>
      <c r="P130" s="36">
        <f t="shared" si="5"/>
        <v>0</v>
      </c>
      <c r="Q130" s="39"/>
      <c r="R130" s="39"/>
      <c r="S130" s="36">
        <f t="shared" si="4"/>
        <v>0</v>
      </c>
      <c r="T130" s="37" t="s">
        <v>3777</v>
      </c>
      <c r="U130" s="37" t="s">
        <v>3778</v>
      </c>
      <c r="V130" s="37">
        <v>15000</v>
      </c>
      <c r="W130" s="10">
        <v>15000</v>
      </c>
      <c r="X130" s="10"/>
      <c r="Y130" s="10">
        <v>6939</v>
      </c>
      <c r="Z130" s="10">
        <v>9990</v>
      </c>
      <c r="AA130" s="34">
        <v>220</v>
      </c>
      <c r="AB130" s="10">
        <v>100</v>
      </c>
      <c r="AC130" s="10">
        <v>220</v>
      </c>
      <c r="AD130" s="10" t="s">
        <v>3779</v>
      </c>
      <c r="AE130" s="10" t="s">
        <v>218</v>
      </c>
      <c r="AF130" s="10" t="s">
        <v>218</v>
      </c>
      <c r="AG130" s="124" t="s">
        <v>218</v>
      </c>
      <c r="AH130" s="124" t="s">
        <v>218</v>
      </c>
      <c r="AI130" s="124" t="s">
        <v>218</v>
      </c>
      <c r="AJ130" s="124" t="s">
        <v>218</v>
      </c>
      <c r="AK130" s="124" t="s">
        <v>218</v>
      </c>
      <c r="AL130" s="124" t="s">
        <v>218</v>
      </c>
      <c r="AM130" s="124" t="s">
        <v>218</v>
      </c>
      <c r="AN130" s="124" t="s">
        <v>218</v>
      </c>
      <c r="AO130" s="124" t="s">
        <v>218</v>
      </c>
      <c r="AP130" s="124"/>
    </row>
    <row r="131" spans="1:43" ht="48" x14ac:dyDescent="0.25">
      <c r="A131" s="34"/>
      <c r="B131" s="34"/>
      <c r="C131" s="34"/>
      <c r="D131" s="34"/>
      <c r="E131" s="74"/>
      <c r="F131" s="34"/>
      <c r="G131" s="34"/>
      <c r="H131" s="36"/>
      <c r="I131" s="255"/>
      <c r="J131" s="39"/>
      <c r="K131" s="39"/>
      <c r="L131" s="39"/>
      <c r="M131" s="39"/>
      <c r="N131" s="36">
        <f t="shared" ref="N131:P194" si="6">H131+K131</f>
        <v>0</v>
      </c>
      <c r="O131" s="36">
        <f t="shared" si="6"/>
        <v>0</v>
      </c>
      <c r="P131" s="36">
        <f t="shared" si="6"/>
        <v>0</v>
      </c>
      <c r="Q131" s="39"/>
      <c r="R131" s="39"/>
      <c r="S131" s="36">
        <f t="shared" si="4"/>
        <v>0</v>
      </c>
      <c r="T131" s="37" t="s">
        <v>3780</v>
      </c>
      <c r="U131" s="37" t="s">
        <v>3611</v>
      </c>
      <c r="V131" s="37">
        <v>5</v>
      </c>
      <c r="W131" s="10">
        <v>4</v>
      </c>
      <c r="X131" s="10"/>
      <c r="Y131" s="10">
        <v>4</v>
      </c>
      <c r="Z131" s="10">
        <v>4</v>
      </c>
      <c r="AA131" s="34">
        <v>20</v>
      </c>
      <c r="AB131" s="10">
        <v>20</v>
      </c>
      <c r="AC131" s="10">
        <v>20</v>
      </c>
      <c r="AD131" s="10"/>
      <c r="AE131" s="10" t="s">
        <v>218</v>
      </c>
      <c r="AF131" s="10" t="s">
        <v>218</v>
      </c>
      <c r="AG131" s="124" t="s">
        <v>218</v>
      </c>
      <c r="AH131" s="124" t="s">
        <v>218</v>
      </c>
      <c r="AI131" s="124" t="s">
        <v>218</v>
      </c>
      <c r="AJ131" s="124" t="s">
        <v>218</v>
      </c>
      <c r="AK131" s="124" t="s">
        <v>218</v>
      </c>
      <c r="AL131" s="124" t="s">
        <v>218</v>
      </c>
      <c r="AM131" s="124" t="s">
        <v>218</v>
      </c>
      <c r="AN131" s="124" t="s">
        <v>218</v>
      </c>
      <c r="AO131" s="124" t="s">
        <v>218</v>
      </c>
      <c r="AP131" s="124"/>
    </row>
    <row r="132" spans="1:43" ht="132" x14ac:dyDescent="0.25">
      <c r="A132" s="10" t="s">
        <v>156</v>
      </c>
      <c r="B132" s="10" t="s">
        <v>3299</v>
      </c>
      <c r="C132" s="10" t="s">
        <v>3389</v>
      </c>
      <c r="D132" s="10">
        <v>221710005</v>
      </c>
      <c r="E132" s="74" t="s">
        <v>3459</v>
      </c>
      <c r="F132" s="34">
        <v>22180001</v>
      </c>
      <c r="G132" s="34" t="s">
        <v>3460</v>
      </c>
      <c r="H132" s="36">
        <v>721000000</v>
      </c>
      <c r="I132" s="255">
        <v>721000000</v>
      </c>
      <c r="J132" s="39">
        <v>721000000</v>
      </c>
      <c r="K132" s="39"/>
      <c r="L132" s="39"/>
      <c r="M132" s="39"/>
      <c r="N132" s="36">
        <f t="shared" si="6"/>
        <v>721000000</v>
      </c>
      <c r="O132" s="36">
        <f t="shared" si="6"/>
        <v>721000000</v>
      </c>
      <c r="P132" s="36">
        <f t="shared" si="6"/>
        <v>721000000</v>
      </c>
      <c r="Q132" s="39">
        <v>720800000</v>
      </c>
      <c r="R132" s="39"/>
      <c r="S132" s="36">
        <f t="shared" si="4"/>
        <v>720800000</v>
      </c>
      <c r="T132" s="37">
        <v>0</v>
      </c>
      <c r="U132" s="37">
        <v>0</v>
      </c>
      <c r="V132" s="37">
        <v>0</v>
      </c>
      <c r="W132" s="10"/>
      <c r="X132" s="10"/>
      <c r="Y132" s="10"/>
      <c r="Z132" s="10"/>
      <c r="AA132" s="34">
        <v>0</v>
      </c>
      <c r="AB132" s="10"/>
      <c r="AC132" s="10"/>
      <c r="AD132" s="10"/>
      <c r="AE132" s="10"/>
      <c r="AF132" s="10"/>
      <c r="AG132" s="124"/>
      <c r="AH132" s="124"/>
      <c r="AI132" s="124"/>
      <c r="AJ132" s="124"/>
      <c r="AK132" s="124"/>
      <c r="AL132" s="124"/>
      <c r="AM132" s="124"/>
      <c r="AN132" s="124"/>
      <c r="AO132" s="124"/>
      <c r="AP132" s="124"/>
      <c r="AQ132" s="155"/>
    </row>
    <row r="133" spans="1:43" ht="60" x14ac:dyDescent="0.25">
      <c r="A133" s="34"/>
      <c r="B133" s="34"/>
      <c r="C133" s="34"/>
      <c r="D133" s="34"/>
      <c r="E133" s="74"/>
      <c r="F133" s="34"/>
      <c r="G133" s="34"/>
      <c r="H133" s="36"/>
      <c r="I133" s="255"/>
      <c r="J133" s="39"/>
      <c r="K133" s="39"/>
      <c r="L133" s="39"/>
      <c r="M133" s="39"/>
      <c r="N133" s="36">
        <f t="shared" si="6"/>
        <v>0</v>
      </c>
      <c r="O133" s="36">
        <f t="shared" si="6"/>
        <v>0</v>
      </c>
      <c r="P133" s="36">
        <f t="shared" si="6"/>
        <v>0</v>
      </c>
      <c r="Q133" s="39"/>
      <c r="R133" s="39"/>
      <c r="S133" s="36">
        <f t="shared" si="4"/>
        <v>0</v>
      </c>
      <c r="T133" s="37" t="s">
        <v>3781</v>
      </c>
      <c r="U133" s="37" t="s">
        <v>3782</v>
      </c>
      <c r="V133" s="37">
        <v>1</v>
      </c>
      <c r="W133" s="10">
        <v>1</v>
      </c>
      <c r="X133" s="10"/>
      <c r="Y133" s="10">
        <v>1</v>
      </c>
      <c r="Z133" s="10">
        <v>1</v>
      </c>
      <c r="AA133" s="34">
        <v>30</v>
      </c>
      <c r="AB133" s="10">
        <v>30</v>
      </c>
      <c r="AC133" s="10">
        <v>30</v>
      </c>
      <c r="AD133" s="10" t="s">
        <v>3783</v>
      </c>
      <c r="AE133" s="10"/>
      <c r="AF133" s="10"/>
      <c r="AG133" s="124" t="s">
        <v>218</v>
      </c>
      <c r="AH133" s="124"/>
      <c r="AI133" s="124"/>
      <c r="AJ133" s="124"/>
      <c r="AK133" s="124"/>
      <c r="AL133" s="124"/>
      <c r="AM133" s="124"/>
      <c r="AN133" s="124"/>
      <c r="AO133" s="124"/>
      <c r="AP133" s="124"/>
    </row>
    <row r="134" spans="1:43" ht="24" x14ac:dyDescent="0.25">
      <c r="A134" s="34"/>
      <c r="B134" s="34"/>
      <c r="C134" s="34"/>
      <c r="D134" s="34"/>
      <c r="E134" s="74"/>
      <c r="F134" s="34"/>
      <c r="G134" s="34"/>
      <c r="H134" s="36"/>
      <c r="I134" s="255"/>
      <c r="J134" s="39"/>
      <c r="K134" s="39"/>
      <c r="L134" s="39"/>
      <c r="M134" s="39"/>
      <c r="N134" s="36">
        <f t="shared" si="6"/>
        <v>0</v>
      </c>
      <c r="O134" s="36">
        <f t="shared" si="6"/>
        <v>0</v>
      </c>
      <c r="P134" s="36">
        <f t="shared" si="6"/>
        <v>0</v>
      </c>
      <c r="Q134" s="39"/>
      <c r="R134" s="39"/>
      <c r="S134" s="36">
        <f t="shared" si="4"/>
        <v>0</v>
      </c>
      <c r="T134" s="37" t="s">
        <v>3784</v>
      </c>
      <c r="U134" s="37" t="s">
        <v>3785</v>
      </c>
      <c r="V134" s="37">
        <v>4</v>
      </c>
      <c r="W134" s="10">
        <v>0</v>
      </c>
      <c r="X134" s="10"/>
      <c r="Y134" s="10">
        <v>0</v>
      </c>
      <c r="Z134" s="10">
        <v>0</v>
      </c>
      <c r="AA134" s="34">
        <v>240</v>
      </c>
      <c r="AB134" s="10">
        <v>0</v>
      </c>
      <c r="AC134" s="10">
        <v>0</v>
      </c>
      <c r="AD134" s="10" t="s">
        <v>3786</v>
      </c>
      <c r="AE134" s="10"/>
      <c r="AF134" s="10"/>
      <c r="AG134" s="124"/>
      <c r="AH134" s="124" t="s">
        <v>218</v>
      </c>
      <c r="AI134" s="124" t="s">
        <v>218</v>
      </c>
      <c r="AJ134" s="124" t="s">
        <v>218</v>
      </c>
      <c r="AK134" s="124" t="s">
        <v>218</v>
      </c>
      <c r="AL134" s="124" t="s">
        <v>218</v>
      </c>
      <c r="AM134" s="124" t="s">
        <v>218</v>
      </c>
      <c r="AN134" s="124" t="s">
        <v>218</v>
      </c>
      <c r="AO134" s="124"/>
      <c r="AP134" s="124"/>
    </row>
    <row r="135" spans="1:43" ht="84" x14ac:dyDescent="0.25">
      <c r="A135" s="34"/>
      <c r="B135" s="34"/>
      <c r="C135" s="34"/>
      <c r="D135" s="34"/>
      <c r="E135" s="74"/>
      <c r="F135" s="34"/>
      <c r="G135" s="34"/>
      <c r="H135" s="36"/>
      <c r="I135" s="255"/>
      <c r="J135" s="39"/>
      <c r="K135" s="39"/>
      <c r="L135" s="39"/>
      <c r="M135" s="39"/>
      <c r="N135" s="36">
        <f t="shared" si="6"/>
        <v>0</v>
      </c>
      <c r="O135" s="36">
        <f t="shared" si="6"/>
        <v>0</v>
      </c>
      <c r="P135" s="36">
        <f t="shared" si="6"/>
        <v>0</v>
      </c>
      <c r="Q135" s="39"/>
      <c r="R135" s="39"/>
      <c r="S135" s="36">
        <f t="shared" si="4"/>
        <v>0</v>
      </c>
      <c r="T135" s="37" t="s">
        <v>3787</v>
      </c>
      <c r="U135" s="37" t="s">
        <v>3788</v>
      </c>
      <c r="V135" s="37">
        <v>1</v>
      </c>
      <c r="W135" s="10">
        <v>0</v>
      </c>
      <c r="X135" s="10"/>
      <c r="Y135" s="10">
        <v>0</v>
      </c>
      <c r="Z135" s="10">
        <v>0</v>
      </c>
      <c r="AA135" s="34">
        <v>30</v>
      </c>
      <c r="AB135" s="10">
        <v>0</v>
      </c>
      <c r="AC135" s="10">
        <v>0</v>
      </c>
      <c r="AD135" s="10"/>
      <c r="AE135" s="10"/>
      <c r="AF135" s="10"/>
      <c r="AG135" s="124"/>
      <c r="AH135" s="124"/>
      <c r="AI135" s="124"/>
      <c r="AJ135" s="124"/>
      <c r="AK135" s="124"/>
      <c r="AL135" s="124"/>
      <c r="AM135" s="124"/>
      <c r="AN135" s="124" t="s">
        <v>218</v>
      </c>
      <c r="AO135" s="124" t="s">
        <v>218</v>
      </c>
      <c r="AP135" s="124"/>
    </row>
    <row r="136" spans="1:43" ht="96" x14ac:dyDescent="0.25">
      <c r="A136" s="34"/>
      <c r="B136" s="34"/>
      <c r="C136" s="34"/>
      <c r="D136" s="34"/>
      <c r="E136" s="74"/>
      <c r="F136" s="34"/>
      <c r="G136" s="34"/>
      <c r="H136" s="36"/>
      <c r="I136" s="255"/>
      <c r="J136" s="39"/>
      <c r="K136" s="39"/>
      <c r="L136" s="39"/>
      <c r="M136" s="39"/>
      <c r="N136" s="36">
        <f t="shared" si="6"/>
        <v>0</v>
      </c>
      <c r="O136" s="36">
        <f t="shared" si="6"/>
        <v>0</v>
      </c>
      <c r="P136" s="36">
        <f t="shared" si="6"/>
        <v>0</v>
      </c>
      <c r="Q136" s="39"/>
      <c r="R136" s="39"/>
      <c r="S136" s="36">
        <f t="shared" si="4"/>
        <v>0</v>
      </c>
      <c r="T136" s="37" t="s">
        <v>3789</v>
      </c>
      <c r="U136" s="37" t="s">
        <v>3788</v>
      </c>
      <c r="V136" s="37">
        <v>8</v>
      </c>
      <c r="W136" s="10">
        <v>0</v>
      </c>
      <c r="X136" s="10"/>
      <c r="Y136" s="10">
        <v>0</v>
      </c>
      <c r="Z136" s="10">
        <v>0</v>
      </c>
      <c r="AA136" s="34">
        <v>60</v>
      </c>
      <c r="AB136" s="10">
        <v>0</v>
      </c>
      <c r="AC136" s="10">
        <v>0</v>
      </c>
      <c r="AD136" s="10"/>
      <c r="AE136" s="10"/>
      <c r="AF136" s="10"/>
      <c r="AG136" s="124"/>
      <c r="AH136" s="124"/>
      <c r="AI136" s="124"/>
      <c r="AJ136" s="124"/>
      <c r="AK136" s="124"/>
      <c r="AL136" s="124" t="s">
        <v>218</v>
      </c>
      <c r="AM136" s="124" t="s">
        <v>218</v>
      </c>
      <c r="AN136" s="124" t="s">
        <v>218</v>
      </c>
      <c r="AO136" s="124" t="s">
        <v>218</v>
      </c>
      <c r="AP136" s="124"/>
    </row>
    <row r="137" spans="1:43" ht="72" x14ac:dyDescent="0.25">
      <c r="A137" s="10" t="s">
        <v>156</v>
      </c>
      <c r="B137" s="10" t="s">
        <v>3299</v>
      </c>
      <c r="C137" s="10" t="s">
        <v>3389</v>
      </c>
      <c r="D137" s="10">
        <v>221710000</v>
      </c>
      <c r="E137" s="74" t="s">
        <v>3464</v>
      </c>
      <c r="F137" s="34">
        <v>22029001</v>
      </c>
      <c r="G137" s="34" t="s">
        <v>3465</v>
      </c>
      <c r="H137" s="36">
        <v>24220168000</v>
      </c>
      <c r="I137" s="255">
        <v>32595477457</v>
      </c>
      <c r="J137" s="39">
        <v>27125718368</v>
      </c>
      <c r="K137" s="39"/>
      <c r="L137" s="39"/>
      <c r="M137" s="39"/>
      <c r="N137" s="36">
        <f t="shared" si="6"/>
        <v>24220168000</v>
      </c>
      <c r="O137" s="36">
        <f t="shared" si="6"/>
        <v>32595477457</v>
      </c>
      <c r="P137" s="36">
        <f t="shared" si="6"/>
        <v>27125718368</v>
      </c>
      <c r="Q137" s="39">
        <v>26140856664</v>
      </c>
      <c r="R137" s="39"/>
      <c r="S137" s="36">
        <f t="shared" ref="S137:S200" si="7">Q137+R137</f>
        <v>26140856664</v>
      </c>
      <c r="T137" s="37">
        <v>0</v>
      </c>
      <c r="U137" s="37">
        <v>0</v>
      </c>
      <c r="V137" s="37">
        <v>0</v>
      </c>
      <c r="W137" s="10"/>
      <c r="X137" s="10"/>
      <c r="Y137" s="10"/>
      <c r="Z137" s="10"/>
      <c r="AA137" s="34">
        <v>0</v>
      </c>
      <c r="AB137" s="10"/>
      <c r="AC137" s="10"/>
      <c r="AD137" s="10"/>
      <c r="AE137" s="10"/>
      <c r="AF137" s="10"/>
      <c r="AG137" s="124"/>
      <c r="AH137" s="124"/>
      <c r="AI137" s="124"/>
      <c r="AJ137" s="124"/>
      <c r="AK137" s="124"/>
      <c r="AL137" s="124"/>
      <c r="AM137" s="124"/>
      <c r="AN137" s="124"/>
      <c r="AO137" s="124"/>
      <c r="AP137" s="124"/>
      <c r="AQ137" s="155"/>
    </row>
    <row r="138" spans="1:43" ht="132" x14ac:dyDescent="0.25">
      <c r="A138" s="34"/>
      <c r="B138" s="34"/>
      <c r="C138" s="34"/>
      <c r="D138" s="34"/>
      <c r="E138" s="74"/>
      <c r="F138" s="34"/>
      <c r="G138" s="34"/>
      <c r="H138" s="36"/>
      <c r="I138" s="255"/>
      <c r="J138" s="39"/>
      <c r="K138" s="39"/>
      <c r="L138" s="39"/>
      <c r="M138" s="39"/>
      <c r="N138" s="36">
        <f t="shared" si="6"/>
        <v>0</v>
      </c>
      <c r="O138" s="36">
        <f t="shared" si="6"/>
        <v>0</v>
      </c>
      <c r="P138" s="36">
        <f t="shared" si="6"/>
        <v>0</v>
      </c>
      <c r="Q138" s="39"/>
      <c r="R138" s="39"/>
      <c r="S138" s="36">
        <f t="shared" si="7"/>
        <v>0</v>
      </c>
      <c r="T138" s="37" t="s">
        <v>3790</v>
      </c>
      <c r="U138" s="37" t="s">
        <v>3763</v>
      </c>
      <c r="V138" s="37">
        <v>1</v>
      </c>
      <c r="W138" s="10">
        <v>1</v>
      </c>
      <c r="X138" s="10"/>
      <c r="Y138" s="10">
        <v>1</v>
      </c>
      <c r="Z138" s="10">
        <v>2</v>
      </c>
      <c r="AA138" s="34">
        <v>30</v>
      </c>
      <c r="AB138" s="10">
        <v>30</v>
      </c>
      <c r="AC138" s="10">
        <v>60</v>
      </c>
      <c r="AD138" s="10"/>
      <c r="AE138" s="10" t="s">
        <v>218</v>
      </c>
      <c r="AF138" s="10"/>
      <c r="AG138" s="124"/>
      <c r="AH138" s="124"/>
      <c r="AI138" s="124"/>
      <c r="AJ138" s="124"/>
      <c r="AK138" s="124"/>
      <c r="AL138" s="124"/>
      <c r="AM138" s="124"/>
      <c r="AN138" s="124"/>
      <c r="AO138" s="124"/>
      <c r="AP138" s="124"/>
    </row>
    <row r="139" spans="1:43" ht="84" x14ac:dyDescent="0.25">
      <c r="A139" s="34"/>
      <c r="B139" s="34"/>
      <c r="C139" s="34"/>
      <c r="D139" s="34"/>
      <c r="E139" s="74"/>
      <c r="F139" s="34"/>
      <c r="G139" s="34"/>
      <c r="H139" s="36"/>
      <c r="I139" s="255"/>
      <c r="J139" s="39"/>
      <c r="K139" s="39"/>
      <c r="L139" s="39"/>
      <c r="M139" s="39"/>
      <c r="N139" s="36">
        <f t="shared" si="6"/>
        <v>0</v>
      </c>
      <c r="O139" s="36">
        <f t="shared" si="6"/>
        <v>0</v>
      </c>
      <c r="P139" s="36">
        <f t="shared" si="6"/>
        <v>0</v>
      </c>
      <c r="Q139" s="39"/>
      <c r="R139" s="39"/>
      <c r="S139" s="36">
        <f t="shared" si="7"/>
        <v>0</v>
      </c>
      <c r="T139" s="37" t="s">
        <v>3791</v>
      </c>
      <c r="U139" s="37" t="s">
        <v>3763</v>
      </c>
      <c r="V139" s="37">
        <v>1</v>
      </c>
      <c r="W139" s="10">
        <v>1</v>
      </c>
      <c r="X139" s="10"/>
      <c r="Y139" s="10">
        <v>1</v>
      </c>
      <c r="Z139" s="10">
        <v>2</v>
      </c>
      <c r="AA139" s="34">
        <v>30</v>
      </c>
      <c r="AB139" s="10">
        <v>30</v>
      </c>
      <c r="AC139" s="10">
        <v>60</v>
      </c>
      <c r="AD139" s="10"/>
      <c r="AE139" s="10" t="s">
        <v>218</v>
      </c>
      <c r="AF139" s="10" t="s">
        <v>218</v>
      </c>
      <c r="AG139" s="124"/>
      <c r="AH139" s="124"/>
      <c r="AI139" s="124"/>
      <c r="AJ139" s="124"/>
      <c r="AK139" s="124"/>
      <c r="AL139" s="124"/>
      <c r="AM139" s="124"/>
      <c r="AN139" s="124"/>
      <c r="AO139" s="124"/>
      <c r="AP139" s="124"/>
    </row>
    <row r="140" spans="1:43" ht="96" x14ac:dyDescent="0.25">
      <c r="A140" s="34"/>
      <c r="B140" s="34"/>
      <c r="C140" s="34"/>
      <c r="D140" s="34"/>
      <c r="E140" s="74"/>
      <c r="F140" s="34"/>
      <c r="G140" s="34"/>
      <c r="H140" s="36"/>
      <c r="I140" s="255"/>
      <c r="J140" s="39"/>
      <c r="K140" s="39"/>
      <c r="L140" s="39"/>
      <c r="M140" s="39"/>
      <c r="N140" s="36">
        <f t="shared" si="6"/>
        <v>0</v>
      </c>
      <c r="O140" s="36">
        <f t="shared" si="6"/>
        <v>0</v>
      </c>
      <c r="P140" s="36">
        <f t="shared" si="6"/>
        <v>0</v>
      </c>
      <c r="Q140" s="39"/>
      <c r="R140" s="39"/>
      <c r="S140" s="36">
        <f t="shared" si="7"/>
        <v>0</v>
      </c>
      <c r="T140" s="37" t="s">
        <v>3792</v>
      </c>
      <c r="U140" s="37" t="s">
        <v>3763</v>
      </c>
      <c r="V140" s="37">
        <v>1</v>
      </c>
      <c r="W140" s="10">
        <v>1</v>
      </c>
      <c r="X140" s="10"/>
      <c r="Y140" s="10">
        <v>1</v>
      </c>
      <c r="Z140" s="10">
        <v>2</v>
      </c>
      <c r="AA140" s="34">
        <v>60</v>
      </c>
      <c r="AB140" s="10">
        <v>60</v>
      </c>
      <c r="AC140" s="10">
        <v>60</v>
      </c>
      <c r="AD140" s="10" t="s">
        <v>3793</v>
      </c>
      <c r="AE140" s="10" t="s">
        <v>218</v>
      </c>
      <c r="AF140" s="10" t="s">
        <v>218</v>
      </c>
      <c r="AG140" s="124"/>
      <c r="AH140" s="124"/>
      <c r="AI140" s="124"/>
      <c r="AJ140" s="124"/>
      <c r="AK140" s="124"/>
      <c r="AL140" s="124"/>
      <c r="AM140" s="124"/>
      <c r="AN140" s="124"/>
      <c r="AO140" s="124"/>
      <c r="AP140" s="124"/>
    </row>
    <row r="141" spans="1:43" ht="72" x14ac:dyDescent="0.25">
      <c r="A141" s="10" t="s">
        <v>156</v>
      </c>
      <c r="B141" s="10" t="s">
        <v>3299</v>
      </c>
      <c r="C141" s="10" t="s">
        <v>3389</v>
      </c>
      <c r="D141" s="10">
        <v>221710000</v>
      </c>
      <c r="E141" s="74" t="s">
        <v>3468</v>
      </c>
      <c r="F141" s="34">
        <v>22131001</v>
      </c>
      <c r="G141" s="34" t="s">
        <v>3469</v>
      </c>
      <c r="H141" s="36">
        <v>675417912000</v>
      </c>
      <c r="I141" s="255">
        <v>743840473078</v>
      </c>
      <c r="J141" s="39">
        <v>755710232167</v>
      </c>
      <c r="K141" s="39"/>
      <c r="L141" s="39"/>
      <c r="M141" s="39"/>
      <c r="N141" s="36">
        <f t="shared" si="6"/>
        <v>675417912000</v>
      </c>
      <c r="O141" s="36">
        <f t="shared" si="6"/>
        <v>743840473078</v>
      </c>
      <c r="P141" s="36">
        <f t="shared" si="6"/>
        <v>755710232167</v>
      </c>
      <c r="Q141" s="39">
        <v>691354992338</v>
      </c>
      <c r="R141" s="39"/>
      <c r="S141" s="36">
        <f t="shared" si="7"/>
        <v>691354992338</v>
      </c>
      <c r="T141" s="37">
        <v>0</v>
      </c>
      <c r="U141" s="37">
        <v>0</v>
      </c>
      <c r="V141" s="37">
        <v>0</v>
      </c>
      <c r="W141" s="10"/>
      <c r="X141" s="10"/>
      <c r="Y141" s="10"/>
      <c r="Z141" s="10"/>
      <c r="AA141" s="34">
        <v>0</v>
      </c>
      <c r="AB141" s="10"/>
      <c r="AC141" s="10"/>
      <c r="AD141" s="10"/>
      <c r="AE141" s="10"/>
      <c r="AF141" s="10"/>
      <c r="AG141" s="124"/>
      <c r="AH141" s="124"/>
      <c r="AI141" s="124"/>
      <c r="AJ141" s="124"/>
      <c r="AK141" s="124"/>
      <c r="AL141" s="124"/>
      <c r="AM141" s="124"/>
      <c r="AN141" s="124"/>
      <c r="AO141" s="124"/>
      <c r="AP141" s="124"/>
      <c r="AQ141" s="155"/>
    </row>
    <row r="142" spans="1:43" ht="84" x14ac:dyDescent="0.25">
      <c r="A142" s="34"/>
      <c r="B142" s="34"/>
      <c r="C142" s="34"/>
      <c r="D142" s="34"/>
      <c r="E142" s="74"/>
      <c r="F142" s="34"/>
      <c r="G142" s="34"/>
      <c r="H142" s="36"/>
      <c r="I142" s="255"/>
      <c r="J142" s="39"/>
      <c r="K142" s="39"/>
      <c r="L142" s="39"/>
      <c r="M142" s="39"/>
      <c r="N142" s="36">
        <f t="shared" si="6"/>
        <v>0</v>
      </c>
      <c r="O142" s="36">
        <f t="shared" si="6"/>
        <v>0</v>
      </c>
      <c r="P142" s="36">
        <f t="shared" si="6"/>
        <v>0</v>
      </c>
      <c r="Q142" s="39"/>
      <c r="R142" s="39"/>
      <c r="S142" s="36">
        <f t="shared" si="7"/>
        <v>0</v>
      </c>
      <c r="T142" s="37" t="s">
        <v>3794</v>
      </c>
      <c r="U142" s="37" t="s">
        <v>3795</v>
      </c>
      <c r="V142" s="160">
        <v>65</v>
      </c>
      <c r="W142" s="10">
        <v>65</v>
      </c>
      <c r="X142" s="10"/>
      <c r="Y142" s="10">
        <v>26</v>
      </c>
      <c r="Z142" s="10">
        <v>61</v>
      </c>
      <c r="AA142" s="34">
        <v>360</v>
      </c>
      <c r="AB142" s="10">
        <v>180</v>
      </c>
      <c r="AC142" s="10">
        <v>360</v>
      </c>
      <c r="AD142" s="10"/>
      <c r="AE142" s="10" t="s">
        <v>218</v>
      </c>
      <c r="AF142" s="10" t="s">
        <v>218</v>
      </c>
      <c r="AG142" s="124" t="s">
        <v>218</v>
      </c>
      <c r="AH142" s="124" t="s">
        <v>218</v>
      </c>
      <c r="AI142" s="124" t="s">
        <v>218</v>
      </c>
      <c r="AJ142" s="124" t="s">
        <v>218</v>
      </c>
      <c r="AK142" s="124" t="s">
        <v>218</v>
      </c>
      <c r="AL142" s="124" t="s">
        <v>218</v>
      </c>
      <c r="AM142" s="124" t="s">
        <v>218</v>
      </c>
      <c r="AN142" s="124" t="s">
        <v>218</v>
      </c>
      <c r="AO142" s="124" t="s">
        <v>218</v>
      </c>
      <c r="AP142" s="124"/>
    </row>
    <row r="143" spans="1:43" ht="96" x14ac:dyDescent="0.25">
      <c r="A143" s="10" t="s">
        <v>156</v>
      </c>
      <c r="B143" s="10" t="s">
        <v>982</v>
      </c>
      <c r="C143" s="10" t="s">
        <v>3409</v>
      </c>
      <c r="D143" s="10">
        <v>222930000</v>
      </c>
      <c r="E143" s="74" t="s">
        <v>3471</v>
      </c>
      <c r="F143" s="34">
        <v>29159001</v>
      </c>
      <c r="G143" s="34" t="s">
        <v>3472</v>
      </c>
      <c r="H143" s="36">
        <v>2310000000</v>
      </c>
      <c r="I143" s="255">
        <v>13498739199</v>
      </c>
      <c r="J143" s="39">
        <v>14420102811</v>
      </c>
      <c r="K143" s="39"/>
      <c r="L143" s="39"/>
      <c r="M143" s="39"/>
      <c r="N143" s="36">
        <f t="shared" si="6"/>
        <v>2310000000</v>
      </c>
      <c r="O143" s="36">
        <f t="shared" si="6"/>
        <v>13498739199</v>
      </c>
      <c r="P143" s="36">
        <f t="shared" si="6"/>
        <v>14420102811</v>
      </c>
      <c r="Q143" s="39">
        <v>14381362429</v>
      </c>
      <c r="R143" s="39"/>
      <c r="S143" s="36">
        <f t="shared" si="7"/>
        <v>14381362429</v>
      </c>
      <c r="T143" s="37">
        <v>0</v>
      </c>
      <c r="U143" s="37">
        <v>0</v>
      </c>
      <c r="V143" s="37">
        <v>0</v>
      </c>
      <c r="W143" s="10"/>
      <c r="X143" s="10"/>
      <c r="Y143" s="10"/>
      <c r="Z143" s="10"/>
      <c r="AA143" s="34">
        <v>0</v>
      </c>
      <c r="AB143" s="10"/>
      <c r="AC143" s="10"/>
      <c r="AD143" s="10"/>
      <c r="AE143" s="10"/>
      <c r="AF143" s="10"/>
      <c r="AG143" s="124"/>
      <c r="AH143" s="124"/>
      <c r="AI143" s="124"/>
      <c r="AJ143" s="124"/>
      <c r="AK143" s="124"/>
      <c r="AL143" s="124"/>
      <c r="AM143" s="124"/>
      <c r="AN143" s="124"/>
      <c r="AO143" s="124"/>
      <c r="AP143" s="124"/>
      <c r="AQ143" s="155"/>
    </row>
    <row r="144" spans="1:43" ht="225" x14ac:dyDescent="0.25">
      <c r="A144" s="34"/>
      <c r="B144" s="34"/>
      <c r="C144" s="34"/>
      <c r="D144" s="34"/>
      <c r="E144" s="74"/>
      <c r="F144" s="34"/>
      <c r="G144" s="34"/>
      <c r="H144" s="36"/>
      <c r="I144" s="255"/>
      <c r="J144" s="39"/>
      <c r="K144" s="39"/>
      <c r="L144" s="39"/>
      <c r="M144" s="39"/>
      <c r="N144" s="36">
        <f t="shared" si="6"/>
        <v>0</v>
      </c>
      <c r="O144" s="36">
        <f t="shared" si="6"/>
        <v>0</v>
      </c>
      <c r="P144" s="36">
        <f t="shared" si="6"/>
        <v>0</v>
      </c>
      <c r="Q144" s="39"/>
      <c r="R144" s="39"/>
      <c r="S144" s="36">
        <f t="shared" si="7"/>
        <v>0</v>
      </c>
      <c r="T144" s="37" t="s">
        <v>3796</v>
      </c>
      <c r="U144" s="37" t="s">
        <v>3797</v>
      </c>
      <c r="V144" s="160">
        <v>2523</v>
      </c>
      <c r="W144" s="10">
        <v>2262</v>
      </c>
      <c r="X144" s="10"/>
      <c r="Y144" s="10">
        <v>2262</v>
      </c>
      <c r="Z144" s="10">
        <v>1952</v>
      </c>
      <c r="AA144" s="34">
        <v>360</v>
      </c>
      <c r="AB144" s="10">
        <v>180</v>
      </c>
      <c r="AC144" s="10">
        <v>360</v>
      </c>
      <c r="AD144" s="10" t="s">
        <v>3798</v>
      </c>
      <c r="AE144" s="10" t="s">
        <v>102</v>
      </c>
      <c r="AF144" s="10" t="s">
        <v>102</v>
      </c>
      <c r="AG144" s="124" t="s">
        <v>102</v>
      </c>
      <c r="AH144" s="124" t="s">
        <v>102</v>
      </c>
      <c r="AI144" s="124" t="s">
        <v>102</v>
      </c>
      <c r="AJ144" s="124" t="s">
        <v>102</v>
      </c>
      <c r="AK144" s="124" t="s">
        <v>102</v>
      </c>
      <c r="AL144" s="124" t="s">
        <v>102</v>
      </c>
      <c r="AM144" s="124" t="s">
        <v>102</v>
      </c>
      <c r="AN144" s="124" t="s">
        <v>102</v>
      </c>
      <c r="AO144" s="124" t="s">
        <v>102</v>
      </c>
      <c r="AP144" s="124" t="s">
        <v>102</v>
      </c>
    </row>
    <row r="145" spans="1:43" ht="36" x14ac:dyDescent="0.25">
      <c r="A145" s="34"/>
      <c r="B145" s="34"/>
      <c r="C145" s="34"/>
      <c r="D145" s="34"/>
      <c r="E145" s="74"/>
      <c r="F145" s="34"/>
      <c r="G145" s="34"/>
      <c r="H145" s="36"/>
      <c r="I145" s="255"/>
      <c r="J145" s="39"/>
      <c r="K145" s="39"/>
      <c r="L145" s="39"/>
      <c r="M145" s="39"/>
      <c r="N145" s="36">
        <f t="shared" si="6"/>
        <v>0</v>
      </c>
      <c r="O145" s="36">
        <f t="shared" si="6"/>
        <v>0</v>
      </c>
      <c r="P145" s="36">
        <f t="shared" si="6"/>
        <v>0</v>
      </c>
      <c r="Q145" s="39"/>
      <c r="R145" s="39"/>
      <c r="S145" s="36">
        <f t="shared" si="7"/>
        <v>0</v>
      </c>
      <c r="T145" s="37" t="s">
        <v>3799</v>
      </c>
      <c r="U145" s="37" t="s">
        <v>3618</v>
      </c>
      <c r="V145" s="37">
        <v>178</v>
      </c>
      <c r="W145" s="10">
        <v>178</v>
      </c>
      <c r="X145" s="10"/>
      <c r="Y145" s="10">
        <v>135</v>
      </c>
      <c r="Z145" s="10">
        <v>274</v>
      </c>
      <c r="AA145" s="34">
        <v>240</v>
      </c>
      <c r="AB145" s="10">
        <v>148</v>
      </c>
      <c r="AC145" s="10">
        <v>238</v>
      </c>
      <c r="AD145" s="10"/>
      <c r="AE145" s="10"/>
      <c r="AF145" s="10" t="s">
        <v>102</v>
      </c>
      <c r="AG145" s="124" t="s">
        <v>102</v>
      </c>
      <c r="AH145" s="124" t="s">
        <v>102</v>
      </c>
      <c r="AI145" s="124" t="s">
        <v>102</v>
      </c>
      <c r="AJ145" s="124" t="s">
        <v>102</v>
      </c>
      <c r="AK145" s="124"/>
      <c r="AL145" s="124"/>
      <c r="AM145" s="124"/>
      <c r="AN145" s="124"/>
      <c r="AO145" s="124"/>
      <c r="AP145" s="124"/>
    </row>
    <row r="146" spans="1:43" ht="48" x14ac:dyDescent="0.25">
      <c r="A146" s="34"/>
      <c r="B146" s="34"/>
      <c r="C146" s="34"/>
      <c r="D146" s="34"/>
      <c r="E146" s="74"/>
      <c r="F146" s="34"/>
      <c r="G146" s="34"/>
      <c r="H146" s="36"/>
      <c r="I146" s="255"/>
      <c r="J146" s="39"/>
      <c r="K146" s="39"/>
      <c r="L146" s="39"/>
      <c r="M146" s="39"/>
      <c r="N146" s="36">
        <f t="shared" si="6"/>
        <v>0</v>
      </c>
      <c r="O146" s="36">
        <f t="shared" si="6"/>
        <v>0</v>
      </c>
      <c r="P146" s="36">
        <f t="shared" si="6"/>
        <v>0</v>
      </c>
      <c r="Q146" s="39"/>
      <c r="R146" s="39"/>
      <c r="S146" s="36">
        <f t="shared" si="7"/>
        <v>0</v>
      </c>
      <c r="T146" s="37" t="s">
        <v>3800</v>
      </c>
      <c r="U146" s="37" t="s">
        <v>3750</v>
      </c>
      <c r="V146" s="160">
        <v>6000</v>
      </c>
      <c r="W146" s="10">
        <v>6000</v>
      </c>
      <c r="X146" s="10"/>
      <c r="Y146" s="10">
        <v>5168</v>
      </c>
      <c r="Z146" s="10">
        <v>8598</v>
      </c>
      <c r="AA146" s="34">
        <v>240</v>
      </c>
      <c r="AB146" s="10">
        <v>180</v>
      </c>
      <c r="AC146" s="10">
        <v>240</v>
      </c>
      <c r="AD146" s="10"/>
      <c r="AE146" s="10" t="s">
        <v>102</v>
      </c>
      <c r="AF146" s="10" t="s">
        <v>102</v>
      </c>
      <c r="AG146" s="124" t="s">
        <v>102</v>
      </c>
      <c r="AH146" s="124" t="s">
        <v>102</v>
      </c>
      <c r="AI146" s="124" t="s">
        <v>102</v>
      </c>
      <c r="AJ146" s="124" t="s">
        <v>102</v>
      </c>
      <c r="AK146" s="124"/>
      <c r="AL146" s="124"/>
      <c r="AM146" s="124"/>
      <c r="AN146" s="124"/>
      <c r="AO146" s="124"/>
      <c r="AP146" s="124"/>
    </row>
    <row r="147" spans="1:43" ht="90" x14ac:dyDescent="0.25">
      <c r="A147" s="34"/>
      <c r="B147" s="34"/>
      <c r="C147" s="34"/>
      <c r="D147" s="34"/>
      <c r="E147" s="74"/>
      <c r="F147" s="34"/>
      <c r="G147" s="34"/>
      <c r="H147" s="36"/>
      <c r="I147" s="255"/>
      <c r="J147" s="39"/>
      <c r="K147" s="39"/>
      <c r="L147" s="39"/>
      <c r="M147" s="39"/>
      <c r="N147" s="36">
        <f t="shared" si="6"/>
        <v>0</v>
      </c>
      <c r="O147" s="36">
        <f t="shared" si="6"/>
        <v>0</v>
      </c>
      <c r="P147" s="36">
        <f t="shared" si="6"/>
        <v>0</v>
      </c>
      <c r="Q147" s="39"/>
      <c r="R147" s="39"/>
      <c r="S147" s="36">
        <f t="shared" si="7"/>
        <v>0</v>
      </c>
      <c r="T147" s="37" t="s">
        <v>3801</v>
      </c>
      <c r="U147" s="37" t="s">
        <v>3611</v>
      </c>
      <c r="V147" s="37">
        <v>1</v>
      </c>
      <c r="W147" s="10">
        <v>1</v>
      </c>
      <c r="X147" s="10"/>
      <c r="Y147" s="10">
        <v>0</v>
      </c>
      <c r="Z147" s="10">
        <v>1</v>
      </c>
      <c r="AA147" s="34">
        <v>240</v>
      </c>
      <c r="AB147" s="10">
        <v>0</v>
      </c>
      <c r="AC147" s="10">
        <v>240</v>
      </c>
      <c r="AD147" s="10" t="s">
        <v>3802</v>
      </c>
      <c r="AE147" s="10"/>
      <c r="AF147" s="10"/>
      <c r="AG147" s="124" t="s">
        <v>102</v>
      </c>
      <c r="AH147" s="124" t="s">
        <v>102</v>
      </c>
      <c r="AI147" s="124" t="s">
        <v>102</v>
      </c>
      <c r="AJ147" s="124" t="s">
        <v>102</v>
      </c>
      <c r="AK147" s="124" t="s">
        <v>102</v>
      </c>
      <c r="AL147" s="124" t="s">
        <v>102</v>
      </c>
      <c r="AM147" s="124" t="s">
        <v>102</v>
      </c>
      <c r="AN147" s="124"/>
      <c r="AO147" s="124"/>
      <c r="AP147" s="124"/>
    </row>
    <row r="148" spans="1:43" ht="36" x14ac:dyDescent="0.25">
      <c r="A148" s="34"/>
      <c r="B148" s="34"/>
      <c r="C148" s="34"/>
      <c r="D148" s="34"/>
      <c r="E148" s="74"/>
      <c r="F148" s="34"/>
      <c r="G148" s="34"/>
      <c r="H148" s="36"/>
      <c r="I148" s="255"/>
      <c r="J148" s="39"/>
      <c r="K148" s="39"/>
      <c r="L148" s="39"/>
      <c r="M148" s="39"/>
      <c r="N148" s="36">
        <f t="shared" si="6"/>
        <v>0</v>
      </c>
      <c r="O148" s="36">
        <f t="shared" si="6"/>
        <v>0</v>
      </c>
      <c r="P148" s="36">
        <f t="shared" si="6"/>
        <v>0</v>
      </c>
      <c r="Q148" s="39"/>
      <c r="R148" s="39"/>
      <c r="S148" s="36">
        <f t="shared" si="7"/>
        <v>0</v>
      </c>
      <c r="T148" s="37" t="s">
        <v>3803</v>
      </c>
      <c r="U148" s="37" t="s">
        <v>3804</v>
      </c>
      <c r="V148" s="37">
        <v>230</v>
      </c>
      <c r="W148" s="10">
        <v>230</v>
      </c>
      <c r="X148" s="10"/>
      <c r="Y148" s="10">
        <v>230</v>
      </c>
      <c r="Z148" s="10">
        <v>230</v>
      </c>
      <c r="AA148" s="34">
        <v>360</v>
      </c>
      <c r="AB148" s="10">
        <f>360/2</f>
        <v>180</v>
      </c>
      <c r="AC148" s="10">
        <v>360</v>
      </c>
      <c r="AD148" s="10"/>
      <c r="AE148" s="10" t="s">
        <v>102</v>
      </c>
      <c r="AF148" s="10" t="s">
        <v>102</v>
      </c>
      <c r="AG148" s="124" t="s">
        <v>102</v>
      </c>
      <c r="AH148" s="124" t="s">
        <v>102</v>
      </c>
      <c r="AI148" s="124" t="s">
        <v>102</v>
      </c>
      <c r="AJ148" s="124" t="s">
        <v>102</v>
      </c>
      <c r="AK148" s="124" t="s">
        <v>102</v>
      </c>
      <c r="AL148" s="124" t="s">
        <v>102</v>
      </c>
      <c r="AM148" s="124" t="s">
        <v>102</v>
      </c>
      <c r="AN148" s="124" t="s">
        <v>102</v>
      </c>
      <c r="AO148" s="124" t="s">
        <v>102</v>
      </c>
      <c r="AP148" s="124" t="s">
        <v>102</v>
      </c>
    </row>
    <row r="149" spans="1:43" ht="132" x14ac:dyDescent="0.25">
      <c r="A149" s="10" t="s">
        <v>156</v>
      </c>
      <c r="B149" s="10" t="s">
        <v>3299</v>
      </c>
      <c r="C149" s="10" t="s">
        <v>3332</v>
      </c>
      <c r="D149" s="10">
        <v>221310000</v>
      </c>
      <c r="E149" s="74" t="s">
        <v>3479</v>
      </c>
      <c r="F149" s="34">
        <v>22209001</v>
      </c>
      <c r="G149" s="34" t="s">
        <v>3480</v>
      </c>
      <c r="H149" s="36">
        <v>730418000</v>
      </c>
      <c r="I149" s="255">
        <v>1330418000</v>
      </c>
      <c r="J149" s="39">
        <v>1330418000</v>
      </c>
      <c r="K149" s="39"/>
      <c r="L149" s="39"/>
      <c r="M149" s="39"/>
      <c r="N149" s="36">
        <f t="shared" si="6"/>
        <v>730418000</v>
      </c>
      <c r="O149" s="36">
        <f t="shared" si="6"/>
        <v>1330418000</v>
      </c>
      <c r="P149" s="36">
        <f t="shared" si="6"/>
        <v>1330418000</v>
      </c>
      <c r="Q149" s="39">
        <v>694002301</v>
      </c>
      <c r="R149" s="39"/>
      <c r="S149" s="36">
        <f t="shared" si="7"/>
        <v>694002301</v>
      </c>
      <c r="T149" s="37">
        <v>0</v>
      </c>
      <c r="U149" s="37">
        <v>0</v>
      </c>
      <c r="V149" s="37">
        <v>0</v>
      </c>
      <c r="W149" s="10"/>
      <c r="X149" s="10"/>
      <c r="Y149" s="10"/>
      <c r="Z149" s="10"/>
      <c r="AA149" s="34">
        <v>0</v>
      </c>
      <c r="AB149" s="10"/>
      <c r="AC149" s="10"/>
      <c r="AD149" s="10"/>
      <c r="AE149" s="10"/>
      <c r="AF149" s="10"/>
      <c r="AG149" s="124"/>
      <c r="AH149" s="124"/>
      <c r="AI149" s="124"/>
      <c r="AJ149" s="124"/>
      <c r="AK149" s="124"/>
      <c r="AL149" s="124"/>
      <c r="AM149" s="124"/>
      <c r="AN149" s="124"/>
      <c r="AO149" s="124"/>
      <c r="AP149" s="124"/>
      <c r="AQ149" s="155"/>
    </row>
    <row r="150" spans="1:43" ht="60" x14ac:dyDescent="0.25">
      <c r="A150" s="34"/>
      <c r="B150" s="34"/>
      <c r="C150" s="34"/>
      <c r="D150" s="34"/>
      <c r="E150" s="74"/>
      <c r="F150" s="34"/>
      <c r="G150" s="34"/>
      <c r="H150" s="36"/>
      <c r="I150" s="255"/>
      <c r="J150" s="39"/>
      <c r="K150" s="39"/>
      <c r="L150" s="39"/>
      <c r="M150" s="39"/>
      <c r="N150" s="36">
        <f t="shared" si="6"/>
        <v>0</v>
      </c>
      <c r="O150" s="36">
        <f t="shared" si="6"/>
        <v>0</v>
      </c>
      <c r="P150" s="36">
        <f t="shared" si="6"/>
        <v>0</v>
      </c>
      <c r="Q150" s="39"/>
      <c r="R150" s="39"/>
      <c r="S150" s="36">
        <f t="shared" si="7"/>
        <v>0</v>
      </c>
      <c r="T150" s="37" t="s">
        <v>3805</v>
      </c>
      <c r="U150" s="37" t="s">
        <v>3806</v>
      </c>
      <c r="V150" s="37">
        <v>3</v>
      </c>
      <c r="W150" s="10">
        <v>1</v>
      </c>
      <c r="X150" s="10"/>
      <c r="Y150" s="10">
        <v>1</v>
      </c>
      <c r="Z150" s="18">
        <v>1</v>
      </c>
      <c r="AA150" s="34">
        <v>300</v>
      </c>
      <c r="AB150" s="10">
        <v>150</v>
      </c>
      <c r="AC150" s="18">
        <v>300</v>
      </c>
      <c r="AD150" s="18" t="s">
        <v>3807</v>
      </c>
      <c r="AE150" s="10"/>
      <c r="AF150" s="10" t="s">
        <v>218</v>
      </c>
      <c r="AG150" s="124" t="s">
        <v>218</v>
      </c>
      <c r="AH150" s="124" t="s">
        <v>218</v>
      </c>
      <c r="AI150" s="124" t="s">
        <v>218</v>
      </c>
      <c r="AJ150" s="124" t="s">
        <v>218</v>
      </c>
      <c r="AK150" s="124" t="s">
        <v>218</v>
      </c>
      <c r="AL150" s="124" t="s">
        <v>218</v>
      </c>
      <c r="AM150" s="124" t="s">
        <v>218</v>
      </c>
      <c r="AN150" s="124" t="s">
        <v>218</v>
      </c>
      <c r="AO150" s="124" t="s">
        <v>218</v>
      </c>
      <c r="AP150" s="124"/>
    </row>
    <row r="151" spans="1:43" ht="255" x14ac:dyDescent="0.25">
      <c r="A151" s="34"/>
      <c r="B151" s="34"/>
      <c r="C151" s="34"/>
      <c r="D151" s="34"/>
      <c r="E151" s="74"/>
      <c r="F151" s="34"/>
      <c r="G151" s="34"/>
      <c r="H151" s="36"/>
      <c r="I151" s="255"/>
      <c r="J151" s="39"/>
      <c r="K151" s="39"/>
      <c r="L151" s="39"/>
      <c r="M151" s="39"/>
      <c r="N151" s="36">
        <f t="shared" si="6"/>
        <v>0</v>
      </c>
      <c r="O151" s="36">
        <f t="shared" si="6"/>
        <v>0</v>
      </c>
      <c r="P151" s="36">
        <f t="shared" si="6"/>
        <v>0</v>
      </c>
      <c r="Q151" s="39"/>
      <c r="R151" s="39"/>
      <c r="S151" s="36">
        <f t="shared" si="7"/>
        <v>0</v>
      </c>
      <c r="T151" s="37" t="s">
        <v>3808</v>
      </c>
      <c r="U151" s="37" t="s">
        <v>3809</v>
      </c>
      <c r="V151" s="37">
        <v>2042</v>
      </c>
      <c r="W151" s="10">
        <v>2042</v>
      </c>
      <c r="X151" s="10"/>
      <c r="Y151" s="10">
        <v>282</v>
      </c>
      <c r="Z151" s="18">
        <v>3767</v>
      </c>
      <c r="AA151" s="34">
        <v>300</v>
      </c>
      <c r="AB151" s="10">
        <v>150</v>
      </c>
      <c r="AC151" s="18">
        <v>300</v>
      </c>
      <c r="AD151" s="18" t="s">
        <v>3810</v>
      </c>
      <c r="AE151" s="10"/>
      <c r="AF151" s="10" t="s">
        <v>218</v>
      </c>
      <c r="AG151" s="124" t="s">
        <v>218</v>
      </c>
      <c r="AH151" s="124" t="s">
        <v>218</v>
      </c>
      <c r="AI151" s="124" t="s">
        <v>218</v>
      </c>
      <c r="AJ151" s="124" t="s">
        <v>218</v>
      </c>
      <c r="AK151" s="124" t="s">
        <v>218</v>
      </c>
      <c r="AL151" s="124" t="s">
        <v>218</v>
      </c>
      <c r="AM151" s="124" t="s">
        <v>218</v>
      </c>
      <c r="AN151" s="124" t="s">
        <v>218</v>
      </c>
      <c r="AO151" s="124" t="s">
        <v>218</v>
      </c>
      <c r="AP151" s="124"/>
    </row>
    <row r="152" spans="1:43" ht="72" x14ac:dyDescent="0.25">
      <c r="A152" s="34"/>
      <c r="B152" s="34"/>
      <c r="C152" s="34"/>
      <c r="D152" s="34"/>
      <c r="E152" s="74"/>
      <c r="F152" s="34"/>
      <c r="G152" s="34"/>
      <c r="H152" s="36"/>
      <c r="I152" s="255"/>
      <c r="J152" s="39"/>
      <c r="K152" s="39"/>
      <c r="L152" s="39"/>
      <c r="M152" s="39"/>
      <c r="N152" s="36">
        <f t="shared" si="6"/>
        <v>0</v>
      </c>
      <c r="O152" s="36">
        <f t="shared" si="6"/>
        <v>0</v>
      </c>
      <c r="P152" s="36">
        <f t="shared" si="6"/>
        <v>0</v>
      </c>
      <c r="Q152" s="39"/>
      <c r="R152" s="39"/>
      <c r="S152" s="36">
        <f t="shared" si="7"/>
        <v>0</v>
      </c>
      <c r="T152" s="37" t="s">
        <v>3811</v>
      </c>
      <c r="U152" s="37" t="s">
        <v>3812</v>
      </c>
      <c r="V152" s="37">
        <v>2</v>
      </c>
      <c r="W152" s="10">
        <v>1</v>
      </c>
      <c r="X152" s="10"/>
      <c r="Y152" s="10">
        <v>0</v>
      </c>
      <c r="Z152" s="18">
        <v>1</v>
      </c>
      <c r="AA152" s="34">
        <v>150</v>
      </c>
      <c r="AB152" s="10">
        <v>0</v>
      </c>
      <c r="AC152" s="18">
        <v>150</v>
      </c>
      <c r="AD152" s="18" t="s">
        <v>3813</v>
      </c>
      <c r="AE152" s="10"/>
      <c r="AF152" s="10"/>
      <c r="AG152" s="124"/>
      <c r="AH152" s="124"/>
      <c r="AI152" s="124"/>
      <c r="AJ152" s="124"/>
      <c r="AK152" s="124" t="s">
        <v>218</v>
      </c>
      <c r="AL152" s="124" t="s">
        <v>218</v>
      </c>
      <c r="AM152" s="124" t="s">
        <v>218</v>
      </c>
      <c r="AN152" s="124" t="s">
        <v>218</v>
      </c>
      <c r="AO152" s="124" t="s">
        <v>218</v>
      </c>
      <c r="AP152" s="124"/>
    </row>
    <row r="153" spans="1:43" ht="180" x14ac:dyDescent="0.25">
      <c r="A153" s="10" t="s">
        <v>156</v>
      </c>
      <c r="B153" s="10" t="s">
        <v>3299</v>
      </c>
      <c r="C153" s="10" t="s">
        <v>3332</v>
      </c>
      <c r="D153" s="10">
        <v>221320000</v>
      </c>
      <c r="E153" s="74" t="s">
        <v>3484</v>
      </c>
      <c r="F153" s="34">
        <v>22136001</v>
      </c>
      <c r="G153" s="34" t="s">
        <v>3485</v>
      </c>
      <c r="H153" s="36">
        <v>769582000</v>
      </c>
      <c r="I153" s="255">
        <v>769582000</v>
      </c>
      <c r="J153" s="39">
        <v>269582000</v>
      </c>
      <c r="K153" s="39"/>
      <c r="L153" s="39"/>
      <c r="M153" s="39"/>
      <c r="N153" s="36">
        <f t="shared" si="6"/>
        <v>769582000</v>
      </c>
      <c r="O153" s="36">
        <f t="shared" si="6"/>
        <v>769582000</v>
      </c>
      <c r="P153" s="36">
        <f t="shared" si="6"/>
        <v>269582000</v>
      </c>
      <c r="Q153" s="39">
        <v>0</v>
      </c>
      <c r="R153" s="39"/>
      <c r="S153" s="36">
        <f t="shared" si="7"/>
        <v>0</v>
      </c>
      <c r="T153" s="37">
        <v>0</v>
      </c>
      <c r="U153" s="37">
        <v>0</v>
      </c>
      <c r="V153" s="37">
        <v>0</v>
      </c>
      <c r="W153" s="10"/>
      <c r="X153" s="10"/>
      <c r="Y153" s="10"/>
      <c r="Z153" s="10"/>
      <c r="AA153" s="34">
        <v>0</v>
      </c>
      <c r="AB153" s="10"/>
      <c r="AC153" s="10"/>
      <c r="AD153" s="10"/>
      <c r="AE153" s="10"/>
      <c r="AF153" s="10"/>
      <c r="AG153" s="124"/>
      <c r="AH153" s="124"/>
      <c r="AI153" s="124"/>
      <c r="AJ153" s="124"/>
      <c r="AK153" s="124"/>
      <c r="AL153" s="124"/>
      <c r="AM153" s="124"/>
      <c r="AN153" s="124"/>
      <c r="AO153" s="124"/>
      <c r="AP153" s="124"/>
      <c r="AQ153" s="155"/>
    </row>
    <row r="154" spans="1:43" ht="90" x14ac:dyDescent="0.25">
      <c r="A154" s="34"/>
      <c r="B154" s="34"/>
      <c r="C154" s="34"/>
      <c r="D154" s="34"/>
      <c r="E154" s="74"/>
      <c r="F154" s="34"/>
      <c r="G154" s="34"/>
      <c r="H154" s="36"/>
      <c r="I154" s="255"/>
      <c r="J154" s="39"/>
      <c r="K154" s="39"/>
      <c r="L154" s="39"/>
      <c r="M154" s="39"/>
      <c r="N154" s="36">
        <f t="shared" si="6"/>
        <v>0</v>
      </c>
      <c r="O154" s="36">
        <f t="shared" si="6"/>
        <v>0</v>
      </c>
      <c r="P154" s="36">
        <f t="shared" si="6"/>
        <v>0</v>
      </c>
      <c r="Q154" s="39"/>
      <c r="R154" s="39"/>
      <c r="S154" s="36">
        <f t="shared" si="7"/>
        <v>0</v>
      </c>
      <c r="T154" s="37" t="s">
        <v>3814</v>
      </c>
      <c r="U154" s="37" t="s">
        <v>3815</v>
      </c>
      <c r="V154" s="37">
        <v>197</v>
      </c>
      <c r="W154" s="10">
        <v>197</v>
      </c>
      <c r="X154" s="10"/>
      <c r="Y154" s="10">
        <v>5</v>
      </c>
      <c r="Z154" s="10">
        <v>5</v>
      </c>
      <c r="AA154" s="34">
        <v>240</v>
      </c>
      <c r="AB154" s="10">
        <v>30</v>
      </c>
      <c r="AC154" s="18">
        <v>150</v>
      </c>
      <c r="AD154" s="18" t="s">
        <v>3816</v>
      </c>
      <c r="AE154" s="10"/>
      <c r="AF154" s="10" t="s">
        <v>218</v>
      </c>
      <c r="AG154" s="124" t="s">
        <v>218</v>
      </c>
      <c r="AH154" s="124" t="s">
        <v>218</v>
      </c>
      <c r="AI154" s="124" t="s">
        <v>218</v>
      </c>
      <c r="AJ154" s="124" t="s">
        <v>218</v>
      </c>
      <c r="AK154" s="124" t="s">
        <v>218</v>
      </c>
      <c r="AL154" s="124" t="s">
        <v>218</v>
      </c>
      <c r="AM154" s="124" t="s">
        <v>218</v>
      </c>
      <c r="AN154" s="124" t="s">
        <v>218</v>
      </c>
      <c r="AO154" s="124" t="s">
        <v>218</v>
      </c>
      <c r="AP154" s="124" t="s">
        <v>218</v>
      </c>
    </row>
    <row r="155" spans="1:43" ht="84" x14ac:dyDescent="0.25">
      <c r="A155" s="10" t="s">
        <v>156</v>
      </c>
      <c r="B155" s="10" t="s">
        <v>3299</v>
      </c>
      <c r="C155" s="10" t="s">
        <v>3300</v>
      </c>
      <c r="D155" s="10">
        <v>221110008</v>
      </c>
      <c r="E155" s="74" t="s">
        <v>3493</v>
      </c>
      <c r="F155" s="34">
        <v>22207001</v>
      </c>
      <c r="G155" s="34" t="s">
        <v>3494</v>
      </c>
      <c r="H155" s="36">
        <v>14334793888</v>
      </c>
      <c r="I155" s="255">
        <v>14334793888</v>
      </c>
      <c r="J155" s="39">
        <v>14334793688</v>
      </c>
      <c r="K155" s="39"/>
      <c r="L155" s="39">
        <v>5500000000</v>
      </c>
      <c r="M155" s="39"/>
      <c r="N155" s="36">
        <f t="shared" si="6"/>
        <v>14334793888</v>
      </c>
      <c r="O155" s="36">
        <f t="shared" si="6"/>
        <v>19834793888</v>
      </c>
      <c r="P155" s="36">
        <f t="shared" si="6"/>
        <v>14334793688</v>
      </c>
      <c r="Q155" s="39">
        <v>14334793688</v>
      </c>
      <c r="R155" s="39">
        <v>5500000000</v>
      </c>
      <c r="S155" s="36">
        <f t="shared" si="7"/>
        <v>19834793688</v>
      </c>
      <c r="T155" s="37">
        <v>0</v>
      </c>
      <c r="U155" s="37">
        <v>0</v>
      </c>
      <c r="V155" s="37">
        <v>0</v>
      </c>
      <c r="W155" s="10"/>
      <c r="X155" s="10"/>
      <c r="Y155" s="10"/>
      <c r="Z155" s="10"/>
      <c r="AA155" s="34">
        <v>0</v>
      </c>
      <c r="AB155" s="10"/>
      <c r="AC155" s="10"/>
      <c r="AD155" s="10"/>
      <c r="AE155" s="10"/>
      <c r="AF155" s="10"/>
      <c r="AG155" s="124"/>
      <c r="AH155" s="124"/>
      <c r="AI155" s="124"/>
      <c r="AJ155" s="124"/>
      <c r="AK155" s="124"/>
      <c r="AL155" s="124"/>
      <c r="AM155" s="124"/>
      <c r="AN155" s="124"/>
      <c r="AO155" s="124"/>
      <c r="AP155" s="124"/>
      <c r="AQ155" s="155"/>
    </row>
    <row r="156" spans="1:43" ht="96" x14ac:dyDescent="0.25">
      <c r="A156" s="34"/>
      <c r="B156" s="34"/>
      <c r="C156" s="34"/>
      <c r="D156" s="34"/>
      <c r="E156" s="74"/>
      <c r="F156" s="34"/>
      <c r="G156" s="34"/>
      <c r="H156" s="36"/>
      <c r="I156" s="255"/>
      <c r="J156" s="39"/>
      <c r="K156" s="39"/>
      <c r="L156" s="39"/>
      <c r="M156" s="39"/>
      <c r="N156" s="36">
        <f t="shared" si="6"/>
        <v>0</v>
      </c>
      <c r="O156" s="36">
        <f t="shared" si="6"/>
        <v>0</v>
      </c>
      <c r="P156" s="36">
        <f t="shared" si="6"/>
        <v>0</v>
      </c>
      <c r="Q156" s="39"/>
      <c r="R156" s="39"/>
      <c r="S156" s="36">
        <f t="shared" si="7"/>
        <v>0</v>
      </c>
      <c r="T156" s="37" t="s">
        <v>3817</v>
      </c>
      <c r="U156" s="37" t="s">
        <v>3666</v>
      </c>
      <c r="V156" s="37">
        <v>2000</v>
      </c>
      <c r="W156" s="10">
        <v>2350</v>
      </c>
      <c r="X156" s="10"/>
      <c r="Y156" s="10">
        <v>568</v>
      </c>
      <c r="Z156" s="10">
        <v>2160</v>
      </c>
      <c r="AA156" s="34">
        <v>365</v>
      </c>
      <c r="AB156" s="10">
        <v>180</v>
      </c>
      <c r="AC156" s="10">
        <v>365</v>
      </c>
      <c r="AD156" s="10" t="s">
        <v>3818</v>
      </c>
      <c r="AE156" s="10" t="s">
        <v>218</v>
      </c>
      <c r="AF156" s="10" t="s">
        <v>218</v>
      </c>
      <c r="AG156" s="124" t="s">
        <v>218</v>
      </c>
      <c r="AH156" s="124" t="s">
        <v>218</v>
      </c>
      <c r="AI156" s="124" t="s">
        <v>218</v>
      </c>
      <c r="AJ156" s="124" t="s">
        <v>218</v>
      </c>
      <c r="AK156" s="124" t="s">
        <v>218</v>
      </c>
      <c r="AL156" s="124" t="s">
        <v>218</v>
      </c>
      <c r="AM156" s="124" t="s">
        <v>218</v>
      </c>
      <c r="AN156" s="124" t="s">
        <v>218</v>
      </c>
      <c r="AO156" s="124" t="s">
        <v>218</v>
      </c>
      <c r="AP156" s="124" t="s">
        <v>218</v>
      </c>
    </row>
    <row r="157" spans="1:43" ht="84" x14ac:dyDescent="0.25">
      <c r="A157" s="34"/>
      <c r="B157" s="34"/>
      <c r="C157" s="34"/>
      <c r="D157" s="34"/>
      <c r="E157" s="74"/>
      <c r="F157" s="34"/>
      <c r="G157" s="34"/>
      <c r="H157" s="36"/>
      <c r="I157" s="255"/>
      <c r="J157" s="39"/>
      <c r="K157" s="39"/>
      <c r="L157" s="39"/>
      <c r="M157" s="39"/>
      <c r="N157" s="36">
        <f t="shared" si="6"/>
        <v>0</v>
      </c>
      <c r="O157" s="36">
        <f t="shared" si="6"/>
        <v>0</v>
      </c>
      <c r="P157" s="36">
        <f t="shared" si="6"/>
        <v>0</v>
      </c>
      <c r="Q157" s="39"/>
      <c r="R157" s="39"/>
      <c r="S157" s="36">
        <f t="shared" si="7"/>
        <v>0</v>
      </c>
      <c r="T157" s="37" t="s">
        <v>3639</v>
      </c>
      <c r="U157" s="37" t="s">
        <v>3640</v>
      </c>
      <c r="V157" s="37">
        <v>5</v>
      </c>
      <c r="W157" s="10">
        <v>5</v>
      </c>
      <c r="X157" s="10"/>
      <c r="Y157" s="10">
        <v>0</v>
      </c>
      <c r="Z157" s="10">
        <v>8</v>
      </c>
      <c r="AA157" s="34">
        <v>90</v>
      </c>
      <c r="AB157" s="10">
        <v>0</v>
      </c>
      <c r="AC157" s="10">
        <v>90</v>
      </c>
      <c r="AD157" s="10"/>
      <c r="AE157" s="10"/>
      <c r="AF157" s="10"/>
      <c r="AG157" s="124"/>
      <c r="AH157" s="124"/>
      <c r="AI157" s="124" t="s">
        <v>102</v>
      </c>
      <c r="AJ157" s="124" t="s">
        <v>102</v>
      </c>
      <c r="AK157" s="124" t="s">
        <v>102</v>
      </c>
      <c r="AL157" s="124"/>
      <c r="AM157" s="124"/>
      <c r="AN157" s="124"/>
      <c r="AO157" s="124"/>
      <c r="AP157" s="124"/>
    </row>
    <row r="158" spans="1:43" ht="60" x14ac:dyDescent="0.25">
      <c r="A158" s="10" t="s">
        <v>156</v>
      </c>
      <c r="B158" s="10" t="s">
        <v>3299</v>
      </c>
      <c r="C158" s="10" t="s">
        <v>3300</v>
      </c>
      <c r="D158" s="10">
        <v>221130008</v>
      </c>
      <c r="E158" s="74" t="s">
        <v>3497</v>
      </c>
      <c r="F158" s="34">
        <v>22257001</v>
      </c>
      <c r="G158" s="34" t="s">
        <v>3498</v>
      </c>
      <c r="H158" s="36">
        <v>10285541000</v>
      </c>
      <c r="I158" s="255">
        <v>10285541000</v>
      </c>
      <c r="J158" s="39">
        <v>12735541000</v>
      </c>
      <c r="K158" s="39"/>
      <c r="L158" s="39"/>
      <c r="M158" s="39"/>
      <c r="N158" s="36">
        <f t="shared" si="6"/>
        <v>10285541000</v>
      </c>
      <c r="O158" s="36">
        <f t="shared" si="6"/>
        <v>10285541000</v>
      </c>
      <c r="P158" s="36">
        <f t="shared" si="6"/>
        <v>12735541000</v>
      </c>
      <c r="Q158" s="39">
        <v>12735541000</v>
      </c>
      <c r="R158" s="39"/>
      <c r="S158" s="36">
        <f t="shared" si="7"/>
        <v>12735541000</v>
      </c>
      <c r="T158" s="37">
        <v>0</v>
      </c>
      <c r="U158" s="37">
        <v>0</v>
      </c>
      <c r="V158" s="37">
        <v>0</v>
      </c>
      <c r="W158" s="10"/>
      <c r="X158" s="10"/>
      <c r="Y158" s="10"/>
      <c r="Z158" s="10"/>
      <c r="AA158" s="34">
        <v>0</v>
      </c>
      <c r="AB158" s="10"/>
      <c r="AC158" s="10"/>
      <c r="AD158" s="10"/>
      <c r="AE158" s="10"/>
      <c r="AF158" s="10"/>
      <c r="AG158" s="124"/>
      <c r="AH158" s="124"/>
      <c r="AI158" s="124"/>
      <c r="AJ158" s="124"/>
      <c r="AK158" s="124"/>
      <c r="AL158" s="124"/>
      <c r="AM158" s="124"/>
      <c r="AN158" s="124"/>
      <c r="AO158" s="124"/>
      <c r="AP158" s="124"/>
      <c r="AQ158" s="155"/>
    </row>
    <row r="159" spans="1:43" x14ac:dyDescent="0.25">
      <c r="A159" s="34"/>
      <c r="B159" s="34"/>
      <c r="C159" s="34"/>
      <c r="D159" s="34"/>
      <c r="E159" s="74"/>
      <c r="F159" s="34"/>
      <c r="G159" s="34"/>
      <c r="H159" s="36"/>
      <c r="I159" s="255"/>
      <c r="J159" s="39"/>
      <c r="K159" s="39"/>
      <c r="L159" s="39"/>
      <c r="M159" s="39"/>
      <c r="N159" s="36">
        <f t="shared" si="6"/>
        <v>0</v>
      </c>
      <c r="O159" s="36">
        <f t="shared" si="6"/>
        <v>0</v>
      </c>
      <c r="P159" s="36">
        <f t="shared" si="6"/>
        <v>0</v>
      </c>
      <c r="Q159" s="39"/>
      <c r="R159" s="39"/>
      <c r="S159" s="36">
        <f t="shared" si="7"/>
        <v>0</v>
      </c>
      <c r="T159" s="37" t="s">
        <v>3819</v>
      </c>
      <c r="U159" s="37" t="s">
        <v>3820</v>
      </c>
      <c r="V159" s="37">
        <v>12</v>
      </c>
      <c r="W159" s="10">
        <v>12</v>
      </c>
      <c r="X159" s="10"/>
      <c r="Y159" s="10">
        <v>6</v>
      </c>
      <c r="Z159" s="10">
        <v>12</v>
      </c>
      <c r="AA159" s="34">
        <v>360</v>
      </c>
      <c r="AB159" s="10">
        <v>180</v>
      </c>
      <c r="AC159" s="10">
        <v>360</v>
      </c>
      <c r="AD159" s="10"/>
      <c r="AE159" s="10" t="s">
        <v>218</v>
      </c>
      <c r="AF159" s="10" t="s">
        <v>218</v>
      </c>
      <c r="AG159" s="124" t="s">
        <v>218</v>
      </c>
      <c r="AH159" s="124" t="s">
        <v>218</v>
      </c>
      <c r="AI159" s="124" t="s">
        <v>218</v>
      </c>
      <c r="AJ159" s="124" t="s">
        <v>218</v>
      </c>
      <c r="AK159" s="124" t="s">
        <v>218</v>
      </c>
      <c r="AL159" s="124" t="s">
        <v>218</v>
      </c>
      <c r="AM159" s="124" t="s">
        <v>218</v>
      </c>
      <c r="AN159" s="124" t="s">
        <v>218</v>
      </c>
      <c r="AO159" s="124" t="s">
        <v>218</v>
      </c>
      <c r="AP159" s="124" t="s">
        <v>218</v>
      </c>
    </row>
    <row r="160" spans="1:43" x14ac:dyDescent="0.25">
      <c r="A160" s="34"/>
      <c r="B160" s="34"/>
      <c r="C160" s="34"/>
      <c r="D160" s="34"/>
      <c r="E160" s="74"/>
      <c r="F160" s="34"/>
      <c r="G160" s="34"/>
      <c r="H160" s="36"/>
      <c r="I160" s="255"/>
      <c r="J160" s="39"/>
      <c r="K160" s="39"/>
      <c r="L160" s="39"/>
      <c r="M160" s="39"/>
      <c r="N160" s="36">
        <f t="shared" si="6"/>
        <v>0</v>
      </c>
      <c r="O160" s="36">
        <f t="shared" si="6"/>
        <v>0</v>
      </c>
      <c r="P160" s="36">
        <f t="shared" si="6"/>
        <v>0</v>
      </c>
      <c r="Q160" s="39"/>
      <c r="R160" s="39"/>
      <c r="S160" s="36">
        <f t="shared" si="7"/>
        <v>0</v>
      </c>
      <c r="T160" s="37" t="s">
        <v>3821</v>
      </c>
      <c r="U160" s="37" t="s">
        <v>3820</v>
      </c>
      <c r="V160" s="37">
        <v>12</v>
      </c>
      <c r="W160" s="10">
        <v>12</v>
      </c>
      <c r="X160" s="10"/>
      <c r="Y160" s="10">
        <v>6</v>
      </c>
      <c r="Z160" s="10">
        <v>12</v>
      </c>
      <c r="AA160" s="34">
        <v>360</v>
      </c>
      <c r="AB160" s="10">
        <v>180</v>
      </c>
      <c r="AC160" s="10">
        <v>360</v>
      </c>
      <c r="AD160" s="10"/>
      <c r="AE160" s="10" t="s">
        <v>218</v>
      </c>
      <c r="AF160" s="10" t="s">
        <v>218</v>
      </c>
      <c r="AG160" s="124" t="s">
        <v>218</v>
      </c>
      <c r="AH160" s="124" t="s">
        <v>218</v>
      </c>
      <c r="AI160" s="124" t="s">
        <v>218</v>
      </c>
      <c r="AJ160" s="124" t="s">
        <v>218</v>
      </c>
      <c r="AK160" s="124" t="s">
        <v>218</v>
      </c>
      <c r="AL160" s="124" t="s">
        <v>218</v>
      </c>
      <c r="AM160" s="124" t="s">
        <v>218</v>
      </c>
      <c r="AN160" s="124" t="s">
        <v>218</v>
      </c>
      <c r="AO160" s="124" t="s">
        <v>218</v>
      </c>
      <c r="AP160" s="124" t="s">
        <v>218</v>
      </c>
    </row>
    <row r="161" spans="1:43" ht="60" x14ac:dyDescent="0.25">
      <c r="A161" s="10" t="s">
        <v>156</v>
      </c>
      <c r="B161" s="10" t="s">
        <v>3299</v>
      </c>
      <c r="C161" s="10" t="s">
        <v>3300</v>
      </c>
      <c r="D161" s="10">
        <v>221150008</v>
      </c>
      <c r="E161" s="74" t="s">
        <v>3501</v>
      </c>
      <c r="F161" s="34">
        <v>22218001</v>
      </c>
      <c r="G161" s="34" t="s">
        <v>3502</v>
      </c>
      <c r="H161" s="36">
        <v>4000000000</v>
      </c>
      <c r="I161" s="513">
        <v>4500000000</v>
      </c>
      <c r="J161" s="39">
        <v>4500000000</v>
      </c>
      <c r="K161" s="39"/>
      <c r="L161" s="39"/>
      <c r="M161" s="39"/>
      <c r="N161" s="36">
        <f t="shared" si="6"/>
        <v>4000000000</v>
      </c>
      <c r="O161" s="36">
        <f t="shared" si="6"/>
        <v>4500000000</v>
      </c>
      <c r="P161" s="36">
        <f t="shared" si="6"/>
        <v>4500000000</v>
      </c>
      <c r="Q161" s="39">
        <v>4469386552</v>
      </c>
      <c r="R161" s="39"/>
      <c r="S161" s="36">
        <f t="shared" si="7"/>
        <v>4469386552</v>
      </c>
      <c r="T161" s="37">
        <v>0</v>
      </c>
      <c r="U161" s="37">
        <v>0</v>
      </c>
      <c r="V161" s="37">
        <v>0</v>
      </c>
      <c r="W161" s="10"/>
      <c r="X161" s="10"/>
      <c r="Y161" s="10"/>
      <c r="Z161" s="10"/>
      <c r="AA161" s="34">
        <v>0</v>
      </c>
      <c r="AB161" s="10"/>
      <c r="AC161" s="10"/>
      <c r="AD161" s="10"/>
      <c r="AE161" s="10"/>
      <c r="AF161" s="10"/>
      <c r="AG161" s="124"/>
      <c r="AH161" s="124"/>
      <c r="AI161" s="124"/>
      <c r="AJ161" s="124"/>
      <c r="AK161" s="124"/>
      <c r="AL161" s="124"/>
      <c r="AM161" s="124"/>
      <c r="AN161" s="124"/>
      <c r="AO161" s="124"/>
      <c r="AP161" s="124"/>
      <c r="AQ161" s="155"/>
    </row>
    <row r="162" spans="1:43" ht="195" x14ac:dyDescent="0.25">
      <c r="A162" s="34"/>
      <c r="B162" s="34"/>
      <c r="C162" s="34"/>
      <c r="D162" s="34"/>
      <c r="E162" s="74"/>
      <c r="F162" s="34"/>
      <c r="G162" s="34"/>
      <c r="H162" s="36"/>
      <c r="I162" s="255"/>
      <c r="J162" s="39"/>
      <c r="K162" s="39"/>
      <c r="L162" s="39"/>
      <c r="M162" s="39"/>
      <c r="N162" s="36">
        <f t="shared" si="6"/>
        <v>0</v>
      </c>
      <c r="O162" s="36">
        <f t="shared" si="6"/>
        <v>0</v>
      </c>
      <c r="P162" s="36">
        <f t="shared" si="6"/>
        <v>0</v>
      </c>
      <c r="Q162" s="39"/>
      <c r="R162" s="39"/>
      <c r="S162" s="36">
        <f t="shared" si="7"/>
        <v>0</v>
      </c>
      <c r="T162" s="37" t="s">
        <v>3822</v>
      </c>
      <c r="U162" s="37" t="s">
        <v>3666</v>
      </c>
      <c r="V162" s="37">
        <v>3086</v>
      </c>
      <c r="W162" s="10">
        <v>2750</v>
      </c>
      <c r="X162" s="10"/>
      <c r="Y162" s="10">
        <v>2500</v>
      </c>
      <c r="Z162" s="10">
        <v>2792</v>
      </c>
      <c r="AA162" s="34">
        <v>365</v>
      </c>
      <c r="AB162" s="10">
        <v>120</v>
      </c>
      <c r="AC162" s="10">
        <v>300</v>
      </c>
      <c r="AD162" s="10" t="s">
        <v>3823</v>
      </c>
      <c r="AE162" s="10" t="s">
        <v>218</v>
      </c>
      <c r="AF162" s="10" t="s">
        <v>218</v>
      </c>
      <c r="AG162" s="124" t="s">
        <v>218</v>
      </c>
      <c r="AH162" s="124" t="s">
        <v>218</v>
      </c>
      <c r="AI162" s="124" t="s">
        <v>218</v>
      </c>
      <c r="AJ162" s="124" t="s">
        <v>218</v>
      </c>
      <c r="AK162" s="124" t="s">
        <v>218</v>
      </c>
      <c r="AL162" s="124" t="s">
        <v>218</v>
      </c>
      <c r="AM162" s="124" t="s">
        <v>218</v>
      </c>
      <c r="AN162" s="124" t="s">
        <v>218</v>
      </c>
      <c r="AO162" s="124" t="s">
        <v>218</v>
      </c>
      <c r="AP162" s="124" t="s">
        <v>218</v>
      </c>
    </row>
    <row r="163" spans="1:43" ht="144" x14ac:dyDescent="0.25">
      <c r="A163" s="10" t="s">
        <v>156</v>
      </c>
      <c r="B163" s="10" t="s">
        <v>3299</v>
      </c>
      <c r="C163" s="10" t="s">
        <v>3355</v>
      </c>
      <c r="D163" s="10">
        <v>221410007</v>
      </c>
      <c r="E163" s="74" t="s">
        <v>3506</v>
      </c>
      <c r="F163" s="34">
        <v>22172001</v>
      </c>
      <c r="G163" s="34" t="s">
        <v>3507</v>
      </c>
      <c r="H163" s="36">
        <v>2000000000</v>
      </c>
      <c r="I163" s="255">
        <v>20000000000</v>
      </c>
      <c r="J163" s="39">
        <v>19434312620</v>
      </c>
      <c r="K163" s="39"/>
      <c r="L163" s="39"/>
      <c r="M163" s="39"/>
      <c r="N163" s="36">
        <f t="shared" si="6"/>
        <v>2000000000</v>
      </c>
      <c r="O163" s="36">
        <f t="shared" si="6"/>
        <v>20000000000</v>
      </c>
      <c r="P163" s="36">
        <f t="shared" si="6"/>
        <v>19434312620</v>
      </c>
      <c r="Q163" s="39">
        <v>18979308232</v>
      </c>
      <c r="R163" s="39"/>
      <c r="S163" s="36">
        <f t="shared" si="7"/>
        <v>18979308232</v>
      </c>
      <c r="T163" s="37">
        <v>0</v>
      </c>
      <c r="U163" s="37">
        <v>0</v>
      </c>
      <c r="V163" s="37">
        <v>0</v>
      </c>
      <c r="W163" s="10"/>
      <c r="X163" s="10"/>
      <c r="Y163" s="10"/>
      <c r="Z163" s="10"/>
      <c r="AA163" s="34">
        <v>0</v>
      </c>
      <c r="AB163" s="10"/>
      <c r="AC163" s="10"/>
      <c r="AD163" s="10"/>
      <c r="AE163" s="10"/>
      <c r="AF163" s="10"/>
      <c r="AG163" s="124"/>
      <c r="AH163" s="124"/>
      <c r="AI163" s="124"/>
      <c r="AJ163" s="124"/>
      <c r="AK163" s="124"/>
      <c r="AL163" s="124"/>
      <c r="AM163" s="124"/>
      <c r="AN163" s="124"/>
      <c r="AO163" s="124"/>
      <c r="AP163" s="124"/>
      <c r="AQ163" s="155"/>
    </row>
    <row r="164" spans="1:43" ht="165" x14ac:dyDescent="0.25">
      <c r="A164" s="34"/>
      <c r="B164" s="34"/>
      <c r="C164" s="34"/>
      <c r="D164" s="34"/>
      <c r="E164" s="74"/>
      <c r="F164" s="34"/>
      <c r="G164" s="34"/>
      <c r="H164" s="36"/>
      <c r="I164" s="255"/>
      <c r="J164" s="39"/>
      <c r="K164" s="39"/>
      <c r="L164" s="39"/>
      <c r="M164" s="39"/>
      <c r="N164" s="36">
        <f t="shared" si="6"/>
        <v>0</v>
      </c>
      <c r="O164" s="36">
        <f t="shared" si="6"/>
        <v>0</v>
      </c>
      <c r="P164" s="36">
        <f t="shared" si="6"/>
        <v>0</v>
      </c>
      <c r="Q164" s="39"/>
      <c r="R164" s="39"/>
      <c r="S164" s="36">
        <f t="shared" si="7"/>
        <v>0</v>
      </c>
      <c r="T164" s="37" t="s">
        <v>3824</v>
      </c>
      <c r="U164" s="37" t="s">
        <v>3825</v>
      </c>
      <c r="V164" s="37">
        <v>128</v>
      </c>
      <c r="W164" s="10">
        <v>350</v>
      </c>
      <c r="X164" s="10"/>
      <c r="Y164" s="10">
        <v>350</v>
      </c>
      <c r="Z164" s="10">
        <v>350</v>
      </c>
      <c r="AA164" s="34">
        <v>240</v>
      </c>
      <c r="AB164" s="34">
        <v>150</v>
      </c>
      <c r="AC164" s="10">
        <v>240</v>
      </c>
      <c r="AD164" s="10" t="s">
        <v>3826</v>
      </c>
      <c r="AE164" s="10"/>
      <c r="AF164" s="10" t="s">
        <v>218</v>
      </c>
      <c r="AG164" s="124" t="s">
        <v>218</v>
      </c>
      <c r="AH164" s="124" t="s">
        <v>218</v>
      </c>
      <c r="AI164" s="124" t="s">
        <v>218</v>
      </c>
      <c r="AJ164" s="124" t="s">
        <v>218</v>
      </c>
      <c r="AK164" s="124" t="s">
        <v>218</v>
      </c>
      <c r="AL164" s="124" t="s">
        <v>218</v>
      </c>
      <c r="AM164" s="124" t="s">
        <v>218</v>
      </c>
      <c r="AN164" s="124" t="s">
        <v>218</v>
      </c>
      <c r="AO164" s="124" t="s">
        <v>218</v>
      </c>
      <c r="AP164" s="124" t="s">
        <v>218</v>
      </c>
    </row>
    <row r="165" spans="1:43" ht="165" x14ac:dyDescent="0.25">
      <c r="A165" s="34"/>
      <c r="B165" s="34"/>
      <c r="C165" s="34"/>
      <c r="D165" s="34"/>
      <c r="E165" s="74"/>
      <c r="F165" s="34"/>
      <c r="G165" s="34"/>
      <c r="H165" s="36"/>
      <c r="I165" s="255"/>
      <c r="J165" s="39"/>
      <c r="K165" s="39"/>
      <c r="L165" s="39"/>
      <c r="M165" s="39"/>
      <c r="N165" s="36">
        <f t="shared" si="6"/>
        <v>0</v>
      </c>
      <c r="O165" s="36">
        <f t="shared" si="6"/>
        <v>0</v>
      </c>
      <c r="P165" s="36">
        <f t="shared" si="6"/>
        <v>0</v>
      </c>
      <c r="Q165" s="39"/>
      <c r="R165" s="39"/>
      <c r="S165" s="36">
        <f t="shared" si="7"/>
        <v>0</v>
      </c>
      <c r="T165" s="37" t="s">
        <v>3827</v>
      </c>
      <c r="U165" s="37" t="s">
        <v>3828</v>
      </c>
      <c r="V165" s="37">
        <v>250</v>
      </c>
      <c r="W165" s="10">
        <v>350</v>
      </c>
      <c r="X165" s="10"/>
      <c r="Y165" s="10">
        <v>350</v>
      </c>
      <c r="Z165" s="10">
        <v>350</v>
      </c>
      <c r="AA165" s="34">
        <v>300</v>
      </c>
      <c r="AB165" s="34">
        <v>150</v>
      </c>
      <c r="AC165" s="10">
        <v>300</v>
      </c>
      <c r="AD165" s="10" t="s">
        <v>3829</v>
      </c>
      <c r="AE165" s="10"/>
      <c r="AF165" s="10" t="s">
        <v>218</v>
      </c>
      <c r="AG165" s="124" t="s">
        <v>218</v>
      </c>
      <c r="AH165" s="124" t="s">
        <v>218</v>
      </c>
      <c r="AI165" s="124" t="s">
        <v>218</v>
      </c>
      <c r="AJ165" s="124" t="s">
        <v>218</v>
      </c>
      <c r="AK165" s="124" t="s">
        <v>218</v>
      </c>
      <c r="AL165" s="124" t="s">
        <v>218</v>
      </c>
      <c r="AM165" s="124" t="s">
        <v>218</v>
      </c>
      <c r="AN165" s="124" t="s">
        <v>218</v>
      </c>
      <c r="AO165" s="124" t="s">
        <v>218</v>
      </c>
      <c r="AP165" s="124"/>
    </row>
    <row r="166" spans="1:43" ht="48" x14ac:dyDescent="0.25">
      <c r="A166" s="34"/>
      <c r="B166" s="34"/>
      <c r="C166" s="34"/>
      <c r="D166" s="34"/>
      <c r="E166" s="74"/>
      <c r="F166" s="34"/>
      <c r="G166" s="34"/>
      <c r="H166" s="36"/>
      <c r="I166" s="255"/>
      <c r="J166" s="39"/>
      <c r="K166" s="39"/>
      <c r="L166" s="39"/>
      <c r="M166" s="39"/>
      <c r="N166" s="36">
        <f t="shared" si="6"/>
        <v>0</v>
      </c>
      <c r="O166" s="36">
        <f t="shared" si="6"/>
        <v>0</v>
      </c>
      <c r="P166" s="36">
        <f t="shared" si="6"/>
        <v>0</v>
      </c>
      <c r="Q166" s="39"/>
      <c r="R166" s="39"/>
      <c r="S166" s="36">
        <f t="shared" si="7"/>
        <v>0</v>
      </c>
      <c r="T166" s="37" t="s">
        <v>3830</v>
      </c>
      <c r="U166" s="37" t="s">
        <v>3828</v>
      </c>
      <c r="V166" s="37">
        <v>128</v>
      </c>
      <c r="W166" s="10">
        <v>0</v>
      </c>
      <c r="X166" s="10"/>
      <c r="Y166" s="10">
        <v>0</v>
      </c>
      <c r="Z166" s="10">
        <v>21</v>
      </c>
      <c r="AA166" s="34">
        <v>240</v>
      </c>
      <c r="AB166" s="34">
        <v>0</v>
      </c>
      <c r="AC166" s="10">
        <v>150</v>
      </c>
      <c r="AD166" s="10" t="s">
        <v>3831</v>
      </c>
      <c r="AE166" s="10"/>
      <c r="AF166" s="10" t="s">
        <v>218</v>
      </c>
      <c r="AG166" s="124" t="s">
        <v>218</v>
      </c>
      <c r="AH166" s="124" t="s">
        <v>218</v>
      </c>
      <c r="AI166" s="124" t="s">
        <v>218</v>
      </c>
      <c r="AJ166" s="124" t="s">
        <v>218</v>
      </c>
      <c r="AK166" s="124" t="s">
        <v>218</v>
      </c>
      <c r="AL166" s="124" t="s">
        <v>218</v>
      </c>
      <c r="AM166" s="124" t="s">
        <v>218</v>
      </c>
      <c r="AN166" s="124" t="s">
        <v>218</v>
      </c>
      <c r="AO166" s="124" t="s">
        <v>218</v>
      </c>
      <c r="AP166" s="124" t="s">
        <v>218</v>
      </c>
    </row>
    <row r="167" spans="1:43" ht="90" x14ac:dyDescent="0.25">
      <c r="A167" s="34"/>
      <c r="B167" s="34"/>
      <c r="C167" s="34"/>
      <c r="D167" s="34"/>
      <c r="E167" s="74"/>
      <c r="F167" s="34"/>
      <c r="G167" s="34"/>
      <c r="H167" s="36"/>
      <c r="I167" s="255"/>
      <c r="J167" s="39"/>
      <c r="K167" s="39"/>
      <c r="L167" s="39"/>
      <c r="M167" s="39"/>
      <c r="N167" s="36">
        <f t="shared" si="6"/>
        <v>0</v>
      </c>
      <c r="O167" s="36">
        <f t="shared" si="6"/>
        <v>0</v>
      </c>
      <c r="P167" s="36">
        <f t="shared" si="6"/>
        <v>0</v>
      </c>
      <c r="Q167" s="39"/>
      <c r="R167" s="39"/>
      <c r="S167" s="36">
        <f t="shared" si="7"/>
        <v>0</v>
      </c>
      <c r="T167" s="37" t="s">
        <v>3832</v>
      </c>
      <c r="U167" s="37" t="s">
        <v>3833</v>
      </c>
      <c r="V167" s="37">
        <v>413</v>
      </c>
      <c r="W167" s="10">
        <v>413</v>
      </c>
      <c r="X167" s="10"/>
      <c r="Y167" s="37">
        <v>0</v>
      </c>
      <c r="Z167" s="10">
        <v>1021</v>
      </c>
      <c r="AA167" s="34">
        <v>90</v>
      </c>
      <c r="AB167" s="10">
        <v>0</v>
      </c>
      <c r="AC167" s="10">
        <v>90</v>
      </c>
      <c r="AD167" s="10" t="s">
        <v>3834</v>
      </c>
      <c r="AE167" s="10"/>
      <c r="AF167" s="10"/>
      <c r="AG167" s="124"/>
      <c r="AH167" s="124"/>
      <c r="AI167" s="124"/>
      <c r="AJ167" s="124"/>
      <c r="AK167" s="124"/>
      <c r="AL167" s="124"/>
      <c r="AM167" s="124" t="s">
        <v>218</v>
      </c>
      <c r="AN167" s="124" t="s">
        <v>218</v>
      </c>
      <c r="AO167" s="124" t="s">
        <v>218</v>
      </c>
      <c r="AP167" s="124"/>
    </row>
    <row r="168" spans="1:43" ht="75" x14ac:dyDescent="0.25">
      <c r="A168" s="34"/>
      <c r="B168" s="34"/>
      <c r="C168" s="34"/>
      <c r="D168" s="34"/>
      <c r="E168" s="74"/>
      <c r="F168" s="34"/>
      <c r="G168" s="34"/>
      <c r="H168" s="36"/>
      <c r="I168" s="255"/>
      <c r="J168" s="39"/>
      <c r="K168" s="39"/>
      <c r="L168" s="39"/>
      <c r="M168" s="39"/>
      <c r="N168" s="36">
        <f t="shared" si="6"/>
        <v>0</v>
      </c>
      <c r="O168" s="36">
        <f t="shared" si="6"/>
        <v>0</v>
      </c>
      <c r="P168" s="36">
        <f t="shared" si="6"/>
        <v>0</v>
      </c>
      <c r="Q168" s="39"/>
      <c r="R168" s="39"/>
      <c r="S168" s="36">
        <f t="shared" si="7"/>
        <v>0</v>
      </c>
      <c r="T168" s="37" t="s">
        <v>3835</v>
      </c>
      <c r="U168" s="37" t="s">
        <v>3836</v>
      </c>
      <c r="V168" s="37">
        <v>3884</v>
      </c>
      <c r="W168" s="37">
        <v>3884</v>
      </c>
      <c r="X168" s="10"/>
      <c r="Y168" s="37">
        <v>3884</v>
      </c>
      <c r="Z168" s="10">
        <v>3884</v>
      </c>
      <c r="AA168" s="34">
        <v>270</v>
      </c>
      <c r="AB168" s="34">
        <v>150</v>
      </c>
      <c r="AC168" s="10">
        <v>270</v>
      </c>
      <c r="AD168" s="10" t="s">
        <v>3837</v>
      </c>
      <c r="AE168" s="10"/>
      <c r="AF168" s="10"/>
      <c r="AG168" s="124" t="s">
        <v>218</v>
      </c>
      <c r="AH168" s="124" t="s">
        <v>218</v>
      </c>
      <c r="AI168" s="124" t="s">
        <v>218</v>
      </c>
      <c r="AJ168" s="124" t="s">
        <v>218</v>
      </c>
      <c r="AK168" s="124" t="s">
        <v>218</v>
      </c>
      <c r="AL168" s="124" t="s">
        <v>218</v>
      </c>
      <c r="AM168" s="124" t="s">
        <v>218</v>
      </c>
      <c r="AN168" s="124" t="s">
        <v>218</v>
      </c>
      <c r="AO168" s="124" t="s">
        <v>218</v>
      </c>
      <c r="AP168" s="124"/>
    </row>
    <row r="169" spans="1:43" ht="90" x14ac:dyDescent="0.25">
      <c r="A169" s="34"/>
      <c r="B169" s="34"/>
      <c r="C169" s="34"/>
      <c r="D169" s="34"/>
      <c r="E169" s="74"/>
      <c r="F169" s="34"/>
      <c r="G169" s="34"/>
      <c r="H169" s="36"/>
      <c r="I169" s="255"/>
      <c r="J169" s="39"/>
      <c r="K169" s="39"/>
      <c r="L169" s="39"/>
      <c r="M169" s="39"/>
      <c r="N169" s="36">
        <f t="shared" si="6"/>
        <v>0</v>
      </c>
      <c r="O169" s="36">
        <f t="shared" si="6"/>
        <v>0</v>
      </c>
      <c r="P169" s="36">
        <f t="shared" si="6"/>
        <v>0</v>
      </c>
      <c r="Q169" s="39"/>
      <c r="R169" s="39"/>
      <c r="S169" s="36">
        <f t="shared" si="7"/>
        <v>0</v>
      </c>
      <c r="T169" s="37" t="s">
        <v>3838</v>
      </c>
      <c r="U169" s="37" t="s">
        <v>3833</v>
      </c>
      <c r="V169" s="37">
        <v>702</v>
      </c>
      <c r="W169" s="10">
        <v>702</v>
      </c>
      <c r="X169" s="10"/>
      <c r="Y169" s="10">
        <v>0</v>
      </c>
      <c r="Z169" s="10">
        <v>702</v>
      </c>
      <c r="AA169" s="34">
        <v>240</v>
      </c>
      <c r="AB169" s="34">
        <v>0</v>
      </c>
      <c r="AC169" s="10">
        <v>150</v>
      </c>
      <c r="AD169" s="10" t="s">
        <v>3839</v>
      </c>
      <c r="AE169" s="10"/>
      <c r="AF169" s="10"/>
      <c r="AG169" s="124"/>
      <c r="AH169" s="124" t="s">
        <v>218</v>
      </c>
      <c r="AI169" s="124" t="s">
        <v>218</v>
      </c>
      <c r="AJ169" s="124" t="s">
        <v>218</v>
      </c>
      <c r="AK169" s="124" t="s">
        <v>218</v>
      </c>
      <c r="AL169" s="124" t="s">
        <v>218</v>
      </c>
      <c r="AM169" s="124" t="s">
        <v>218</v>
      </c>
      <c r="AN169" s="124" t="s">
        <v>218</v>
      </c>
      <c r="AO169" s="124" t="s">
        <v>218</v>
      </c>
      <c r="AP169" s="124"/>
    </row>
    <row r="170" spans="1:43" ht="60" x14ac:dyDescent="0.25">
      <c r="A170" s="10" t="s">
        <v>156</v>
      </c>
      <c r="B170" s="10" t="s">
        <v>3299</v>
      </c>
      <c r="C170" s="10" t="s">
        <v>3373</v>
      </c>
      <c r="D170" s="10">
        <v>221620007</v>
      </c>
      <c r="E170" s="74" t="s">
        <v>3519</v>
      </c>
      <c r="F170" s="34">
        <v>22160001</v>
      </c>
      <c r="G170" s="34" t="s">
        <v>3520</v>
      </c>
      <c r="H170" s="36">
        <v>2000000000</v>
      </c>
      <c r="I170" s="255">
        <v>2596768175</v>
      </c>
      <c r="J170" s="39">
        <v>2586861150</v>
      </c>
      <c r="K170" s="39"/>
      <c r="L170" s="39"/>
      <c r="M170" s="39"/>
      <c r="N170" s="36">
        <f t="shared" si="6"/>
        <v>2000000000</v>
      </c>
      <c r="O170" s="36">
        <f t="shared" si="6"/>
        <v>2596768175</v>
      </c>
      <c r="P170" s="36">
        <f t="shared" si="6"/>
        <v>2586861150</v>
      </c>
      <c r="Q170" s="39">
        <v>2496861151</v>
      </c>
      <c r="R170" s="39"/>
      <c r="S170" s="36">
        <f t="shared" si="7"/>
        <v>2496861151</v>
      </c>
      <c r="T170" s="37">
        <v>0</v>
      </c>
      <c r="U170" s="37">
        <v>0</v>
      </c>
      <c r="V170" s="37">
        <v>0</v>
      </c>
      <c r="W170" s="10"/>
      <c r="X170" s="10"/>
      <c r="Y170" s="10"/>
      <c r="Z170" s="10"/>
      <c r="AA170" s="34">
        <v>0</v>
      </c>
      <c r="AB170" s="10"/>
      <c r="AC170" s="10"/>
      <c r="AD170" s="10"/>
      <c r="AE170" s="10"/>
      <c r="AF170" s="10"/>
      <c r="AG170" s="124"/>
      <c r="AH170" s="124"/>
      <c r="AI170" s="124"/>
      <c r="AJ170" s="124"/>
      <c r="AK170" s="124"/>
      <c r="AL170" s="124"/>
      <c r="AM170" s="124"/>
      <c r="AN170" s="124"/>
      <c r="AO170" s="124"/>
      <c r="AP170" s="124"/>
      <c r="AQ170" s="155"/>
    </row>
    <row r="171" spans="1:43" ht="24" x14ac:dyDescent="0.25">
      <c r="A171" s="34"/>
      <c r="B171" s="34"/>
      <c r="C171" s="34"/>
      <c r="D171" s="34"/>
      <c r="E171" s="74"/>
      <c r="F171" s="34"/>
      <c r="G171" s="34"/>
      <c r="H171" s="36"/>
      <c r="I171" s="255"/>
      <c r="J171" s="39"/>
      <c r="K171" s="39"/>
      <c r="L171" s="39"/>
      <c r="M171" s="39"/>
      <c r="N171" s="36">
        <f t="shared" si="6"/>
        <v>0</v>
      </c>
      <c r="O171" s="36">
        <f t="shared" si="6"/>
        <v>0</v>
      </c>
      <c r="P171" s="36">
        <f t="shared" si="6"/>
        <v>0</v>
      </c>
      <c r="Q171" s="39"/>
      <c r="R171" s="39"/>
      <c r="S171" s="36">
        <f t="shared" si="7"/>
        <v>0</v>
      </c>
      <c r="T171" s="37" t="s">
        <v>3840</v>
      </c>
      <c r="U171" s="37" t="s">
        <v>3841</v>
      </c>
      <c r="V171" s="37">
        <v>50000</v>
      </c>
      <c r="W171" s="10">
        <v>60000</v>
      </c>
      <c r="X171" s="10"/>
      <c r="Y171" s="10">
        <v>69741</v>
      </c>
      <c r="Z171" s="10">
        <v>69741</v>
      </c>
      <c r="AA171" s="34">
        <v>180</v>
      </c>
      <c r="AB171" s="10">
        <v>90</v>
      </c>
      <c r="AC171" s="10">
        <v>90</v>
      </c>
      <c r="AD171" s="10"/>
      <c r="AE171" s="10" t="s">
        <v>218</v>
      </c>
      <c r="AF171" s="10" t="s">
        <v>218</v>
      </c>
      <c r="AG171" s="124" t="s">
        <v>218</v>
      </c>
      <c r="AH171" s="124" t="s">
        <v>218</v>
      </c>
      <c r="AI171" s="124" t="s">
        <v>218</v>
      </c>
      <c r="AJ171" s="124" t="s">
        <v>218</v>
      </c>
      <c r="AK171" s="124"/>
      <c r="AL171" s="124"/>
      <c r="AM171" s="124"/>
      <c r="AN171" s="124"/>
      <c r="AO171" s="124"/>
      <c r="AP171" s="124"/>
    </row>
    <row r="172" spans="1:43" ht="60" x14ac:dyDescent="0.25">
      <c r="A172" s="34"/>
      <c r="B172" s="34"/>
      <c r="C172" s="34"/>
      <c r="D172" s="34"/>
      <c r="E172" s="74"/>
      <c r="F172" s="34"/>
      <c r="G172" s="34"/>
      <c r="H172" s="36"/>
      <c r="I172" s="255"/>
      <c r="J172" s="39"/>
      <c r="K172" s="39"/>
      <c r="L172" s="39"/>
      <c r="M172" s="39"/>
      <c r="N172" s="36">
        <f t="shared" si="6"/>
        <v>0</v>
      </c>
      <c r="O172" s="36">
        <f t="shared" si="6"/>
        <v>0</v>
      </c>
      <c r="P172" s="36">
        <f t="shared" si="6"/>
        <v>0</v>
      </c>
      <c r="Q172" s="39"/>
      <c r="R172" s="39"/>
      <c r="S172" s="36">
        <f t="shared" si="7"/>
        <v>0</v>
      </c>
      <c r="T172" s="37" t="s">
        <v>3842</v>
      </c>
      <c r="U172" s="37" t="s">
        <v>3841</v>
      </c>
      <c r="V172" s="37">
        <v>248</v>
      </c>
      <c r="W172" s="10">
        <v>3000</v>
      </c>
      <c r="X172" s="10"/>
      <c r="Y172" s="10">
        <v>3000</v>
      </c>
      <c r="Z172" s="10">
        <v>3000</v>
      </c>
      <c r="AA172" s="34">
        <v>60</v>
      </c>
      <c r="AB172" s="10">
        <v>60</v>
      </c>
      <c r="AC172" s="10">
        <v>60</v>
      </c>
      <c r="AD172" s="10" t="s">
        <v>3843</v>
      </c>
      <c r="AE172" s="10"/>
      <c r="AF172" s="10"/>
      <c r="AG172" s="124"/>
      <c r="AH172" s="124"/>
      <c r="AI172" s="124"/>
      <c r="AJ172" s="124"/>
      <c r="AK172" s="124" t="s">
        <v>218</v>
      </c>
      <c r="AL172" s="124" t="s">
        <v>218</v>
      </c>
      <c r="AM172" s="124"/>
      <c r="AN172" s="124"/>
      <c r="AO172" s="124"/>
      <c r="AP172" s="124"/>
    </row>
    <row r="173" spans="1:43" ht="90" x14ac:dyDescent="0.25">
      <c r="A173" s="34"/>
      <c r="B173" s="34"/>
      <c r="C173" s="34"/>
      <c r="D173" s="34"/>
      <c r="E173" s="74"/>
      <c r="F173" s="34"/>
      <c r="G173" s="34"/>
      <c r="H173" s="36"/>
      <c r="I173" s="255"/>
      <c r="J173" s="39"/>
      <c r="K173" s="39"/>
      <c r="L173" s="39"/>
      <c r="M173" s="39"/>
      <c r="N173" s="36">
        <f t="shared" si="6"/>
        <v>0</v>
      </c>
      <c r="O173" s="36">
        <f t="shared" si="6"/>
        <v>0</v>
      </c>
      <c r="P173" s="36">
        <f t="shared" si="6"/>
        <v>0</v>
      </c>
      <c r="Q173" s="39"/>
      <c r="R173" s="39"/>
      <c r="S173" s="36">
        <f t="shared" si="7"/>
        <v>0</v>
      </c>
      <c r="T173" s="37" t="s">
        <v>3844</v>
      </c>
      <c r="U173" s="37" t="s">
        <v>3845</v>
      </c>
      <c r="V173" s="37">
        <v>36</v>
      </c>
      <c r="W173" s="10">
        <v>58</v>
      </c>
      <c r="X173" s="10"/>
      <c r="Y173" s="10">
        <v>58</v>
      </c>
      <c r="Z173" s="10">
        <v>58</v>
      </c>
      <c r="AA173" s="34">
        <v>60</v>
      </c>
      <c r="AB173" s="10">
        <v>30</v>
      </c>
      <c r="AC173" s="10">
        <v>60</v>
      </c>
      <c r="AD173" s="10" t="s">
        <v>3846</v>
      </c>
      <c r="AE173" s="10"/>
      <c r="AF173" s="10"/>
      <c r="AG173" s="124"/>
      <c r="AH173" s="124"/>
      <c r="AI173" s="124"/>
      <c r="AJ173" s="124"/>
      <c r="AK173" s="124" t="s">
        <v>218</v>
      </c>
      <c r="AL173" s="124" t="s">
        <v>218</v>
      </c>
      <c r="AM173" s="124"/>
      <c r="AN173" s="124"/>
      <c r="AO173" s="124"/>
      <c r="AP173" s="124"/>
    </row>
    <row r="174" spans="1:43" ht="30" x14ac:dyDescent="0.25">
      <c r="A174" s="34"/>
      <c r="B174" s="34"/>
      <c r="C174" s="34"/>
      <c r="D174" s="34"/>
      <c r="E174" s="74"/>
      <c r="F174" s="34"/>
      <c r="G174" s="34"/>
      <c r="H174" s="36"/>
      <c r="I174" s="255"/>
      <c r="J174" s="39"/>
      <c r="K174" s="39"/>
      <c r="L174" s="39"/>
      <c r="M174" s="39"/>
      <c r="N174" s="36">
        <f t="shared" si="6"/>
        <v>0</v>
      </c>
      <c r="O174" s="36">
        <f t="shared" si="6"/>
        <v>0</v>
      </c>
      <c r="P174" s="36">
        <f t="shared" si="6"/>
        <v>0</v>
      </c>
      <c r="Q174" s="39"/>
      <c r="R174" s="39"/>
      <c r="S174" s="36">
        <f t="shared" si="7"/>
        <v>0</v>
      </c>
      <c r="T174" s="37" t="s">
        <v>3847</v>
      </c>
      <c r="U174" s="37" t="s">
        <v>3848</v>
      </c>
      <c r="V174" s="37">
        <v>9</v>
      </c>
      <c r="W174" s="10">
        <v>9</v>
      </c>
      <c r="X174" s="10"/>
      <c r="Y174" s="10">
        <v>0</v>
      </c>
      <c r="Z174" s="10">
        <v>9</v>
      </c>
      <c r="AA174" s="34">
        <v>60</v>
      </c>
      <c r="AB174" s="10">
        <v>0</v>
      </c>
      <c r="AC174" s="10">
        <v>60</v>
      </c>
      <c r="AD174" s="10" t="s">
        <v>3849</v>
      </c>
      <c r="AE174" s="10"/>
      <c r="AF174" s="10"/>
      <c r="AG174" s="124"/>
      <c r="AH174" s="124"/>
      <c r="AI174" s="124"/>
      <c r="AJ174" s="124"/>
      <c r="AK174" s="124"/>
      <c r="AL174" s="124"/>
      <c r="AM174" s="124" t="s">
        <v>218</v>
      </c>
      <c r="AN174" s="124" t="s">
        <v>218</v>
      </c>
      <c r="AO174" s="124"/>
      <c r="AP174" s="124"/>
    </row>
    <row r="175" spans="1:43" x14ac:dyDescent="0.25">
      <c r="A175" s="34"/>
      <c r="B175" s="34"/>
      <c r="C175" s="34"/>
      <c r="D175" s="34"/>
      <c r="E175" s="74"/>
      <c r="F175" s="34"/>
      <c r="G175" s="34"/>
      <c r="H175" s="36"/>
      <c r="I175" s="255"/>
      <c r="J175" s="39"/>
      <c r="K175" s="39"/>
      <c r="L175" s="39"/>
      <c r="M175" s="39"/>
      <c r="N175" s="36">
        <f t="shared" si="6"/>
        <v>0</v>
      </c>
      <c r="O175" s="36">
        <f t="shared" si="6"/>
        <v>0</v>
      </c>
      <c r="P175" s="36">
        <f t="shared" si="6"/>
        <v>0</v>
      </c>
      <c r="Q175" s="39"/>
      <c r="R175" s="39"/>
      <c r="S175" s="36">
        <f t="shared" si="7"/>
        <v>0</v>
      </c>
      <c r="T175" s="37" t="s">
        <v>3850</v>
      </c>
      <c r="U175" s="37" t="s">
        <v>3848</v>
      </c>
      <c r="V175" s="37">
        <v>1</v>
      </c>
      <c r="W175" s="10">
        <v>1</v>
      </c>
      <c r="X175" s="10"/>
      <c r="Y175" s="10">
        <v>0</v>
      </c>
      <c r="Z175" s="10">
        <v>1</v>
      </c>
      <c r="AA175" s="34">
        <v>30</v>
      </c>
      <c r="AB175" s="10">
        <v>0</v>
      </c>
      <c r="AC175" s="10">
        <v>30</v>
      </c>
      <c r="AD175" s="10" t="s">
        <v>3851</v>
      </c>
      <c r="AE175" s="10"/>
      <c r="AF175" s="10"/>
      <c r="AG175" s="124"/>
      <c r="AH175" s="124"/>
      <c r="AI175" s="124"/>
      <c r="AJ175" s="124"/>
      <c r="AK175" s="124"/>
      <c r="AL175" s="124"/>
      <c r="AM175" s="124"/>
      <c r="AN175" s="124" t="s">
        <v>218</v>
      </c>
      <c r="AO175" s="124"/>
      <c r="AP175" s="124"/>
    </row>
    <row r="176" spans="1:43" ht="30" x14ac:dyDescent="0.25">
      <c r="A176" s="34"/>
      <c r="B176" s="34"/>
      <c r="C176" s="34"/>
      <c r="D176" s="34"/>
      <c r="E176" s="74"/>
      <c r="F176" s="34"/>
      <c r="G176" s="34"/>
      <c r="H176" s="36"/>
      <c r="I176" s="255"/>
      <c r="J176" s="39"/>
      <c r="K176" s="39"/>
      <c r="L176" s="39"/>
      <c r="M176" s="39"/>
      <c r="N176" s="36">
        <f t="shared" si="6"/>
        <v>0</v>
      </c>
      <c r="O176" s="36">
        <f t="shared" si="6"/>
        <v>0</v>
      </c>
      <c r="P176" s="36">
        <f t="shared" si="6"/>
        <v>0</v>
      </c>
      <c r="Q176" s="39"/>
      <c r="R176" s="39"/>
      <c r="S176" s="36">
        <f t="shared" si="7"/>
        <v>0</v>
      </c>
      <c r="T176" s="37" t="s">
        <v>3852</v>
      </c>
      <c r="U176" s="37" t="s">
        <v>3841</v>
      </c>
      <c r="V176" s="37">
        <v>45</v>
      </c>
      <c r="W176" s="10">
        <v>45</v>
      </c>
      <c r="X176" s="10"/>
      <c r="Y176" s="10">
        <v>0</v>
      </c>
      <c r="Z176" s="10">
        <v>45</v>
      </c>
      <c r="AA176" s="34">
        <v>30</v>
      </c>
      <c r="AB176" s="10">
        <v>0</v>
      </c>
      <c r="AC176" s="10">
        <v>45</v>
      </c>
      <c r="AD176" s="10" t="s">
        <v>3853</v>
      </c>
      <c r="AE176" s="10"/>
      <c r="AF176" s="10"/>
      <c r="AG176" s="124"/>
      <c r="AH176" s="124"/>
      <c r="AI176" s="124"/>
      <c r="AJ176" s="124"/>
      <c r="AK176" s="124"/>
      <c r="AL176" s="124"/>
      <c r="AM176" s="124"/>
      <c r="AN176" s="124"/>
      <c r="AO176" s="124" t="s">
        <v>218</v>
      </c>
      <c r="AP176" s="124"/>
    </row>
    <row r="177" spans="1:43" ht="45" x14ac:dyDescent="0.25">
      <c r="A177" s="34"/>
      <c r="B177" s="34"/>
      <c r="C177" s="34"/>
      <c r="D177" s="34"/>
      <c r="E177" s="74"/>
      <c r="F177" s="34"/>
      <c r="G177" s="34"/>
      <c r="H177" s="36"/>
      <c r="I177" s="255"/>
      <c r="J177" s="39"/>
      <c r="K177" s="39"/>
      <c r="L177" s="39"/>
      <c r="M177" s="39"/>
      <c r="N177" s="36">
        <f t="shared" si="6"/>
        <v>0</v>
      </c>
      <c r="O177" s="36">
        <f t="shared" si="6"/>
        <v>0</v>
      </c>
      <c r="P177" s="36">
        <f t="shared" si="6"/>
        <v>0</v>
      </c>
      <c r="Q177" s="39"/>
      <c r="R177" s="39"/>
      <c r="S177" s="36">
        <f t="shared" si="7"/>
        <v>0</v>
      </c>
      <c r="T177" s="37" t="s">
        <v>3854</v>
      </c>
      <c r="U177" s="37" t="s">
        <v>3841</v>
      </c>
      <c r="V177" s="37">
        <v>9</v>
      </c>
      <c r="W177" s="10">
        <v>9</v>
      </c>
      <c r="X177" s="10"/>
      <c r="Y177" s="10">
        <v>0</v>
      </c>
      <c r="Z177" s="10">
        <v>10</v>
      </c>
      <c r="AA177" s="34">
        <v>30</v>
      </c>
      <c r="AB177" s="10">
        <v>0</v>
      </c>
      <c r="AC177" s="10">
        <v>30</v>
      </c>
      <c r="AD177" s="10" t="s">
        <v>3855</v>
      </c>
      <c r="AE177" s="10"/>
      <c r="AF177" s="10"/>
      <c r="AG177" s="124"/>
      <c r="AH177" s="124"/>
      <c r="AI177" s="124"/>
      <c r="AJ177" s="124"/>
      <c r="AK177" s="124"/>
      <c r="AL177" s="124"/>
      <c r="AM177" s="124"/>
      <c r="AN177" s="124"/>
      <c r="AO177" s="124"/>
      <c r="AP177" s="124" t="s">
        <v>218</v>
      </c>
    </row>
    <row r="178" spans="1:43" ht="108" x14ac:dyDescent="0.25">
      <c r="A178" s="10" t="s">
        <v>156</v>
      </c>
      <c r="B178" s="10" t="s">
        <v>3299</v>
      </c>
      <c r="C178" s="10" t="s">
        <v>3373</v>
      </c>
      <c r="D178" s="10">
        <v>221630000</v>
      </c>
      <c r="E178" s="74" t="s">
        <v>3525</v>
      </c>
      <c r="F178" s="34">
        <v>29158001</v>
      </c>
      <c r="G178" s="34" t="s">
        <v>3526</v>
      </c>
      <c r="H178" s="36">
        <v>1000000000</v>
      </c>
      <c r="I178" s="255">
        <v>2000000000</v>
      </c>
      <c r="J178" s="39">
        <v>2000000000</v>
      </c>
      <c r="K178" s="39"/>
      <c r="L178" s="39">
        <v>179998880</v>
      </c>
      <c r="M178" s="39"/>
      <c r="N178" s="36">
        <f t="shared" si="6"/>
        <v>1000000000</v>
      </c>
      <c r="O178" s="36">
        <f t="shared" si="6"/>
        <v>2179998880</v>
      </c>
      <c r="P178" s="36">
        <f t="shared" si="6"/>
        <v>2000000000</v>
      </c>
      <c r="Q178" s="39">
        <v>2000000000</v>
      </c>
      <c r="R178" s="39">
        <v>60000000</v>
      </c>
      <c r="S178" s="36">
        <f t="shared" si="7"/>
        <v>2060000000</v>
      </c>
      <c r="T178" s="37">
        <v>0</v>
      </c>
      <c r="U178" s="37">
        <v>0</v>
      </c>
      <c r="V178" s="37">
        <v>0</v>
      </c>
      <c r="W178" s="10"/>
      <c r="X178" s="10"/>
      <c r="Y178" s="10"/>
      <c r="Z178" s="10"/>
      <c r="AA178" s="34">
        <v>0</v>
      </c>
      <c r="AB178" s="10"/>
      <c r="AC178" s="10"/>
      <c r="AD178" s="10"/>
      <c r="AE178" s="10"/>
      <c r="AF178" s="10"/>
      <c r="AG178" s="124"/>
      <c r="AH178" s="124"/>
      <c r="AI178" s="124"/>
      <c r="AJ178" s="124"/>
      <c r="AK178" s="124"/>
      <c r="AL178" s="124"/>
      <c r="AM178" s="124"/>
      <c r="AN178" s="124"/>
      <c r="AO178" s="124"/>
      <c r="AP178" s="124"/>
      <c r="AQ178" s="155"/>
    </row>
    <row r="179" spans="1:43" ht="96" x14ac:dyDescent="0.25">
      <c r="A179" s="34"/>
      <c r="B179" s="34"/>
      <c r="C179" s="34"/>
      <c r="D179" s="34"/>
      <c r="E179" s="74"/>
      <c r="F179" s="34"/>
      <c r="G179" s="34"/>
      <c r="H179" s="36"/>
      <c r="I179" s="255"/>
      <c r="J179" s="39"/>
      <c r="K179" s="39"/>
      <c r="L179" s="39"/>
      <c r="M179" s="39"/>
      <c r="N179" s="36">
        <f t="shared" si="6"/>
        <v>0</v>
      </c>
      <c r="O179" s="36">
        <f t="shared" si="6"/>
        <v>0</v>
      </c>
      <c r="P179" s="36">
        <f t="shared" si="6"/>
        <v>0</v>
      </c>
      <c r="Q179" s="39"/>
      <c r="R179" s="39"/>
      <c r="S179" s="36">
        <f t="shared" si="7"/>
        <v>0</v>
      </c>
      <c r="T179" s="37" t="s">
        <v>3856</v>
      </c>
      <c r="U179" s="37" t="s">
        <v>3857</v>
      </c>
      <c r="V179" s="37">
        <v>89</v>
      </c>
      <c r="W179" s="37">
        <v>89</v>
      </c>
      <c r="X179" s="10"/>
      <c r="Y179" s="37">
        <v>14</v>
      </c>
      <c r="Z179" s="10">
        <v>121</v>
      </c>
      <c r="AA179" s="34">
        <v>300</v>
      </c>
      <c r="AB179" s="10">
        <v>148</v>
      </c>
      <c r="AC179" s="10">
        <v>298</v>
      </c>
      <c r="AD179" s="10"/>
      <c r="AE179" s="10"/>
      <c r="AF179" s="10" t="s">
        <v>218</v>
      </c>
      <c r="AG179" s="124" t="s">
        <v>218</v>
      </c>
      <c r="AH179" s="124" t="s">
        <v>218</v>
      </c>
      <c r="AI179" s="124" t="s">
        <v>218</v>
      </c>
      <c r="AJ179" s="124" t="s">
        <v>218</v>
      </c>
      <c r="AK179" s="124" t="s">
        <v>218</v>
      </c>
      <c r="AL179" s="124" t="s">
        <v>218</v>
      </c>
      <c r="AM179" s="124" t="s">
        <v>218</v>
      </c>
      <c r="AN179" s="124" t="s">
        <v>218</v>
      </c>
      <c r="AO179" s="124" t="s">
        <v>218</v>
      </c>
      <c r="AP179" s="124"/>
    </row>
    <row r="180" spans="1:43" ht="36" x14ac:dyDescent="0.25">
      <c r="A180" s="34"/>
      <c r="B180" s="34"/>
      <c r="C180" s="34"/>
      <c r="D180" s="34"/>
      <c r="E180" s="74"/>
      <c r="F180" s="34"/>
      <c r="G180" s="34"/>
      <c r="H180" s="36"/>
      <c r="I180" s="255"/>
      <c r="J180" s="39"/>
      <c r="K180" s="39"/>
      <c r="L180" s="39"/>
      <c r="M180" s="39"/>
      <c r="N180" s="36">
        <f t="shared" si="6"/>
        <v>0</v>
      </c>
      <c r="O180" s="36">
        <f t="shared" si="6"/>
        <v>0</v>
      </c>
      <c r="P180" s="36">
        <f t="shared" si="6"/>
        <v>0</v>
      </c>
      <c r="Q180" s="39"/>
      <c r="R180" s="39"/>
      <c r="S180" s="36">
        <f t="shared" si="7"/>
        <v>0</v>
      </c>
      <c r="T180" s="37" t="s">
        <v>3858</v>
      </c>
      <c r="U180" s="37" t="s">
        <v>3637</v>
      </c>
      <c r="V180" s="160">
        <v>4000</v>
      </c>
      <c r="W180" s="160">
        <v>40000</v>
      </c>
      <c r="X180" s="10"/>
      <c r="Y180" s="160">
        <v>96</v>
      </c>
      <c r="Z180" s="10">
        <v>23395</v>
      </c>
      <c r="AA180" s="34">
        <v>300</v>
      </c>
      <c r="AB180" s="10">
        <v>148</v>
      </c>
      <c r="AC180" s="10">
        <v>298</v>
      </c>
      <c r="AD180" s="10"/>
      <c r="AE180" s="10"/>
      <c r="AF180" s="10" t="s">
        <v>218</v>
      </c>
      <c r="AG180" s="124" t="s">
        <v>218</v>
      </c>
      <c r="AH180" s="124" t="s">
        <v>218</v>
      </c>
      <c r="AI180" s="124" t="s">
        <v>218</v>
      </c>
      <c r="AJ180" s="124" t="s">
        <v>218</v>
      </c>
      <c r="AK180" s="124" t="s">
        <v>218</v>
      </c>
      <c r="AL180" s="124" t="s">
        <v>218</v>
      </c>
      <c r="AM180" s="124" t="s">
        <v>218</v>
      </c>
      <c r="AN180" s="124" t="s">
        <v>218</v>
      </c>
      <c r="AO180" s="124" t="s">
        <v>218</v>
      </c>
      <c r="AP180" s="124"/>
    </row>
    <row r="181" spans="1:43" ht="105" x14ac:dyDescent="0.25">
      <c r="A181" s="34"/>
      <c r="B181" s="34"/>
      <c r="C181" s="34"/>
      <c r="D181" s="34"/>
      <c r="E181" s="74"/>
      <c r="F181" s="34"/>
      <c r="G181" s="34"/>
      <c r="H181" s="36"/>
      <c r="I181" s="255"/>
      <c r="J181" s="39"/>
      <c r="K181" s="39"/>
      <c r="L181" s="39"/>
      <c r="M181" s="39"/>
      <c r="N181" s="36">
        <f t="shared" si="6"/>
        <v>0</v>
      </c>
      <c r="O181" s="36">
        <f t="shared" si="6"/>
        <v>0</v>
      </c>
      <c r="P181" s="36">
        <f t="shared" si="6"/>
        <v>0</v>
      </c>
      <c r="Q181" s="39"/>
      <c r="R181" s="39"/>
      <c r="S181" s="36">
        <f t="shared" si="7"/>
        <v>0</v>
      </c>
      <c r="T181" s="37" t="s">
        <v>3859</v>
      </c>
      <c r="U181" s="37" t="s">
        <v>3860</v>
      </c>
      <c r="V181" s="160">
        <v>150</v>
      </c>
      <c r="W181" s="10">
        <v>150</v>
      </c>
      <c r="X181" s="10"/>
      <c r="Y181" s="10">
        <v>146</v>
      </c>
      <c r="Z181" s="10">
        <v>146</v>
      </c>
      <c r="AA181" s="34">
        <v>240</v>
      </c>
      <c r="AB181" s="10">
        <v>90</v>
      </c>
      <c r="AC181" s="10">
        <v>180</v>
      </c>
      <c r="AD181" s="10" t="s">
        <v>3861</v>
      </c>
      <c r="AE181" s="10"/>
      <c r="AF181" s="10" t="s">
        <v>218</v>
      </c>
      <c r="AG181" s="124" t="s">
        <v>218</v>
      </c>
      <c r="AH181" s="124" t="s">
        <v>218</v>
      </c>
      <c r="AI181" s="124" t="s">
        <v>218</v>
      </c>
      <c r="AJ181" s="124" t="s">
        <v>218</v>
      </c>
      <c r="AK181" s="124" t="s">
        <v>218</v>
      </c>
      <c r="AL181" s="124" t="s">
        <v>218</v>
      </c>
      <c r="AM181" s="124" t="s">
        <v>218</v>
      </c>
      <c r="AN181" s="124" t="s">
        <v>218</v>
      </c>
      <c r="AO181" s="124"/>
      <c r="AP181" s="124"/>
    </row>
    <row r="182" spans="1:43" ht="96" x14ac:dyDescent="0.25">
      <c r="A182" s="10" t="s">
        <v>156</v>
      </c>
      <c r="B182" s="10" t="s">
        <v>3299</v>
      </c>
      <c r="C182" s="10" t="s">
        <v>3373</v>
      </c>
      <c r="D182" s="10">
        <v>221630000</v>
      </c>
      <c r="E182" s="74" t="s">
        <v>3533</v>
      </c>
      <c r="F182" s="34">
        <v>22193001</v>
      </c>
      <c r="G182" s="34" t="s">
        <v>3534</v>
      </c>
      <c r="H182" s="36">
        <v>1350000000</v>
      </c>
      <c r="I182" s="255">
        <v>1350000000</v>
      </c>
      <c r="J182" s="39">
        <v>1350000000</v>
      </c>
      <c r="K182" s="39"/>
      <c r="L182" s="39">
        <v>0</v>
      </c>
      <c r="M182" s="39"/>
      <c r="N182" s="36">
        <f t="shared" si="6"/>
        <v>1350000000</v>
      </c>
      <c r="O182" s="36">
        <f t="shared" si="6"/>
        <v>1350000000</v>
      </c>
      <c r="P182" s="36">
        <f t="shared" si="6"/>
        <v>1350000000</v>
      </c>
      <c r="Q182" s="39">
        <v>1197912677</v>
      </c>
      <c r="R182" s="39">
        <v>0</v>
      </c>
      <c r="S182" s="36">
        <f t="shared" si="7"/>
        <v>1197912677</v>
      </c>
      <c r="T182" s="37">
        <v>0</v>
      </c>
      <c r="U182" s="37">
        <v>0</v>
      </c>
      <c r="V182" s="37">
        <v>0</v>
      </c>
      <c r="W182" s="10"/>
      <c r="X182" s="10"/>
      <c r="Y182" s="10"/>
      <c r="Z182" s="10"/>
      <c r="AA182" s="34">
        <v>0</v>
      </c>
      <c r="AB182" s="10"/>
      <c r="AC182" s="10"/>
      <c r="AD182" s="10"/>
      <c r="AE182" s="10"/>
      <c r="AF182" s="10"/>
      <c r="AG182" s="124"/>
      <c r="AH182" s="124"/>
      <c r="AI182" s="124"/>
      <c r="AJ182" s="124"/>
      <c r="AK182" s="124"/>
      <c r="AL182" s="124"/>
      <c r="AM182" s="124"/>
      <c r="AN182" s="124"/>
      <c r="AO182" s="124"/>
      <c r="AP182" s="124"/>
      <c r="AQ182" s="155"/>
    </row>
    <row r="183" spans="1:43" ht="45" x14ac:dyDescent="0.25">
      <c r="A183" s="34"/>
      <c r="B183" s="34"/>
      <c r="C183" s="34"/>
      <c r="D183" s="34"/>
      <c r="E183" s="74"/>
      <c r="F183" s="34"/>
      <c r="G183" s="34"/>
      <c r="H183" s="36"/>
      <c r="I183" s="255"/>
      <c r="J183" s="39"/>
      <c r="K183" s="39"/>
      <c r="L183" s="39"/>
      <c r="M183" s="39"/>
      <c r="N183" s="36">
        <f t="shared" si="6"/>
        <v>0</v>
      </c>
      <c r="O183" s="36">
        <f t="shared" si="6"/>
        <v>0</v>
      </c>
      <c r="P183" s="36">
        <f t="shared" si="6"/>
        <v>0</v>
      </c>
      <c r="Q183" s="39"/>
      <c r="R183" s="39"/>
      <c r="S183" s="36">
        <f t="shared" si="7"/>
        <v>0</v>
      </c>
      <c r="T183" s="37" t="s">
        <v>3862</v>
      </c>
      <c r="U183" s="37" t="s">
        <v>1463</v>
      </c>
      <c r="V183" s="37">
        <v>1</v>
      </c>
      <c r="W183" s="10">
        <v>1</v>
      </c>
      <c r="X183" s="10"/>
      <c r="Y183" s="10">
        <v>1</v>
      </c>
      <c r="Z183" s="10">
        <v>1</v>
      </c>
      <c r="AA183" s="34">
        <v>30</v>
      </c>
      <c r="AB183" s="10">
        <v>30</v>
      </c>
      <c r="AC183" s="10">
        <v>30</v>
      </c>
      <c r="AD183" s="10" t="s">
        <v>3863</v>
      </c>
      <c r="AE183" s="10"/>
      <c r="AF183" s="10"/>
      <c r="AG183" s="124"/>
      <c r="AH183" s="124"/>
      <c r="AI183" s="124" t="s">
        <v>218</v>
      </c>
      <c r="AJ183" s="124"/>
      <c r="AK183" s="124"/>
      <c r="AL183" s="124"/>
      <c r="AM183" s="124"/>
      <c r="AN183" s="124"/>
      <c r="AO183" s="124"/>
      <c r="AP183" s="124"/>
    </row>
    <row r="184" spans="1:43" ht="75" x14ac:dyDescent="0.25">
      <c r="A184" s="34"/>
      <c r="B184" s="34"/>
      <c r="C184" s="34"/>
      <c r="D184" s="34"/>
      <c r="E184" s="74"/>
      <c r="F184" s="34"/>
      <c r="G184" s="34"/>
      <c r="H184" s="36"/>
      <c r="I184" s="255"/>
      <c r="J184" s="39"/>
      <c r="K184" s="39"/>
      <c r="L184" s="39"/>
      <c r="M184" s="39"/>
      <c r="N184" s="36">
        <f t="shared" si="6"/>
        <v>0</v>
      </c>
      <c r="O184" s="36">
        <f t="shared" si="6"/>
        <v>0</v>
      </c>
      <c r="P184" s="36">
        <f t="shared" si="6"/>
        <v>0</v>
      </c>
      <c r="Q184" s="39"/>
      <c r="R184" s="39"/>
      <c r="S184" s="36">
        <f t="shared" si="7"/>
        <v>0</v>
      </c>
      <c r="T184" s="37" t="s">
        <v>3864</v>
      </c>
      <c r="U184" s="37" t="s">
        <v>3865</v>
      </c>
      <c r="V184" s="37">
        <v>35</v>
      </c>
      <c r="W184" s="10">
        <v>27</v>
      </c>
      <c r="X184" s="10"/>
      <c r="Y184" s="10">
        <v>0</v>
      </c>
      <c r="Z184" s="10">
        <v>27</v>
      </c>
      <c r="AA184" s="34">
        <v>120</v>
      </c>
      <c r="AB184" s="10">
        <v>0</v>
      </c>
      <c r="AC184" s="10">
        <v>120</v>
      </c>
      <c r="AD184" s="10" t="s">
        <v>3866</v>
      </c>
      <c r="AE184" s="10"/>
      <c r="AF184" s="10" t="s">
        <v>218</v>
      </c>
      <c r="AG184" s="124" t="s">
        <v>218</v>
      </c>
      <c r="AH184" s="124" t="s">
        <v>218</v>
      </c>
      <c r="AI184" s="124" t="s">
        <v>218</v>
      </c>
      <c r="AJ184" s="124"/>
      <c r="AK184" s="124"/>
      <c r="AL184" s="124"/>
      <c r="AM184" s="124"/>
      <c r="AN184" s="124"/>
      <c r="AO184" s="124"/>
      <c r="AP184" s="124"/>
    </row>
    <row r="185" spans="1:43" ht="120" x14ac:dyDescent="0.25">
      <c r="A185" s="34"/>
      <c r="B185" s="34"/>
      <c r="C185" s="34"/>
      <c r="D185" s="34"/>
      <c r="E185" s="74"/>
      <c r="F185" s="34"/>
      <c r="G185" s="34"/>
      <c r="H185" s="36"/>
      <c r="I185" s="255"/>
      <c r="J185" s="39"/>
      <c r="K185" s="39"/>
      <c r="L185" s="39"/>
      <c r="M185" s="39"/>
      <c r="N185" s="36">
        <f t="shared" si="6"/>
        <v>0</v>
      </c>
      <c r="O185" s="36">
        <f t="shared" si="6"/>
        <v>0</v>
      </c>
      <c r="P185" s="36">
        <f t="shared" si="6"/>
        <v>0</v>
      </c>
      <c r="Q185" s="39"/>
      <c r="R185" s="39"/>
      <c r="S185" s="36">
        <f t="shared" si="7"/>
        <v>0</v>
      </c>
      <c r="T185" s="37" t="s">
        <v>3867</v>
      </c>
      <c r="U185" s="37" t="s">
        <v>3868</v>
      </c>
      <c r="V185" s="37">
        <v>300</v>
      </c>
      <c r="W185" s="10">
        <v>0</v>
      </c>
      <c r="X185" s="10"/>
      <c r="Y185" s="10">
        <v>0</v>
      </c>
      <c r="Z185" s="18">
        <v>226</v>
      </c>
      <c r="AA185" s="34">
        <v>120</v>
      </c>
      <c r="AB185" s="10">
        <v>0</v>
      </c>
      <c r="AC185" s="10">
        <v>120</v>
      </c>
      <c r="AD185" s="18" t="s">
        <v>3869</v>
      </c>
      <c r="AE185" s="10"/>
      <c r="AF185" s="10"/>
      <c r="AG185" s="124"/>
      <c r="AH185" s="124"/>
      <c r="AI185" s="124"/>
      <c r="AJ185" s="124"/>
      <c r="AK185" s="124" t="s">
        <v>218</v>
      </c>
      <c r="AL185" s="124" t="s">
        <v>218</v>
      </c>
      <c r="AM185" s="124" t="s">
        <v>218</v>
      </c>
      <c r="AN185" s="124" t="s">
        <v>218</v>
      </c>
      <c r="AO185" s="124"/>
      <c r="AP185" s="124"/>
    </row>
    <row r="186" spans="1:43" ht="45" x14ac:dyDescent="0.25">
      <c r="A186" s="34"/>
      <c r="B186" s="34"/>
      <c r="C186" s="34"/>
      <c r="D186" s="34"/>
      <c r="E186" s="74"/>
      <c r="F186" s="34"/>
      <c r="G186" s="34"/>
      <c r="H186" s="36"/>
      <c r="I186" s="255"/>
      <c r="J186" s="39"/>
      <c r="K186" s="39"/>
      <c r="L186" s="39"/>
      <c r="M186" s="39"/>
      <c r="N186" s="36">
        <f t="shared" si="6"/>
        <v>0</v>
      </c>
      <c r="O186" s="36">
        <f t="shared" si="6"/>
        <v>0</v>
      </c>
      <c r="P186" s="36">
        <f t="shared" si="6"/>
        <v>0</v>
      </c>
      <c r="Q186" s="39"/>
      <c r="R186" s="39"/>
      <c r="S186" s="36">
        <f t="shared" si="7"/>
        <v>0</v>
      </c>
      <c r="T186" s="37" t="s">
        <v>3870</v>
      </c>
      <c r="U186" s="37" t="s">
        <v>1463</v>
      </c>
      <c r="V186" s="37">
        <v>1</v>
      </c>
      <c r="W186" s="10">
        <v>0</v>
      </c>
      <c r="X186" s="10"/>
      <c r="Y186" s="10">
        <v>0</v>
      </c>
      <c r="Z186" s="10">
        <v>1</v>
      </c>
      <c r="AA186" s="34">
        <v>30</v>
      </c>
      <c r="AB186" s="10">
        <v>0</v>
      </c>
      <c r="AC186" s="10">
        <v>30</v>
      </c>
      <c r="AD186" s="18" t="s">
        <v>3871</v>
      </c>
      <c r="AE186" s="10"/>
      <c r="AF186" s="10"/>
      <c r="AG186" s="124"/>
      <c r="AH186" s="124"/>
      <c r="AI186" s="124"/>
      <c r="AJ186" s="124"/>
      <c r="AK186" s="124"/>
      <c r="AL186" s="124"/>
      <c r="AM186" s="124"/>
      <c r="AN186" s="124"/>
      <c r="AO186" s="124" t="s">
        <v>218</v>
      </c>
      <c r="AP186" s="124"/>
    </row>
    <row r="187" spans="1:43" ht="84" x14ac:dyDescent="0.25">
      <c r="A187" s="10" t="s">
        <v>156</v>
      </c>
      <c r="B187" s="10" t="s">
        <v>3299</v>
      </c>
      <c r="C187" s="10" t="s">
        <v>3389</v>
      </c>
      <c r="D187" s="10">
        <v>221710007</v>
      </c>
      <c r="E187" s="74" t="s">
        <v>3539</v>
      </c>
      <c r="F187" s="34">
        <v>22073001</v>
      </c>
      <c r="G187" s="34" t="s">
        <v>3540</v>
      </c>
      <c r="H187" s="36">
        <v>3000000000</v>
      </c>
      <c r="I187" s="255">
        <v>5500000000</v>
      </c>
      <c r="J187" s="39">
        <v>6000000000</v>
      </c>
      <c r="K187" s="39"/>
      <c r="L187" s="39"/>
      <c r="M187" s="39"/>
      <c r="N187" s="36">
        <f t="shared" si="6"/>
        <v>3000000000</v>
      </c>
      <c r="O187" s="36">
        <f t="shared" si="6"/>
        <v>5500000000</v>
      </c>
      <c r="P187" s="36">
        <f t="shared" si="6"/>
        <v>6000000000</v>
      </c>
      <c r="Q187" s="39">
        <v>5575000000</v>
      </c>
      <c r="R187" s="39"/>
      <c r="S187" s="36">
        <f t="shared" si="7"/>
        <v>5575000000</v>
      </c>
      <c r="T187" s="37">
        <v>0</v>
      </c>
      <c r="U187" s="37">
        <v>0</v>
      </c>
      <c r="V187" s="37">
        <v>0</v>
      </c>
      <c r="W187" s="10"/>
      <c r="X187" s="10"/>
      <c r="Y187" s="10"/>
      <c r="Z187" s="10"/>
      <c r="AA187" s="34">
        <v>0</v>
      </c>
      <c r="AB187" s="10"/>
      <c r="AC187" s="10"/>
      <c r="AD187" s="10"/>
      <c r="AE187" s="10"/>
      <c r="AF187" s="10"/>
      <c r="AG187" s="124"/>
      <c r="AH187" s="124"/>
      <c r="AI187" s="124"/>
      <c r="AJ187" s="124"/>
      <c r="AK187" s="124"/>
      <c r="AL187" s="124"/>
      <c r="AM187" s="124"/>
      <c r="AN187" s="124"/>
      <c r="AO187" s="124"/>
      <c r="AP187" s="124"/>
      <c r="AQ187" s="155"/>
    </row>
    <row r="188" spans="1:43" ht="48" x14ac:dyDescent="0.25">
      <c r="A188" s="34"/>
      <c r="B188" s="34"/>
      <c r="C188" s="34"/>
      <c r="D188" s="34"/>
      <c r="E188" s="74"/>
      <c r="F188" s="34"/>
      <c r="G188" s="34"/>
      <c r="H188" s="36"/>
      <c r="I188" s="255"/>
      <c r="J188" s="39"/>
      <c r="K188" s="39"/>
      <c r="L188" s="39"/>
      <c r="M188" s="39"/>
      <c r="N188" s="36">
        <f t="shared" si="6"/>
        <v>0</v>
      </c>
      <c r="O188" s="36">
        <f t="shared" si="6"/>
        <v>0</v>
      </c>
      <c r="P188" s="36">
        <f t="shared" si="6"/>
        <v>0</v>
      </c>
      <c r="Q188" s="39"/>
      <c r="R188" s="39"/>
      <c r="S188" s="36">
        <f t="shared" si="7"/>
        <v>0</v>
      </c>
      <c r="T188" s="37" t="s">
        <v>3872</v>
      </c>
      <c r="U188" s="37" t="s">
        <v>3873</v>
      </c>
      <c r="V188" s="37">
        <v>1</v>
      </c>
      <c r="W188" s="10">
        <v>1</v>
      </c>
      <c r="X188" s="10"/>
      <c r="Y188" s="10">
        <v>1</v>
      </c>
      <c r="Z188" s="10">
        <v>1</v>
      </c>
      <c r="AA188" s="34">
        <v>60</v>
      </c>
      <c r="AB188" s="10">
        <v>60</v>
      </c>
      <c r="AC188" s="10">
        <v>60</v>
      </c>
      <c r="AD188" s="10"/>
      <c r="AE188" s="10"/>
      <c r="AF188" s="10"/>
      <c r="AG188" s="124"/>
      <c r="AH188" s="124"/>
      <c r="AI188" s="124"/>
      <c r="AJ188" s="124"/>
      <c r="AK188" s="124"/>
      <c r="AL188" s="124"/>
      <c r="AM188" s="124"/>
      <c r="AN188" s="124" t="s">
        <v>218</v>
      </c>
      <c r="AO188" s="124" t="s">
        <v>218</v>
      </c>
      <c r="AP188" s="124"/>
    </row>
    <row r="189" spans="1:43" ht="36" x14ac:dyDescent="0.25">
      <c r="A189" s="34"/>
      <c r="B189" s="34"/>
      <c r="C189" s="34"/>
      <c r="D189" s="34"/>
      <c r="E189" s="74"/>
      <c r="F189" s="34"/>
      <c r="G189" s="34"/>
      <c r="H189" s="36"/>
      <c r="I189" s="255"/>
      <c r="J189" s="39"/>
      <c r="K189" s="39"/>
      <c r="L189" s="39"/>
      <c r="M189" s="39"/>
      <c r="N189" s="36">
        <f t="shared" si="6"/>
        <v>0</v>
      </c>
      <c r="O189" s="36">
        <f t="shared" si="6"/>
        <v>0</v>
      </c>
      <c r="P189" s="36">
        <f t="shared" si="6"/>
        <v>0</v>
      </c>
      <c r="Q189" s="39"/>
      <c r="R189" s="39"/>
      <c r="S189" s="36">
        <f t="shared" si="7"/>
        <v>0</v>
      </c>
      <c r="T189" s="37" t="s">
        <v>3874</v>
      </c>
      <c r="U189" s="37" t="s">
        <v>3875</v>
      </c>
      <c r="V189" s="37">
        <v>546408</v>
      </c>
      <c r="W189" s="10">
        <v>546408</v>
      </c>
      <c r="X189" s="10"/>
      <c r="Y189" s="10">
        <v>521671</v>
      </c>
      <c r="Z189" s="10">
        <v>491329</v>
      </c>
      <c r="AA189" s="34">
        <v>200</v>
      </c>
      <c r="AB189" s="10">
        <v>100</v>
      </c>
      <c r="AC189" s="10">
        <v>235</v>
      </c>
      <c r="AD189" s="10"/>
      <c r="AE189" s="10"/>
      <c r="AF189" s="10" t="s">
        <v>218</v>
      </c>
      <c r="AG189" s="124" t="s">
        <v>218</v>
      </c>
      <c r="AH189" s="124" t="s">
        <v>218</v>
      </c>
      <c r="AI189" s="124" t="s">
        <v>218</v>
      </c>
      <c r="AJ189" s="124" t="s">
        <v>218</v>
      </c>
      <c r="AK189" s="124" t="s">
        <v>218</v>
      </c>
      <c r="AL189" s="124" t="s">
        <v>218</v>
      </c>
      <c r="AM189" s="124" t="s">
        <v>218</v>
      </c>
      <c r="AN189" s="124" t="s">
        <v>218</v>
      </c>
      <c r="AO189" s="124" t="s">
        <v>218</v>
      </c>
      <c r="AP189" s="124"/>
    </row>
    <row r="190" spans="1:43" ht="36" x14ac:dyDescent="0.25">
      <c r="A190" s="34"/>
      <c r="B190" s="34"/>
      <c r="C190" s="34"/>
      <c r="D190" s="34"/>
      <c r="E190" s="74"/>
      <c r="F190" s="34"/>
      <c r="G190" s="34"/>
      <c r="H190" s="36"/>
      <c r="I190" s="255"/>
      <c r="J190" s="39"/>
      <c r="K190" s="39"/>
      <c r="L190" s="39"/>
      <c r="M190" s="39"/>
      <c r="N190" s="36">
        <f t="shared" si="6"/>
        <v>0</v>
      </c>
      <c r="O190" s="36">
        <f t="shared" si="6"/>
        <v>0</v>
      </c>
      <c r="P190" s="36">
        <f t="shared" si="6"/>
        <v>0</v>
      </c>
      <c r="Q190" s="39"/>
      <c r="R190" s="39"/>
      <c r="S190" s="36">
        <f t="shared" si="7"/>
        <v>0</v>
      </c>
      <c r="T190" s="37" t="s">
        <v>3876</v>
      </c>
      <c r="U190" s="37" t="s">
        <v>3877</v>
      </c>
      <c r="V190" s="37">
        <v>100</v>
      </c>
      <c r="W190" s="10">
        <v>100</v>
      </c>
      <c r="X190" s="10"/>
      <c r="Y190" s="10">
        <v>110</v>
      </c>
      <c r="Z190" s="10">
        <v>110</v>
      </c>
      <c r="AA190" s="34">
        <v>200</v>
      </c>
      <c r="AB190" s="10">
        <v>100</v>
      </c>
      <c r="AC190" s="10">
        <v>200</v>
      </c>
      <c r="AD190" s="10"/>
      <c r="AE190" s="10"/>
      <c r="AF190" s="10"/>
      <c r="AG190" s="124"/>
      <c r="AH190" s="124" t="s">
        <v>218</v>
      </c>
      <c r="AI190" s="124" t="s">
        <v>218</v>
      </c>
      <c r="AJ190" s="124" t="s">
        <v>218</v>
      </c>
      <c r="AK190" s="124" t="s">
        <v>218</v>
      </c>
      <c r="AL190" s="124" t="s">
        <v>218</v>
      </c>
      <c r="AM190" s="124" t="s">
        <v>218</v>
      </c>
      <c r="AN190" s="124" t="s">
        <v>218</v>
      </c>
      <c r="AO190" s="124" t="s">
        <v>218</v>
      </c>
      <c r="AP190" s="124"/>
    </row>
    <row r="191" spans="1:43" ht="36" x14ac:dyDescent="0.25">
      <c r="A191" s="34"/>
      <c r="B191" s="34"/>
      <c r="C191" s="34"/>
      <c r="D191" s="34"/>
      <c r="E191" s="74"/>
      <c r="F191" s="34"/>
      <c r="G191" s="34"/>
      <c r="H191" s="36"/>
      <c r="I191" s="255"/>
      <c r="J191" s="39"/>
      <c r="K191" s="39"/>
      <c r="L191" s="39"/>
      <c r="M191" s="39"/>
      <c r="N191" s="36">
        <f t="shared" si="6"/>
        <v>0</v>
      </c>
      <c r="O191" s="36">
        <f t="shared" si="6"/>
        <v>0</v>
      </c>
      <c r="P191" s="36">
        <f t="shared" si="6"/>
        <v>0</v>
      </c>
      <c r="Q191" s="39"/>
      <c r="R191" s="39"/>
      <c r="S191" s="36">
        <f t="shared" si="7"/>
        <v>0</v>
      </c>
      <c r="T191" s="37" t="s">
        <v>3878</v>
      </c>
      <c r="U191" s="37" t="s">
        <v>3879</v>
      </c>
      <c r="V191" s="37">
        <v>28000</v>
      </c>
      <c r="W191" s="10">
        <v>28000</v>
      </c>
      <c r="X191" s="10"/>
      <c r="Y191" s="10">
        <v>30500</v>
      </c>
      <c r="Z191" s="10">
        <v>30407</v>
      </c>
      <c r="AA191" s="34">
        <v>200</v>
      </c>
      <c r="AB191" s="10">
        <v>90</v>
      </c>
      <c r="AC191" s="10">
        <v>180</v>
      </c>
      <c r="AD191" s="10"/>
      <c r="AE191" s="10"/>
      <c r="AF191" s="10"/>
      <c r="AG191" s="124"/>
      <c r="AH191" s="124" t="s">
        <v>218</v>
      </c>
      <c r="AI191" s="124" t="s">
        <v>218</v>
      </c>
      <c r="AJ191" s="124" t="s">
        <v>218</v>
      </c>
      <c r="AK191" s="124" t="s">
        <v>218</v>
      </c>
      <c r="AL191" s="124" t="s">
        <v>218</v>
      </c>
      <c r="AM191" s="124" t="s">
        <v>218</v>
      </c>
      <c r="AN191" s="124" t="s">
        <v>218</v>
      </c>
      <c r="AO191" s="124" t="s">
        <v>218</v>
      </c>
      <c r="AP191" s="124"/>
    </row>
    <row r="192" spans="1:43" x14ac:dyDescent="0.25">
      <c r="A192" s="34"/>
      <c r="B192" s="34"/>
      <c r="C192" s="34"/>
      <c r="D192" s="34"/>
      <c r="E192" s="74"/>
      <c r="F192" s="34"/>
      <c r="G192" s="34"/>
      <c r="H192" s="36"/>
      <c r="I192" s="255"/>
      <c r="J192" s="39"/>
      <c r="K192" s="39"/>
      <c r="L192" s="39"/>
      <c r="M192" s="39"/>
      <c r="N192" s="36">
        <f t="shared" si="6"/>
        <v>0</v>
      </c>
      <c r="O192" s="36">
        <f t="shared" si="6"/>
        <v>0</v>
      </c>
      <c r="P192" s="36">
        <f t="shared" si="6"/>
        <v>0</v>
      </c>
      <c r="Q192" s="39"/>
      <c r="R192" s="39"/>
      <c r="S192" s="36">
        <f t="shared" si="7"/>
        <v>0</v>
      </c>
      <c r="T192" s="37">
        <v>0</v>
      </c>
      <c r="U192" s="37">
        <v>0</v>
      </c>
      <c r="V192" s="37">
        <v>0</v>
      </c>
      <c r="W192" s="10"/>
      <c r="X192" s="10"/>
      <c r="Y192" s="10"/>
      <c r="Z192" s="10"/>
      <c r="AA192" s="34">
        <v>0</v>
      </c>
      <c r="AB192" s="10"/>
      <c r="AC192" s="10"/>
      <c r="AD192" s="10"/>
      <c r="AE192" s="10"/>
      <c r="AF192" s="10"/>
      <c r="AG192" s="124"/>
      <c r="AH192" s="124"/>
      <c r="AI192" s="124"/>
      <c r="AJ192" s="124"/>
      <c r="AK192" s="124"/>
      <c r="AL192" s="124"/>
      <c r="AM192" s="124"/>
      <c r="AN192" s="124"/>
      <c r="AO192" s="124"/>
      <c r="AP192" s="124"/>
    </row>
    <row r="193" spans="1:43" ht="96" x14ac:dyDescent="0.25">
      <c r="A193" s="10" t="s">
        <v>156</v>
      </c>
      <c r="B193" s="10" t="s">
        <v>982</v>
      </c>
      <c r="C193" s="10" t="s">
        <v>3409</v>
      </c>
      <c r="D193" s="10">
        <v>222920000</v>
      </c>
      <c r="E193" s="74" t="s">
        <v>3544</v>
      </c>
      <c r="F193" s="34">
        <v>22162001</v>
      </c>
      <c r="G193" s="34" t="s">
        <v>3545</v>
      </c>
      <c r="H193" s="36">
        <v>1300000000</v>
      </c>
      <c r="I193" s="255">
        <v>2673157500</v>
      </c>
      <c r="J193" s="39">
        <v>2673157500</v>
      </c>
      <c r="K193" s="39"/>
      <c r="L193" s="39"/>
      <c r="M193" s="39"/>
      <c r="N193" s="36">
        <f t="shared" si="6"/>
        <v>1300000000</v>
      </c>
      <c r="O193" s="36">
        <f t="shared" si="6"/>
        <v>2673157500</v>
      </c>
      <c r="P193" s="36">
        <f t="shared" si="6"/>
        <v>2673157500</v>
      </c>
      <c r="Q193" s="39">
        <v>2667040000</v>
      </c>
      <c r="R193" s="39"/>
      <c r="S193" s="36">
        <f t="shared" si="7"/>
        <v>2667040000</v>
      </c>
      <c r="T193" s="37">
        <v>0</v>
      </c>
      <c r="U193" s="37">
        <v>0</v>
      </c>
      <c r="V193" s="37">
        <v>0</v>
      </c>
      <c r="W193" s="10"/>
      <c r="X193" s="10"/>
      <c r="Y193" s="10"/>
      <c r="Z193" s="10"/>
      <c r="AA193" s="34">
        <v>0</v>
      </c>
      <c r="AB193" s="10"/>
      <c r="AC193" s="10"/>
      <c r="AD193" s="10"/>
      <c r="AE193" s="10"/>
      <c r="AF193" s="10"/>
      <c r="AG193" s="124"/>
      <c r="AH193" s="124"/>
      <c r="AI193" s="124"/>
      <c r="AJ193" s="124"/>
      <c r="AK193" s="124"/>
      <c r="AL193" s="124"/>
      <c r="AM193" s="124"/>
      <c r="AN193" s="124"/>
      <c r="AO193" s="124"/>
      <c r="AP193" s="124"/>
      <c r="AQ193" s="155"/>
    </row>
    <row r="194" spans="1:43" ht="60" x14ac:dyDescent="0.25">
      <c r="A194" s="34"/>
      <c r="B194" s="34"/>
      <c r="C194" s="34"/>
      <c r="D194" s="34"/>
      <c r="E194" s="74"/>
      <c r="F194" s="34"/>
      <c r="G194" s="34"/>
      <c r="H194" s="36"/>
      <c r="I194" s="255"/>
      <c r="J194" s="39"/>
      <c r="K194" s="39"/>
      <c r="L194" s="39"/>
      <c r="M194" s="39"/>
      <c r="N194" s="36">
        <f t="shared" si="6"/>
        <v>0</v>
      </c>
      <c r="O194" s="36">
        <f t="shared" si="6"/>
        <v>0</v>
      </c>
      <c r="P194" s="36">
        <f t="shared" si="6"/>
        <v>0</v>
      </c>
      <c r="Q194" s="39"/>
      <c r="R194" s="39"/>
      <c r="S194" s="36">
        <f t="shared" si="7"/>
        <v>0</v>
      </c>
      <c r="T194" s="37" t="s">
        <v>3880</v>
      </c>
      <c r="U194" s="37" t="s">
        <v>3776</v>
      </c>
      <c r="V194" s="37">
        <v>300</v>
      </c>
      <c r="W194" s="10">
        <v>300</v>
      </c>
      <c r="X194" s="10"/>
      <c r="Y194" s="49">
        <v>269</v>
      </c>
      <c r="Z194" s="10">
        <v>294</v>
      </c>
      <c r="AA194" s="34">
        <v>240</v>
      </c>
      <c r="AB194" s="10">
        <v>60</v>
      </c>
      <c r="AC194" s="10">
        <v>240</v>
      </c>
      <c r="AD194" s="10"/>
      <c r="AE194" s="10"/>
      <c r="AF194" s="10"/>
      <c r="AG194" s="124"/>
      <c r="AH194" s="124"/>
      <c r="AI194" s="124" t="s">
        <v>218</v>
      </c>
      <c r="AJ194" s="124" t="s">
        <v>218</v>
      </c>
      <c r="AK194" s="124" t="s">
        <v>218</v>
      </c>
      <c r="AL194" s="124" t="s">
        <v>218</v>
      </c>
      <c r="AM194" s="124" t="s">
        <v>218</v>
      </c>
      <c r="AN194" s="124" t="s">
        <v>218</v>
      </c>
      <c r="AO194" s="124" t="s">
        <v>218</v>
      </c>
      <c r="AP194" s="124"/>
    </row>
    <row r="195" spans="1:43" ht="72" x14ac:dyDescent="0.25">
      <c r="A195" s="34"/>
      <c r="B195" s="34"/>
      <c r="C195" s="34"/>
      <c r="D195" s="34"/>
      <c r="E195" s="74"/>
      <c r="F195" s="34"/>
      <c r="G195" s="34"/>
      <c r="H195" s="36"/>
      <c r="I195" s="255"/>
      <c r="J195" s="39"/>
      <c r="K195" s="39"/>
      <c r="L195" s="39"/>
      <c r="M195" s="39"/>
      <c r="N195" s="36">
        <f t="shared" ref="N195:P206" si="8">H195+K195</f>
        <v>0</v>
      </c>
      <c r="O195" s="36">
        <f t="shared" si="8"/>
        <v>0</v>
      </c>
      <c r="P195" s="36">
        <f t="shared" si="8"/>
        <v>0</v>
      </c>
      <c r="Q195" s="39"/>
      <c r="R195" s="39"/>
      <c r="S195" s="36">
        <f t="shared" si="7"/>
        <v>0</v>
      </c>
      <c r="T195" s="37" t="s">
        <v>3881</v>
      </c>
      <c r="U195" s="37" t="s">
        <v>3882</v>
      </c>
      <c r="V195" s="37">
        <v>676</v>
      </c>
      <c r="W195" s="10">
        <v>676</v>
      </c>
      <c r="X195" s="10"/>
      <c r="Y195" s="49">
        <v>0</v>
      </c>
      <c r="Z195" s="10">
        <v>180</v>
      </c>
      <c r="AA195" s="34">
        <v>240</v>
      </c>
      <c r="AB195" s="10">
        <v>148</v>
      </c>
      <c r="AC195" s="10">
        <v>240</v>
      </c>
      <c r="AD195" s="10"/>
      <c r="AE195" s="10"/>
      <c r="AF195" s="10" t="s">
        <v>218</v>
      </c>
      <c r="AG195" s="124" t="s">
        <v>218</v>
      </c>
      <c r="AH195" s="124" t="s">
        <v>218</v>
      </c>
      <c r="AI195" s="124" t="s">
        <v>218</v>
      </c>
      <c r="AJ195" s="124" t="s">
        <v>218</v>
      </c>
      <c r="AK195" s="124" t="s">
        <v>218</v>
      </c>
      <c r="AL195" s="124" t="s">
        <v>218</v>
      </c>
      <c r="AM195" s="124" t="s">
        <v>218</v>
      </c>
      <c r="AN195" s="124" t="s">
        <v>218</v>
      </c>
      <c r="AO195" s="124" t="s">
        <v>218</v>
      </c>
      <c r="AP195" s="124"/>
    </row>
    <row r="196" spans="1:43" ht="180" x14ac:dyDescent="0.25">
      <c r="A196" s="34"/>
      <c r="B196" s="34"/>
      <c r="C196" s="34"/>
      <c r="D196" s="34"/>
      <c r="E196" s="74"/>
      <c r="F196" s="34"/>
      <c r="G196" s="34"/>
      <c r="H196" s="36"/>
      <c r="I196" s="255"/>
      <c r="J196" s="39"/>
      <c r="K196" s="39"/>
      <c r="L196" s="39"/>
      <c r="M196" s="39"/>
      <c r="N196" s="36">
        <f t="shared" si="8"/>
        <v>0</v>
      </c>
      <c r="O196" s="36">
        <f t="shared" si="8"/>
        <v>0</v>
      </c>
      <c r="P196" s="36">
        <f t="shared" si="8"/>
        <v>0</v>
      </c>
      <c r="Q196" s="39"/>
      <c r="R196" s="39"/>
      <c r="S196" s="36">
        <f t="shared" si="7"/>
        <v>0</v>
      </c>
      <c r="T196" s="37" t="s">
        <v>3883</v>
      </c>
      <c r="U196" s="37" t="s">
        <v>3884</v>
      </c>
      <c r="V196" s="37">
        <v>100</v>
      </c>
      <c r="W196" s="10">
        <v>2749</v>
      </c>
      <c r="X196" s="10"/>
      <c r="Y196" s="49">
        <v>2749</v>
      </c>
      <c r="Z196" s="10">
        <v>2749</v>
      </c>
      <c r="AA196" s="34">
        <v>240</v>
      </c>
      <c r="AB196" s="10">
        <v>60</v>
      </c>
      <c r="AC196" s="10">
        <v>240</v>
      </c>
      <c r="AD196" s="10" t="s">
        <v>3885</v>
      </c>
      <c r="AE196" s="10"/>
      <c r="AF196" s="10"/>
      <c r="AG196" s="124"/>
      <c r="AH196" s="124"/>
      <c r="AI196" s="124" t="s">
        <v>218</v>
      </c>
      <c r="AJ196" s="124" t="s">
        <v>218</v>
      </c>
      <c r="AK196" s="124" t="s">
        <v>218</v>
      </c>
      <c r="AL196" s="124" t="s">
        <v>218</v>
      </c>
      <c r="AM196" s="124" t="s">
        <v>218</v>
      </c>
      <c r="AN196" s="124" t="s">
        <v>218</v>
      </c>
      <c r="AO196" s="124" t="s">
        <v>218</v>
      </c>
      <c r="AP196" s="124"/>
    </row>
    <row r="197" spans="1:43" ht="48" x14ac:dyDescent="0.25">
      <c r="A197" s="34"/>
      <c r="B197" s="34"/>
      <c r="C197" s="34"/>
      <c r="D197" s="34"/>
      <c r="E197" s="74"/>
      <c r="F197" s="34"/>
      <c r="G197" s="34"/>
      <c r="H197" s="36"/>
      <c r="I197" s="255"/>
      <c r="J197" s="39"/>
      <c r="K197" s="39"/>
      <c r="L197" s="39"/>
      <c r="M197" s="39"/>
      <c r="N197" s="36">
        <f t="shared" si="8"/>
        <v>0</v>
      </c>
      <c r="O197" s="36">
        <f t="shared" si="8"/>
        <v>0</v>
      </c>
      <c r="P197" s="36">
        <f t="shared" si="8"/>
        <v>0</v>
      </c>
      <c r="Q197" s="39"/>
      <c r="R197" s="39"/>
      <c r="S197" s="36">
        <f t="shared" si="7"/>
        <v>0</v>
      </c>
      <c r="T197" s="37" t="s">
        <v>3886</v>
      </c>
      <c r="U197" s="37" t="s">
        <v>3887</v>
      </c>
      <c r="V197" s="37">
        <v>300</v>
      </c>
      <c r="W197" s="10">
        <v>359</v>
      </c>
      <c r="X197" s="10"/>
      <c r="Y197" s="49">
        <v>359</v>
      </c>
      <c r="Z197" s="10">
        <v>2344</v>
      </c>
      <c r="AA197" s="34">
        <v>300</v>
      </c>
      <c r="AB197" s="10">
        <v>148</v>
      </c>
      <c r="AC197" s="10">
        <v>298</v>
      </c>
      <c r="AD197" s="10"/>
      <c r="AE197" s="10"/>
      <c r="AF197" s="10" t="s">
        <v>218</v>
      </c>
      <c r="AG197" s="124" t="s">
        <v>218</v>
      </c>
      <c r="AH197" s="124" t="s">
        <v>218</v>
      </c>
      <c r="AI197" s="124" t="s">
        <v>218</v>
      </c>
      <c r="AJ197" s="124" t="s">
        <v>218</v>
      </c>
      <c r="AK197" s="124" t="s">
        <v>218</v>
      </c>
      <c r="AL197" s="124" t="s">
        <v>218</v>
      </c>
      <c r="AM197" s="124" t="s">
        <v>218</v>
      </c>
      <c r="AN197" s="124" t="s">
        <v>218</v>
      </c>
      <c r="AO197" s="124" t="s">
        <v>218</v>
      </c>
      <c r="AP197" s="124"/>
    </row>
    <row r="198" spans="1:43" ht="36" x14ac:dyDescent="0.25">
      <c r="A198" s="34"/>
      <c r="B198" s="34"/>
      <c r="C198" s="34"/>
      <c r="D198" s="34"/>
      <c r="E198" s="74"/>
      <c r="F198" s="34"/>
      <c r="G198" s="34"/>
      <c r="H198" s="36"/>
      <c r="I198" s="255"/>
      <c r="J198" s="39"/>
      <c r="K198" s="39"/>
      <c r="L198" s="39"/>
      <c r="M198" s="39"/>
      <c r="N198" s="36">
        <f t="shared" si="8"/>
        <v>0</v>
      </c>
      <c r="O198" s="36">
        <f t="shared" si="8"/>
        <v>0</v>
      </c>
      <c r="P198" s="36">
        <f t="shared" si="8"/>
        <v>0</v>
      </c>
      <c r="Q198" s="39"/>
      <c r="R198" s="39"/>
      <c r="S198" s="36">
        <f t="shared" si="7"/>
        <v>0</v>
      </c>
      <c r="T198" s="37" t="s">
        <v>3888</v>
      </c>
      <c r="U198" s="37" t="s">
        <v>3887</v>
      </c>
      <c r="V198" s="37">
        <v>300</v>
      </c>
      <c r="W198" s="10">
        <v>300</v>
      </c>
      <c r="X198" s="10"/>
      <c r="Y198" s="49">
        <v>233</v>
      </c>
      <c r="Z198" s="10">
        <v>16398</v>
      </c>
      <c r="AA198" s="34">
        <v>240</v>
      </c>
      <c r="AB198" s="10">
        <v>60</v>
      </c>
      <c r="AC198" s="10">
        <v>240</v>
      </c>
      <c r="AD198" s="10"/>
      <c r="AE198" s="10"/>
      <c r="AF198" s="10"/>
      <c r="AG198" s="124"/>
      <c r="AH198" s="124"/>
      <c r="AI198" s="124" t="s">
        <v>218</v>
      </c>
      <c r="AJ198" s="124" t="s">
        <v>218</v>
      </c>
      <c r="AK198" s="124" t="s">
        <v>218</v>
      </c>
      <c r="AL198" s="124" t="s">
        <v>218</v>
      </c>
      <c r="AM198" s="124" t="s">
        <v>218</v>
      </c>
      <c r="AN198" s="124" t="s">
        <v>218</v>
      </c>
      <c r="AO198" s="124" t="s">
        <v>218</v>
      </c>
      <c r="AP198" s="124"/>
    </row>
    <row r="199" spans="1:43" ht="60" x14ac:dyDescent="0.25">
      <c r="A199" s="34"/>
      <c r="B199" s="34"/>
      <c r="C199" s="34"/>
      <c r="D199" s="34"/>
      <c r="E199" s="74"/>
      <c r="F199" s="34"/>
      <c r="G199" s="34"/>
      <c r="H199" s="36"/>
      <c r="I199" s="255"/>
      <c r="J199" s="39"/>
      <c r="K199" s="39"/>
      <c r="L199" s="39"/>
      <c r="M199" s="39"/>
      <c r="N199" s="36">
        <f t="shared" si="8"/>
        <v>0</v>
      </c>
      <c r="O199" s="36">
        <f t="shared" si="8"/>
        <v>0</v>
      </c>
      <c r="P199" s="36">
        <f t="shared" si="8"/>
        <v>0</v>
      </c>
      <c r="Q199" s="39"/>
      <c r="R199" s="39"/>
      <c r="S199" s="36">
        <f t="shared" si="7"/>
        <v>0</v>
      </c>
      <c r="T199" s="37" t="s">
        <v>3889</v>
      </c>
      <c r="U199" s="37" t="s">
        <v>3887</v>
      </c>
      <c r="V199" s="37">
        <v>5000</v>
      </c>
      <c r="W199" s="10">
        <v>5000</v>
      </c>
      <c r="X199" s="10"/>
      <c r="Y199" s="10">
        <v>0</v>
      </c>
      <c r="Z199" s="10">
        <v>2000</v>
      </c>
      <c r="AA199" s="34">
        <v>240</v>
      </c>
      <c r="AB199" s="10">
        <v>60</v>
      </c>
      <c r="AC199" s="10">
        <v>240</v>
      </c>
      <c r="AD199" s="10"/>
      <c r="AE199" s="10"/>
      <c r="AF199" s="10"/>
      <c r="AG199" s="124"/>
      <c r="AH199" s="124"/>
      <c r="AI199" s="124" t="s">
        <v>218</v>
      </c>
      <c r="AJ199" s="124" t="s">
        <v>218</v>
      </c>
      <c r="AK199" s="124" t="s">
        <v>218</v>
      </c>
      <c r="AL199" s="124" t="s">
        <v>218</v>
      </c>
      <c r="AM199" s="124" t="s">
        <v>218</v>
      </c>
      <c r="AN199" s="124" t="s">
        <v>218</v>
      </c>
      <c r="AO199" s="124" t="s">
        <v>218</v>
      </c>
      <c r="AP199" s="124"/>
    </row>
    <row r="200" spans="1:43" ht="96" x14ac:dyDescent="0.25">
      <c r="A200" s="10" t="s">
        <v>156</v>
      </c>
      <c r="B200" s="10" t="s">
        <v>3299</v>
      </c>
      <c r="C200" s="10" t="s">
        <v>3300</v>
      </c>
      <c r="D200" s="10">
        <v>221130008</v>
      </c>
      <c r="E200" s="74" t="s">
        <v>3560</v>
      </c>
      <c r="F200" s="34">
        <v>22282001</v>
      </c>
      <c r="G200" s="34" t="s">
        <v>3561</v>
      </c>
      <c r="H200" s="36">
        <v>23935354000</v>
      </c>
      <c r="I200" s="255">
        <v>23935354000</v>
      </c>
      <c r="J200" s="39">
        <v>23935354000</v>
      </c>
      <c r="K200" s="39"/>
      <c r="L200" s="39"/>
      <c r="M200" s="39"/>
      <c r="N200" s="36">
        <f t="shared" si="8"/>
        <v>23935354000</v>
      </c>
      <c r="O200" s="36">
        <f t="shared" si="8"/>
        <v>23935354000</v>
      </c>
      <c r="P200" s="36">
        <f t="shared" si="8"/>
        <v>23935354000</v>
      </c>
      <c r="Q200" s="39">
        <v>23935354000</v>
      </c>
      <c r="R200" s="39"/>
      <c r="S200" s="36">
        <f t="shared" si="7"/>
        <v>23935354000</v>
      </c>
      <c r="T200" s="37">
        <v>0</v>
      </c>
      <c r="U200" s="37">
        <v>0</v>
      </c>
      <c r="V200" s="37">
        <v>0</v>
      </c>
      <c r="W200" s="10"/>
      <c r="X200" s="10"/>
      <c r="Y200" s="10"/>
      <c r="Z200" s="10"/>
      <c r="AA200" s="34">
        <v>0</v>
      </c>
      <c r="AB200" s="10"/>
      <c r="AC200" s="10"/>
      <c r="AD200" s="10"/>
      <c r="AE200" s="10"/>
      <c r="AF200" s="10"/>
      <c r="AG200" s="124"/>
      <c r="AH200" s="124"/>
      <c r="AI200" s="124"/>
      <c r="AJ200" s="124"/>
      <c r="AK200" s="124"/>
      <c r="AL200" s="124"/>
      <c r="AM200" s="124"/>
      <c r="AN200" s="124"/>
      <c r="AO200" s="124"/>
      <c r="AP200" s="124"/>
      <c r="AQ200" s="155"/>
    </row>
    <row r="201" spans="1:43" ht="90" x14ac:dyDescent="0.25">
      <c r="A201" s="34"/>
      <c r="B201" s="34"/>
      <c r="C201" s="34"/>
      <c r="D201" s="34"/>
      <c r="E201" s="74"/>
      <c r="F201" s="34"/>
      <c r="G201" s="34"/>
      <c r="H201" s="36"/>
      <c r="I201" s="255"/>
      <c r="J201" s="39"/>
      <c r="K201" s="39"/>
      <c r="L201" s="39"/>
      <c r="M201" s="39"/>
      <c r="N201" s="36">
        <f t="shared" si="8"/>
        <v>0</v>
      </c>
      <c r="O201" s="36">
        <f t="shared" si="8"/>
        <v>0</v>
      </c>
      <c r="P201" s="36">
        <f t="shared" si="8"/>
        <v>0</v>
      </c>
      <c r="Q201" s="39"/>
      <c r="R201" s="39"/>
      <c r="S201" s="36">
        <f t="shared" ref="S201:S206" si="9">Q201+R201</f>
        <v>0</v>
      </c>
      <c r="T201" s="37" t="s">
        <v>3890</v>
      </c>
      <c r="U201" s="37" t="s">
        <v>3820</v>
      </c>
      <c r="V201" s="37">
        <v>12</v>
      </c>
      <c r="W201" s="10">
        <v>12</v>
      </c>
      <c r="X201" s="10"/>
      <c r="Y201" s="10">
        <v>6</v>
      </c>
      <c r="Z201" s="10">
        <v>12</v>
      </c>
      <c r="AA201" s="34">
        <v>360</v>
      </c>
      <c r="AB201" s="10">
        <v>180</v>
      </c>
      <c r="AC201" s="10">
        <v>360</v>
      </c>
      <c r="AD201" s="10" t="s">
        <v>3754</v>
      </c>
      <c r="AE201" s="10" t="s">
        <v>218</v>
      </c>
      <c r="AF201" s="10" t="s">
        <v>218</v>
      </c>
      <c r="AG201" s="124" t="s">
        <v>218</v>
      </c>
      <c r="AH201" s="124" t="s">
        <v>218</v>
      </c>
      <c r="AI201" s="124" t="s">
        <v>218</v>
      </c>
      <c r="AJ201" s="124" t="s">
        <v>218</v>
      </c>
      <c r="AK201" s="124" t="s">
        <v>218</v>
      </c>
      <c r="AL201" s="124" t="s">
        <v>218</v>
      </c>
      <c r="AM201" s="124" t="s">
        <v>218</v>
      </c>
      <c r="AN201" s="124" t="s">
        <v>218</v>
      </c>
      <c r="AO201" s="124" t="s">
        <v>218</v>
      </c>
      <c r="AP201" s="124" t="s">
        <v>218</v>
      </c>
    </row>
    <row r="202" spans="1:43" ht="132" x14ac:dyDescent="0.25">
      <c r="A202" s="10" t="s">
        <v>55</v>
      </c>
      <c r="B202" s="10" t="s">
        <v>332</v>
      </c>
      <c r="C202" s="10" t="s">
        <v>3019</v>
      </c>
      <c r="D202" s="10">
        <v>243220000</v>
      </c>
      <c r="E202" s="74" t="s">
        <v>3564</v>
      </c>
      <c r="F202" s="34">
        <v>22203001</v>
      </c>
      <c r="G202" s="34" t="s">
        <v>3565</v>
      </c>
      <c r="H202" s="36">
        <v>200000000</v>
      </c>
      <c r="I202" s="255">
        <v>200000000</v>
      </c>
      <c r="J202" s="39">
        <v>200000000</v>
      </c>
      <c r="K202" s="39"/>
      <c r="L202" s="39"/>
      <c r="M202" s="39"/>
      <c r="N202" s="36">
        <f t="shared" si="8"/>
        <v>200000000</v>
      </c>
      <c r="O202" s="36">
        <f t="shared" si="8"/>
        <v>200000000</v>
      </c>
      <c r="P202" s="36">
        <f t="shared" si="8"/>
        <v>200000000</v>
      </c>
      <c r="Q202" s="39">
        <v>200000000</v>
      </c>
      <c r="R202" s="39"/>
      <c r="S202" s="36">
        <f t="shared" si="9"/>
        <v>200000000</v>
      </c>
      <c r="T202" s="37">
        <v>0</v>
      </c>
      <c r="U202" s="37">
        <v>0</v>
      </c>
      <c r="V202" s="37">
        <v>0</v>
      </c>
      <c r="W202" s="10"/>
      <c r="X202" s="10"/>
      <c r="Y202" s="10"/>
      <c r="Z202" s="10"/>
      <c r="AA202" s="34">
        <v>0</v>
      </c>
      <c r="AB202" s="10"/>
      <c r="AC202" s="10"/>
      <c r="AD202" s="10"/>
      <c r="AE202" s="10"/>
      <c r="AF202" s="10"/>
      <c r="AG202" s="124"/>
      <c r="AH202" s="124"/>
      <c r="AI202" s="124"/>
      <c r="AJ202" s="124"/>
      <c r="AK202" s="124"/>
      <c r="AL202" s="124"/>
      <c r="AM202" s="124"/>
      <c r="AN202" s="124"/>
      <c r="AO202" s="124"/>
      <c r="AP202" s="124"/>
      <c r="AQ202" s="155"/>
    </row>
    <row r="203" spans="1:43" ht="72" x14ac:dyDescent="0.25">
      <c r="A203" s="34"/>
      <c r="B203" s="34"/>
      <c r="C203" s="34"/>
      <c r="D203" s="34"/>
      <c r="E203" s="74"/>
      <c r="F203" s="34"/>
      <c r="G203" s="34"/>
      <c r="H203" s="36"/>
      <c r="I203" s="255"/>
      <c r="J203" s="39"/>
      <c r="K203" s="39"/>
      <c r="L203" s="39"/>
      <c r="M203" s="39"/>
      <c r="N203" s="36">
        <f t="shared" si="8"/>
        <v>0</v>
      </c>
      <c r="O203" s="36">
        <f t="shared" si="8"/>
        <v>0</v>
      </c>
      <c r="P203" s="36">
        <f t="shared" si="8"/>
        <v>0</v>
      </c>
      <c r="Q203" s="39"/>
      <c r="R203" s="39"/>
      <c r="S203" s="36">
        <f t="shared" si="9"/>
        <v>0</v>
      </c>
      <c r="T203" s="37" t="s">
        <v>3891</v>
      </c>
      <c r="U203" s="37" t="s">
        <v>3892</v>
      </c>
      <c r="V203" s="37">
        <v>100</v>
      </c>
      <c r="W203" s="10">
        <v>100</v>
      </c>
      <c r="X203" s="10"/>
      <c r="Y203" s="10">
        <v>0</v>
      </c>
      <c r="Z203" s="10">
        <v>1</v>
      </c>
      <c r="AA203" s="34">
        <v>200</v>
      </c>
      <c r="AB203" s="10">
        <v>0</v>
      </c>
      <c r="AC203" s="10">
        <v>180</v>
      </c>
      <c r="AD203" s="10" t="s">
        <v>3893</v>
      </c>
      <c r="AE203" s="10" t="s">
        <v>218</v>
      </c>
      <c r="AF203" s="10" t="s">
        <v>218</v>
      </c>
      <c r="AG203" s="124" t="s">
        <v>218</v>
      </c>
      <c r="AH203" s="124" t="s">
        <v>218</v>
      </c>
      <c r="AI203" s="124" t="s">
        <v>218</v>
      </c>
      <c r="AJ203" s="124" t="s">
        <v>218</v>
      </c>
      <c r="AK203" s="124" t="s">
        <v>218</v>
      </c>
      <c r="AL203" s="124" t="s">
        <v>218</v>
      </c>
      <c r="AM203" s="124" t="s">
        <v>218</v>
      </c>
      <c r="AN203" s="124" t="s">
        <v>218</v>
      </c>
      <c r="AO203" s="124" t="s">
        <v>218</v>
      </c>
      <c r="AP203" s="124" t="s">
        <v>218</v>
      </c>
    </row>
    <row r="204" spans="1:43" ht="48" x14ac:dyDescent="0.25">
      <c r="A204" s="34"/>
      <c r="B204" s="34"/>
      <c r="C204" s="34"/>
      <c r="D204" s="34"/>
      <c r="E204" s="74"/>
      <c r="F204" s="34"/>
      <c r="G204" s="34"/>
      <c r="H204" s="36"/>
      <c r="I204" s="255"/>
      <c r="J204" s="39"/>
      <c r="K204" s="39"/>
      <c r="L204" s="39"/>
      <c r="M204" s="39"/>
      <c r="N204" s="36">
        <f t="shared" si="8"/>
        <v>0</v>
      </c>
      <c r="O204" s="36">
        <f t="shared" si="8"/>
        <v>0</v>
      </c>
      <c r="P204" s="36">
        <f t="shared" si="8"/>
        <v>0</v>
      </c>
      <c r="Q204" s="39"/>
      <c r="R204" s="39"/>
      <c r="S204" s="36">
        <f t="shared" si="9"/>
        <v>0</v>
      </c>
      <c r="T204" s="37" t="s">
        <v>3894</v>
      </c>
      <c r="U204" s="37" t="s">
        <v>3895</v>
      </c>
      <c r="V204" s="37">
        <v>3</v>
      </c>
      <c r="W204" s="10">
        <v>3</v>
      </c>
      <c r="X204" s="10"/>
      <c r="Y204" s="10">
        <v>0</v>
      </c>
      <c r="Z204" s="10">
        <v>1</v>
      </c>
      <c r="AA204" s="34">
        <v>100</v>
      </c>
      <c r="AB204" s="10">
        <v>0</v>
      </c>
      <c r="AC204" s="10">
        <v>180</v>
      </c>
      <c r="AD204" s="10" t="s">
        <v>3896</v>
      </c>
      <c r="AE204" s="10" t="s">
        <v>218</v>
      </c>
      <c r="AF204" s="10" t="s">
        <v>218</v>
      </c>
      <c r="AG204" s="124" t="s">
        <v>218</v>
      </c>
      <c r="AH204" s="124" t="s">
        <v>218</v>
      </c>
      <c r="AI204" s="124" t="s">
        <v>218</v>
      </c>
      <c r="AJ204" s="124" t="s">
        <v>218</v>
      </c>
      <c r="AK204" s="124" t="s">
        <v>218</v>
      </c>
      <c r="AL204" s="124" t="s">
        <v>218</v>
      </c>
      <c r="AM204" s="124" t="s">
        <v>218</v>
      </c>
      <c r="AN204" s="124" t="s">
        <v>218</v>
      </c>
      <c r="AO204" s="124" t="s">
        <v>218</v>
      </c>
      <c r="AP204" s="124" t="s">
        <v>218</v>
      </c>
    </row>
    <row r="205" spans="1:43" ht="72" x14ac:dyDescent="0.25">
      <c r="A205" s="10" t="s">
        <v>156</v>
      </c>
      <c r="B205" s="10" t="s">
        <v>3299</v>
      </c>
      <c r="C205" s="10" t="s">
        <v>3355</v>
      </c>
      <c r="D205" s="10" t="s">
        <v>3570</v>
      </c>
      <c r="E205" s="74" t="s">
        <v>3571</v>
      </c>
      <c r="F205" s="34">
        <v>22122001</v>
      </c>
      <c r="G205" s="34" t="s">
        <v>3572</v>
      </c>
      <c r="H205" s="36">
        <v>22000000000</v>
      </c>
      <c r="I205" s="255">
        <v>50400000000</v>
      </c>
      <c r="J205" s="39">
        <v>59662303791</v>
      </c>
      <c r="K205" s="39"/>
      <c r="L205" s="39"/>
      <c r="M205" s="39"/>
      <c r="N205" s="36">
        <f t="shared" si="8"/>
        <v>22000000000</v>
      </c>
      <c r="O205" s="36">
        <f t="shared" si="8"/>
        <v>50400000000</v>
      </c>
      <c r="P205" s="36">
        <f t="shared" si="8"/>
        <v>59662303791</v>
      </c>
      <c r="Q205" s="39">
        <v>57240747336</v>
      </c>
      <c r="R205" s="39"/>
      <c r="S205" s="36">
        <f t="shared" si="9"/>
        <v>57240747336</v>
      </c>
      <c r="T205" s="37">
        <v>0</v>
      </c>
      <c r="U205" s="37">
        <v>0</v>
      </c>
      <c r="V205" s="37">
        <v>0</v>
      </c>
      <c r="W205" s="10"/>
      <c r="X205" s="10"/>
      <c r="Y205" s="10"/>
      <c r="Z205" s="10"/>
      <c r="AA205" s="34">
        <v>0</v>
      </c>
      <c r="AB205" s="10"/>
      <c r="AC205" s="10"/>
      <c r="AD205" s="10"/>
      <c r="AE205" s="10"/>
      <c r="AF205" s="10"/>
      <c r="AG205" s="124"/>
      <c r="AH205" s="124"/>
      <c r="AI205" s="124"/>
      <c r="AJ205" s="124"/>
      <c r="AK205" s="124"/>
      <c r="AL205" s="124"/>
      <c r="AM205" s="124"/>
      <c r="AN205" s="124"/>
      <c r="AO205" s="124"/>
      <c r="AP205" s="124"/>
      <c r="AQ205" s="155"/>
    </row>
    <row r="206" spans="1:43" ht="210" x14ac:dyDescent="0.25">
      <c r="A206" s="34"/>
      <c r="B206" s="34"/>
      <c r="C206" s="34"/>
      <c r="D206" s="34"/>
      <c r="E206" s="74"/>
      <c r="F206" s="34"/>
      <c r="G206" s="34"/>
      <c r="H206" s="36"/>
      <c r="I206" s="39"/>
      <c r="J206" s="39"/>
      <c r="K206" s="39"/>
      <c r="L206" s="39"/>
      <c r="M206" s="39"/>
      <c r="N206" s="36">
        <f t="shared" si="8"/>
        <v>0</v>
      </c>
      <c r="O206" s="36">
        <f t="shared" si="8"/>
        <v>0</v>
      </c>
      <c r="P206" s="36">
        <f t="shared" si="8"/>
        <v>0</v>
      </c>
      <c r="Q206" s="39"/>
      <c r="R206" s="39"/>
      <c r="S206" s="36">
        <f t="shared" si="9"/>
        <v>0</v>
      </c>
      <c r="T206" s="37" t="s">
        <v>3897</v>
      </c>
      <c r="U206" s="37" t="s">
        <v>3898</v>
      </c>
      <c r="V206" s="37">
        <v>4</v>
      </c>
      <c r="W206" s="10">
        <v>0</v>
      </c>
      <c r="X206" s="10"/>
      <c r="Y206" s="10">
        <v>0</v>
      </c>
      <c r="Z206" s="10">
        <v>4</v>
      </c>
      <c r="AA206" s="34">
        <v>150</v>
      </c>
      <c r="AB206" s="10">
        <v>0</v>
      </c>
      <c r="AC206" s="10">
        <v>180</v>
      </c>
      <c r="AD206" s="10" t="s">
        <v>3899</v>
      </c>
      <c r="AE206" s="10"/>
      <c r="AF206" s="10"/>
      <c r="AG206" s="124"/>
      <c r="AH206" s="124"/>
      <c r="AI206" s="124"/>
      <c r="AJ206" s="124"/>
      <c r="AK206" s="124"/>
      <c r="AL206" s="124" t="s">
        <v>218</v>
      </c>
      <c r="AM206" s="124" t="s">
        <v>218</v>
      </c>
      <c r="AN206" s="124" t="s">
        <v>218</v>
      </c>
      <c r="AO206" s="124" t="s">
        <v>218</v>
      </c>
      <c r="AP206" s="124" t="s">
        <v>218</v>
      </c>
    </row>
    <row r="207" spans="1:43" x14ac:dyDescent="0.2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row>
  </sheetData>
  <sheetProtection algorithmName="SHA-512" hashValue="griPz0peBj4y4EEXH/th94KpnxBAEt7HHHb2puIWB9OckbITTTV/id/CtiMJzikLr3Mkhs+Mzsz59PF/T/hF8A==" saltValue="z0f9o236BQZBY2oQ40Fghg==" spinCount="100000" sheet="1" objects="1" scenarios="1" formatCells="0" insertRows="0" selectLockedCells="1"/>
  <mergeCells count="26">
    <mergeCell ref="R7:R8"/>
    <mergeCell ref="S7:S8"/>
    <mergeCell ref="T7:AC7"/>
    <mergeCell ref="AE7:AP7"/>
    <mergeCell ref="L7:L8"/>
    <mergeCell ref="M7:M8"/>
    <mergeCell ref="N7:N8"/>
    <mergeCell ref="O7:O8"/>
    <mergeCell ref="P7:P8"/>
    <mergeCell ref="Q7:Q8"/>
    <mergeCell ref="K7:K8"/>
    <mergeCell ref="A1:P1"/>
    <mergeCell ref="A2:P2"/>
    <mergeCell ref="A3:P3"/>
    <mergeCell ref="A4:P4"/>
    <mergeCell ref="A5:B5"/>
    <mergeCell ref="A7:A8"/>
    <mergeCell ref="B7:B8"/>
    <mergeCell ref="C7:C8"/>
    <mergeCell ref="D7:D8"/>
    <mergeCell ref="E7:E8"/>
    <mergeCell ref="F7:F8"/>
    <mergeCell ref="G7:G8"/>
    <mergeCell ref="H7:H8"/>
    <mergeCell ref="I7:I8"/>
    <mergeCell ref="J7:J8"/>
  </mergeCells>
  <pageMargins left="0.7" right="0.7" top="0.75" bottom="0.75" header="0.3" footer="0.3"/>
  <pageSetup orientation="portrait" horizontalDpi="4294967295" verticalDpi="4294967295"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vt:i4>
      </vt:variant>
    </vt:vector>
  </HeadingPairs>
  <TitlesOfParts>
    <vt:vector size="54" baseType="lpstr">
      <vt:lpstr>FINANCIERO ANTIOQUIA LEGAL</vt:lpstr>
      <vt:lpstr>PRODUCTO ANTIOQUIA LEGAL</vt:lpstr>
      <vt:lpstr>FINANCIERO DAP</vt:lpstr>
      <vt:lpstr>PRODUCTOS DAP </vt:lpstr>
      <vt:lpstr>FINANCIERO INFRAESTRUCTURA</vt:lpstr>
      <vt:lpstr>PRODUCTOS INFRAESTRUCTURA</vt:lpstr>
      <vt:lpstr>FINANCIERO EQUIDAD</vt:lpstr>
      <vt:lpstr> PRODUCTOS  EQUIDAD</vt:lpstr>
      <vt:lpstr>FINANCIERO EDUCACION</vt:lpstr>
      <vt:lpstr>PRODUCTOS  EDUCACION</vt:lpstr>
      <vt:lpstr>FINANCIERO GENERAL</vt:lpstr>
      <vt:lpstr>PRODUCTOS  GENERAL</vt:lpstr>
      <vt:lpstr>FINANCIERO INFANCIA</vt:lpstr>
      <vt:lpstr>PRODUCTOS INFANCIA</vt:lpstr>
      <vt:lpstr>FINANCIERO VIVA</vt:lpstr>
      <vt:lpstr>PRODUCTOS  VIVA</vt:lpstr>
      <vt:lpstr>FINANCIERO SERVICIOS PUBLICOS</vt:lpstr>
      <vt:lpstr>FORMATOS PRODUCTOS </vt:lpstr>
      <vt:lpstr>FINANCIERO PARTICIPACION</vt:lpstr>
      <vt:lpstr>PRODUCTOS PARTICIPACION</vt:lpstr>
      <vt:lpstr>FINANCIERO MEDIO AMBIENTE</vt:lpstr>
      <vt:lpstr>PRODUCTOS MEDIO AMBIENTE</vt:lpstr>
      <vt:lpstr>FINANCIERO MANA</vt:lpstr>
      <vt:lpstr>PRODUCTOS  MANA</vt:lpstr>
      <vt:lpstr>FINANCIERO G INDIGENA</vt:lpstr>
      <vt:lpstr>PRODUCTOS  G INDIGENA</vt:lpstr>
      <vt:lpstr>FINANCIERO INDEPORTES</vt:lpstr>
      <vt:lpstr>PRODUCTOS INDEPORTES</vt:lpstr>
      <vt:lpstr>FINANCIERO HACIENDA</vt:lpstr>
      <vt:lpstr>PRODUCTOS HACIENDA</vt:lpstr>
      <vt:lpstr>FINANCIERO GOBIERNO</vt:lpstr>
      <vt:lpstr>PRODUCTOS GOBIERNO</vt:lpstr>
      <vt:lpstr>FINANCIERO G NEGRITUDES</vt:lpstr>
      <vt:lpstr>PRODUCTOS  G NEGRITUDES</vt:lpstr>
      <vt:lpstr>FINANCIERO FLA</vt:lpstr>
      <vt:lpstr>PRODUCTOS  FLA</vt:lpstr>
      <vt:lpstr>FINANCIERO CONTROL INTERNO</vt:lpstr>
      <vt:lpstr>PRODUCTOS  CONTROL INTERNO</vt:lpstr>
      <vt:lpstr>FINANCIERO PRODUCTIVIDAD</vt:lpstr>
      <vt:lpstr>PRODUCTOS PRODUCTIVIDAD</vt:lpstr>
      <vt:lpstr>FINANCIERO MINAS</vt:lpstr>
      <vt:lpstr>PRODUCTOS MINAS</vt:lpstr>
      <vt:lpstr>FINANCIERO GESTION HUMANA</vt:lpstr>
      <vt:lpstr>PRODUCTOS GESTION HUMANA</vt:lpstr>
      <vt:lpstr>FINANCIERO AGRICULTURA</vt:lpstr>
      <vt:lpstr>PRODUCTOS AGRICULTURA</vt:lpstr>
      <vt:lpstr>FINANCIERO SALUD</vt:lpstr>
      <vt:lpstr>PRODUCTOS SALUD</vt:lpstr>
      <vt:lpstr>FINANCIERO DAPARD</vt:lpstr>
      <vt:lpstr>PRODUCTOS DAPARD</vt:lpstr>
      <vt:lpstr>FINANCIERO CULTURA</vt:lpstr>
      <vt:lpstr>PRODUCTOS CULTURA </vt:lpstr>
      <vt:lpstr>FINANCIERO COMUNICACIONES</vt:lpstr>
      <vt:lpstr> PRODUCTOS COMUNICACIONES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JAIRO LOPEZ ARANGO</dc:creator>
  <cp:lastModifiedBy>JOHN JAIRO LOPEZ ARANGO</cp:lastModifiedBy>
  <dcterms:created xsi:type="dcterms:W3CDTF">2014-01-29T18:57:21Z</dcterms:created>
  <dcterms:modified xsi:type="dcterms:W3CDTF">2014-01-31T21:35:53Z</dcterms:modified>
</cp:coreProperties>
</file>